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50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51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52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53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54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55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56.xml" ContentType="application/vnd.openxmlformats-officedocument.drawingml.chartshapes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57.xml" ContentType="application/vnd.openxmlformats-officedocument.drawingml.chartshapes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58.xml" ContentType="application/vnd.openxmlformats-officedocument.drawingml.chartshapes+xml"/>
  <Override PartName="/xl/drawings/drawing59.xml" ContentType="application/vnd.openxmlformats-officedocument.drawing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theme/themeOverride1.xml" ContentType="application/vnd.openxmlformats-officedocument.themeOverride+xml"/>
  <Override PartName="/xl/drawings/drawing60.xml" ContentType="application/vnd.openxmlformats-officedocument.drawing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61.xml" ContentType="application/vnd.openxmlformats-officedocument.drawingml.chartshapes+xml"/>
  <Override PartName="/xl/drawings/drawing62.xml" ContentType="application/vnd.openxmlformats-officedocument.drawing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drawings/drawing63.xml" ContentType="application/vnd.openxmlformats-officedocument.drawing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theme/themeOverride2.xml" ContentType="application/vnd.openxmlformats-officedocument.themeOverride+xml"/>
  <Override PartName="/xl/drawings/drawing64.xml" ContentType="application/vnd.openxmlformats-officedocument.drawing+xml"/>
  <Override PartName="/xl/charts/chart15.xml" ContentType="application/vnd.openxmlformats-officedocument.drawingml.chart+xml"/>
  <Override PartName="/xl/drawings/drawing65.xml" ContentType="application/vnd.openxmlformats-officedocument.drawingml.chartshapes+xml"/>
  <Override PartName="/xl/drawings/drawing66.xml" ContentType="application/vnd.openxmlformats-officedocument.drawing+xml"/>
  <Override PartName="/xl/charts/chart16.xml" ContentType="application/vnd.openxmlformats-officedocument.drawingml.chart+xml"/>
  <Override PartName="/xl/drawings/drawing67.xml" ContentType="application/vnd.openxmlformats-officedocument.drawing+xml"/>
  <Override PartName="/xl/charts/chart17.xml" ContentType="application/vnd.openxmlformats-officedocument.drawingml.chart+xml"/>
  <Override PartName="/xl/theme/themeOverride3.xml" ContentType="application/vnd.openxmlformats-officedocument.themeOverride+xml"/>
  <Override PartName="/xl/drawings/drawing68.xml" ContentType="application/vnd.openxmlformats-officedocument.drawing+xml"/>
  <Override PartName="/xl/charts/chart18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drawings/drawing69.xml" ContentType="application/vnd.openxmlformats-officedocument.drawing+xml"/>
  <Override PartName="/xl/charts/chart19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drawings/drawing70.xml" ContentType="application/vnd.openxmlformats-officedocument.drawing+xml"/>
  <Override PartName="/xl/charts/chart20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charts/chart21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drawings/drawing76.xml" ContentType="application/vnd.openxmlformats-officedocument.drawing+xml"/>
  <Override PartName="/xl/charts/chart22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drawings/drawing77.xml" ContentType="application/vnd.openxmlformats-officedocument.drawing+xml"/>
  <Override PartName="/xl/charts/chart23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drawings/drawing78.xml" ContentType="application/vnd.openxmlformats-officedocument.drawing+xml"/>
  <Override PartName="/xl/charts/chart24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drawings/drawing79.xml" ContentType="application/vnd.openxmlformats-officedocument.drawing+xml"/>
  <Override PartName="/xl/charts/chart25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drawings/drawing80.xml" ContentType="application/vnd.openxmlformats-officedocument.drawing+xml"/>
  <Override PartName="/xl/charts/chart26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drawings/drawing81.xml" ContentType="application/vnd.openxmlformats-officedocument.drawingml.chartshapes+xml"/>
  <Override PartName="/xl/charts/chart27.xml" ContentType="application/vnd.openxmlformats-officedocument.drawingml.chart+xml"/>
  <Override PartName="/xl/drawings/drawing82.xml" ContentType="application/vnd.openxmlformats-officedocument.drawingml.chartshapes+xml"/>
  <Override PartName="/xl/drawings/drawing83.xml" ContentType="application/vnd.openxmlformats-officedocument.drawing+xml"/>
  <Override PartName="/xl/charts/chart28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drawings/drawing84.xml" ContentType="application/vnd.openxmlformats-officedocument.drawing+xml"/>
  <Override PartName="/xl/charts/chart29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drawings/drawing85.xml" ContentType="application/vnd.openxmlformats-officedocument.drawingml.chartshapes+xml"/>
  <Override PartName="/xl/drawings/drawing86.xml" ContentType="application/vnd.openxmlformats-officedocument.drawing+xml"/>
  <Override PartName="/xl/charts/chart30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drawings/drawing87.xml" ContentType="application/vnd.openxmlformats-officedocument.drawingml.chartshapes+xml"/>
  <Override PartName="/xl/charts/chart31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drawings/drawing88.xml" ContentType="application/vnd.openxmlformats-officedocument.drawingml.chartshapes+xml"/>
  <Override PartName="/xl/drawings/drawing89.xml" ContentType="application/vnd.openxmlformats-officedocument.drawing+xml"/>
  <Override PartName="/xl/charts/chart32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drawings/drawing90.xml" ContentType="application/vnd.openxmlformats-officedocument.drawingml.chartshapes+xml"/>
  <Override PartName="/xl/charts/chart33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drawings/drawing91.xml" ContentType="application/vnd.openxmlformats-officedocument.drawingml.chartshapes+xml"/>
  <Override PartName="/xl/charts/chart34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drawings/drawing92.xml" ContentType="application/vnd.openxmlformats-officedocument.drawingml.chartshapes+xml"/>
  <Override PartName="/xl/charts/chart35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drawings/drawing93.xml" ContentType="application/vnd.openxmlformats-officedocument.drawingml.chartshapes+xml"/>
  <Override PartName="/xl/drawings/drawing94.xml" ContentType="application/vnd.openxmlformats-officedocument.drawing+xml"/>
  <Override PartName="/xl/charts/chart36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drawings/drawing95.xml" ContentType="application/vnd.openxmlformats-officedocument.drawing+xml"/>
  <Override PartName="/xl/charts/chart37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drawings/drawing96.xml" ContentType="application/vnd.openxmlformats-officedocument.drawing+xml"/>
  <Override PartName="/xl/charts/chart38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charts/chart39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drawings/drawing97.xml" ContentType="application/vnd.openxmlformats-officedocument.drawing+xml"/>
  <Override PartName="/xl/charts/chart40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drawings/drawing98.xml" ContentType="application/vnd.openxmlformats-officedocument.drawingml.chartshapes+xml"/>
  <Override PartName="/xl/drawings/drawing99.xml" ContentType="application/vnd.openxmlformats-officedocument.drawing+xml"/>
  <Override PartName="/xl/charts/chart41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drawings/drawing100.xml" ContentType="application/vnd.openxmlformats-officedocument.drawingml.chartshapes+xml"/>
  <Override PartName="/xl/charts/chart42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drawings/drawing101.xml" ContentType="application/vnd.openxmlformats-officedocument.drawingml.chartshapes+xml"/>
  <Override PartName="/xl/drawings/drawing102.xml" ContentType="application/vnd.openxmlformats-officedocument.drawing+xml"/>
  <Override PartName="/xl/charts/chartEx1.xml" ContentType="application/vnd.ms-office.chartex+xml"/>
  <Override PartName="/xl/charts/style39.xml" ContentType="application/vnd.ms-office.chartstyle+xml"/>
  <Override PartName="/xl/charts/colors39.xml" ContentType="application/vnd.ms-office.chartcolorstyle+xml"/>
  <Override PartName="/xl/drawings/drawing103.xml" ContentType="application/vnd.openxmlformats-officedocument.drawing+xml"/>
  <Override PartName="/xl/charts/chart43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drawings/drawing104.xml" ContentType="application/vnd.openxmlformats-officedocument.drawingml.chartshapes+xml"/>
  <Override PartName="/xl/drawings/drawing105.xml" ContentType="application/vnd.openxmlformats-officedocument.drawing+xml"/>
  <Override PartName="/xl/charts/chart44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drawings/drawing106.xml" ContentType="application/vnd.openxmlformats-officedocument.drawingml.chartshapes+xml"/>
  <Override PartName="/xl/charts/chart45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drawings/drawing107.xml" ContentType="application/vnd.openxmlformats-officedocument.drawingml.chartshapes+xml"/>
  <Override PartName="/xl/drawings/drawing108.xml" ContentType="application/vnd.openxmlformats-officedocument.drawing+xml"/>
  <Override PartName="/xl/charts/chart46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drawings/drawing109.xml" ContentType="application/vnd.openxmlformats-officedocument.drawing+xml"/>
  <Override PartName="/xl/charts/chart47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drawings/drawing110.xml" ContentType="application/vnd.openxmlformats-officedocument.drawing+xml"/>
  <Override PartName="/xl/charts/chart48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charts/chart49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drawings/drawing111.xml" ContentType="application/vnd.openxmlformats-officedocument.drawing+xml"/>
  <Override PartName="/xl/charts/chart50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charts/chart51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drawings/drawing112.xml" ContentType="application/vnd.openxmlformats-officedocument.drawing+xml"/>
  <Override PartName="/xl/charts/chartEx2.xml" ContentType="application/vnd.ms-office.chartex+xml"/>
  <Override PartName="/xl/charts/style49.xml" ContentType="application/vnd.ms-office.chartstyle+xml"/>
  <Override PartName="/xl/charts/colors49.xml" ContentType="application/vnd.ms-office.chartcolorstyle+xml"/>
  <Override PartName="/xl/drawings/drawing113.xml" ContentType="application/vnd.openxmlformats-officedocument.drawing+xml"/>
  <Override PartName="/xl/charts/chart52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drawings/drawing114.xml" ContentType="application/vnd.openxmlformats-officedocument.drawingml.chartshapes+xml"/>
  <Override PartName="/xl/drawings/drawing115.xml" ContentType="application/vnd.openxmlformats-officedocument.drawing+xml"/>
  <Override PartName="/xl/charts/chart53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drawings/drawing116.xml" ContentType="application/vnd.openxmlformats-officedocument.drawingml.chartshapes+xml"/>
  <Override PartName="/xl/charts/chart54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drawings/drawing117.xml" ContentType="application/vnd.openxmlformats-officedocument.drawingml.chartshapes+xml"/>
  <Override PartName="/xl/charts/chart55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drawings/drawing118.xml" ContentType="application/vnd.openxmlformats-officedocument.drawingml.chartshapes+xml"/>
  <Override PartName="/xl/charts/chart56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drawings/drawing119.xml" ContentType="application/vnd.openxmlformats-officedocument.drawingml.chartshapes+xml"/>
  <Override PartName="/xl/charts/chart57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drawings/drawing120.xml" ContentType="application/vnd.openxmlformats-officedocument.drawingml.chartshapes+xml"/>
  <Override PartName="/xl/charts/chart58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drawings/drawing121.xml" ContentType="application/vnd.openxmlformats-officedocument.drawingml.chartshapes+xml"/>
  <Override PartName="/xl/drawings/drawing122.xml" ContentType="application/vnd.openxmlformats-officedocument.drawing+xml"/>
  <Override PartName="/xl/charts/chart59.xml" ContentType="application/vnd.openxmlformats-officedocument.drawingml.chart+xml"/>
  <Override PartName="/xl/drawings/drawing123.xml" ContentType="application/vnd.openxmlformats-officedocument.drawingml.chartshapes+xml"/>
  <Override PartName="/xl/drawings/drawing124.xml" ContentType="application/vnd.openxmlformats-officedocument.drawing+xml"/>
  <Override PartName="/xl/charts/chart60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drawings/drawing125.xml" ContentType="application/vnd.openxmlformats-officedocument.drawing+xml"/>
  <Override PartName="/xl/charts/chart61.xml" ContentType="application/vnd.openxmlformats-officedocument.drawingml.chart+xml"/>
  <Override PartName="/xl/theme/themeOverride4.xml" ContentType="application/vnd.openxmlformats-officedocument.themeOverride+xml"/>
  <Override PartName="/xl/drawings/drawing126.xml" ContentType="application/vnd.openxmlformats-officedocument.drawing+xml"/>
  <Override PartName="/xl/charts/chart62.xml" ContentType="application/vnd.openxmlformats-officedocument.drawingml.chart+xml"/>
  <Override PartName="/xl/theme/themeOverride5.xml" ContentType="application/vnd.openxmlformats-officedocument.themeOverride+xml"/>
  <Override PartName="/xl/drawings/drawing127.xml" ContentType="application/vnd.openxmlformats-officedocument.drawing+xml"/>
  <Override PartName="/xl/charts/chart63.xml" ContentType="application/vnd.openxmlformats-officedocument.drawingml.chart+xml"/>
  <Override PartName="/xl/theme/themeOverride6.xml" ContentType="application/vnd.openxmlformats-officedocument.themeOverride+xml"/>
  <Override PartName="/xl/drawings/drawing128.xml" ContentType="application/vnd.openxmlformats-officedocument.drawing+xml"/>
  <Override PartName="/xl/charts/chart64.xml" ContentType="application/vnd.openxmlformats-officedocument.drawingml.chart+xml"/>
  <Override PartName="/xl/theme/themeOverride7.xml" ContentType="application/vnd.openxmlformats-officedocument.themeOverride+xml"/>
  <Override PartName="/xl/drawings/drawing129.xml" ContentType="application/vnd.openxmlformats-officedocument.drawing+xml"/>
  <Override PartName="/xl/comments1.xml" ContentType="application/vnd.openxmlformats-officedocument.spreadsheetml.comments+xml"/>
  <Override PartName="/xl/charts/chart65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charts/chart66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drawings/drawing130.xml" ContentType="application/vnd.openxmlformats-officedocument.drawing+xml"/>
  <Override PartName="/xl/charts/chart67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drawings/drawing131.xml" ContentType="application/vnd.openxmlformats-officedocument.drawing+xml"/>
  <Override PartName="/xl/charts/chart68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drawings/drawing132.xml" ContentType="application/vnd.openxmlformats-officedocument.drawing+xml"/>
  <Override PartName="/xl/charts/chart69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drawings/drawing133.xml" ContentType="application/vnd.openxmlformats-officedocument.drawing+xml"/>
  <Override PartName="/xl/charts/chart70.xml" ContentType="application/vnd.openxmlformats-officedocument.drawingml.chart+xml"/>
  <Override PartName="/xl/drawings/drawing134.xml" ContentType="application/vnd.openxmlformats-officedocument.drawing+xml"/>
  <Override PartName="/xl/charts/chart71.xml" ContentType="application/vnd.openxmlformats-officedocument.drawingml.chart+xml"/>
  <Override PartName="/xl/drawings/drawing135.xml" ContentType="application/vnd.openxmlformats-officedocument.drawing+xml"/>
  <Override PartName="/xl/charts/chart72.xml" ContentType="application/vnd.openxmlformats-officedocument.drawingml.chart+xml"/>
  <Override PartName="/xl/drawings/drawing136.xml" ContentType="application/vnd.openxmlformats-officedocument.drawing+xml"/>
  <Override PartName="/xl/charts/chart73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drawings/drawing137.xml" ContentType="application/vnd.openxmlformats-officedocument.drawingml.chartshapes+xml"/>
  <Override PartName="/xl/drawings/drawing138.xml" ContentType="application/vnd.openxmlformats-officedocument.drawing+xml"/>
  <Override PartName="/xl/charts/chart74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drawings/drawing139.xml" ContentType="application/vnd.openxmlformats-officedocument.drawing+xml"/>
  <Override PartName="/xl/charts/chart75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drawings/drawing140.xml" ContentType="application/vnd.openxmlformats-officedocument.drawing+xml"/>
  <Override PartName="/xl/drawings/drawing141.xml" ContentType="application/vnd.openxmlformats-officedocument.drawing+xml"/>
  <Override PartName="/xl/drawings/drawing142.xml" ContentType="application/vnd.openxmlformats-officedocument.drawing+xml"/>
  <Override PartName="/xl/drawings/drawing143.xml" ContentType="application/vnd.openxmlformats-officedocument.drawing+xml"/>
  <Override PartName="/xl/charts/chart76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theme/themeOverride8.xml" ContentType="application/vnd.openxmlformats-officedocument.themeOverride+xml"/>
  <Override PartName="/xl/drawings/drawing144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6" rupBuild="16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rozpoctovarada.sharepoint.com/09_MATERIALY/01_STRATEGICKE_DOKUMENTY/02_ROZPOCET/05_RVS_2017_2019/"/>
    </mc:Choice>
  </mc:AlternateContent>
  <bookViews>
    <workbookView xWindow="0" yWindow="0" windowWidth="28800" windowHeight="11610" firstSheet="98" activeTab="115"/>
  </bookViews>
  <sheets>
    <sheet name="obsah" sheetId="50" r:id="rId1"/>
    <sheet name="T01" sheetId="14" r:id="rId2"/>
    <sheet name="T02" sheetId="28" r:id="rId3"/>
    <sheet name="T03" sheetId="35" r:id="rId4"/>
    <sheet name="T04" sheetId="81" r:id="rId5"/>
    <sheet name="T05" sheetId="82" r:id="rId6"/>
    <sheet name="T06" sheetId="83" r:id="rId7"/>
    <sheet name="T07" sheetId="102" r:id="rId8"/>
    <sheet name="T08" sheetId="103" r:id="rId9"/>
    <sheet name="T09" sheetId="104" r:id="rId10"/>
    <sheet name="T10" sheetId="108" r:id="rId11"/>
    <sheet name="T11" sheetId="15" r:id="rId12"/>
    <sheet name="T12" sheetId="147" r:id="rId13"/>
    <sheet name="T13" sheetId="52" r:id="rId14"/>
    <sheet name="T14" sheetId="84" r:id="rId15"/>
    <sheet name="T15" sheetId="85" r:id="rId16"/>
    <sheet name="T16" sheetId="86" r:id="rId17"/>
    <sheet name="T17" sheetId="87" r:id="rId18"/>
    <sheet name="T18" sheetId="88" r:id="rId19"/>
    <sheet name="T19" sheetId="118" r:id="rId20"/>
    <sheet name="T20" sheetId="119" r:id="rId21"/>
    <sheet name="T21" sheetId="120" r:id="rId22"/>
    <sheet name="T22" sheetId="121" r:id="rId23"/>
    <sheet name="T23" sheetId="122" r:id="rId24"/>
    <sheet name="T24" sheetId="123" r:id="rId25"/>
    <sheet name="T25" sheetId="124" r:id="rId26"/>
    <sheet name="T26" sheetId="36" r:id="rId27"/>
    <sheet name="T27" sheetId="126" r:id="rId28"/>
    <sheet name="T28" sheetId="60" r:id="rId29"/>
    <sheet name="T29" sheetId="61" r:id="rId30"/>
    <sheet name="T30" sheetId="127" r:id="rId31"/>
    <sheet name="T31" sheetId="62" r:id="rId32"/>
    <sheet name="T32" sheetId="63" r:id="rId33"/>
    <sheet name="T33" sheetId="129" r:id="rId34"/>
    <sheet name="T34" sheetId="130" r:id="rId35"/>
    <sheet name="T35" sheetId="131" r:id="rId36"/>
    <sheet name="T36" sheetId="132" r:id="rId37"/>
    <sheet name="T37" sheetId="133" r:id="rId38"/>
    <sheet name="T38" sheetId="134" r:id="rId39"/>
    <sheet name="T39" sheetId="135" r:id="rId40"/>
    <sheet name="T40" sheetId="136" r:id="rId41"/>
    <sheet name="T41" sheetId="137" r:id="rId42"/>
    <sheet name="T42" sheetId="16" r:id="rId43"/>
    <sheet name="T43" sheetId="146" r:id="rId44"/>
    <sheet name="T44" sheetId="48" r:id="rId45"/>
    <sheet name="T45,T46" sheetId="24" r:id="rId46"/>
    <sheet name="T47" sheetId="22" r:id="rId47"/>
    <sheet name="T48, T49" sheetId="138" r:id="rId48"/>
    <sheet name="T48a, T49a" sheetId="139" r:id="rId49"/>
    <sheet name="G01" sheetId="37" r:id="rId50"/>
    <sheet name="G02" sheetId="100" r:id="rId51"/>
    <sheet name="G03" sheetId="39" r:id="rId52"/>
    <sheet name="G04" sheetId="34" r:id="rId53"/>
    <sheet name="G05" sheetId="42" r:id="rId54"/>
    <sheet name="G06" sheetId="43" r:id="rId55"/>
    <sheet name="G07" sheetId="33" r:id="rId56"/>
    <sheet name="G08" sheetId="89" r:id="rId57"/>
    <sheet name="G09" sheetId="90" r:id="rId58"/>
    <sheet name="G10,G11" sheetId="91" r:id="rId59"/>
    <sheet name="G12" sheetId="92" r:id="rId60"/>
    <sheet name="G13" sheetId="93" r:id="rId61"/>
    <sheet name="G14" sheetId="94" r:id="rId62"/>
    <sheet name="G15" sheetId="95" r:id="rId63"/>
    <sheet name="G16" sheetId="101" r:id="rId64"/>
    <sheet name="G17" sheetId="71" r:id="rId65"/>
    <sheet name="G18" sheetId="73" r:id="rId66"/>
    <sheet name="G19" sheetId="74" r:id="rId67"/>
    <sheet name="G20" sheetId="75" r:id="rId68"/>
    <sheet name="G21" sheetId="77" r:id="rId69"/>
    <sheet name="G22" sheetId="76" r:id="rId70"/>
    <sheet name="G23" sheetId="105" r:id="rId71"/>
    <sheet name="G24" sheetId="106" r:id="rId72"/>
    <sheet name="G25" sheetId="107" r:id="rId73"/>
    <sheet name="G26" sheetId="109" r:id="rId74"/>
    <sheet name="G27" sheetId="110" r:id="rId75"/>
    <sheet name="G28" sheetId="40" r:id="rId76"/>
    <sheet name="G29" sheetId="44" r:id="rId77"/>
    <sheet name="G30" sheetId="111" r:id="rId78"/>
    <sheet name="G31, G32" sheetId="112" r:id="rId79"/>
    <sheet name="G33" sheetId="47" r:id="rId80"/>
    <sheet name="G34" sheetId="113" r:id="rId81"/>
    <sheet name="G35" sheetId="114" r:id="rId82"/>
    <sheet name="G36, G37" sheetId="31" r:id="rId83"/>
    <sheet name="G38" sheetId="45" r:id="rId84"/>
    <sheet name="G39, G40" sheetId="115" r:id="rId85"/>
    <sheet name="G41" sheetId="144" r:id="rId86"/>
    <sheet name="G42" sheetId="141" r:id="rId87"/>
    <sheet name="G43, G44" sheetId="116" r:id="rId88"/>
    <sheet name="G45" sheetId="53" r:id="rId89"/>
    <sheet name="G46" sheetId="54" r:id="rId90"/>
    <sheet name="G47,G48" sheetId="55" r:id="rId91"/>
    <sheet name="G49,G50" sheetId="56" r:id="rId92"/>
    <sheet name="G51" sheetId="143" r:id="rId93"/>
    <sheet name="G52" sheetId="142" r:id="rId94"/>
    <sheet name="G53, G54, G55, G56, G57, G58" sheetId="117" r:id="rId95"/>
    <sheet name="G59" sheetId="46" r:id="rId96"/>
    <sheet name="G60" sheetId="23" r:id="rId97"/>
    <sheet name="G61" sheetId="96" r:id="rId98"/>
    <sheet name="G62" sheetId="97" r:id="rId99"/>
    <sheet name="G63" sheetId="98" r:id="rId100"/>
    <sheet name="G64" sheetId="99" r:id="rId101"/>
    <sheet name="G65, G66" sheetId="125" r:id="rId102"/>
    <sheet name="G67" sheetId="64" r:id="rId103"/>
    <sheet name="G68" sheetId="65" r:id="rId104"/>
    <sheet name="G69" sheetId="66" r:id="rId105"/>
    <sheet name="G70" sheetId="67" r:id="rId106"/>
    <sheet name="G71" sheetId="68" r:id="rId107"/>
    <sheet name="G72" sheetId="69" r:id="rId108"/>
    <sheet name="G73" sheetId="128" r:id="rId109"/>
    <sheet name="G74" sheetId="79" r:id="rId110"/>
    <sheet name="G75" sheetId="80" r:id="rId111"/>
    <sheet name="G76,G77" sheetId="57" r:id="rId112"/>
    <sheet name="G78,G79" sheetId="58" r:id="rId113"/>
    <sheet name="G80,G81" sheetId="59" r:id="rId114"/>
    <sheet name="G82" sheetId="145" r:id="rId115"/>
    <sheet name="NPC" sheetId="140" r:id="rId116"/>
  </sheets>
  <externalReferences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  <externalReference r:id="rId138"/>
    <externalReference r:id="rId139"/>
    <externalReference r:id="rId140"/>
    <externalReference r:id="rId141"/>
    <externalReference r:id="rId142"/>
    <externalReference r:id="rId143"/>
    <externalReference r:id="rId144"/>
    <externalReference r:id="rId145"/>
    <externalReference r:id="rId146"/>
    <externalReference r:id="rId147"/>
    <externalReference r:id="rId148"/>
    <externalReference r:id="rId149"/>
    <externalReference r:id="rId150"/>
    <externalReference r:id="rId151"/>
    <externalReference r:id="rId152"/>
    <externalReference r:id="rId153"/>
  </externalReferences>
  <definedNames>
    <definedName name="__123Graph_A" localSheetId="49" hidden="1">#REF!</definedName>
    <definedName name="__123Graph_A" localSheetId="50" hidden="1">#REF!</definedName>
    <definedName name="__123Graph_A" localSheetId="51" hidden="1">#REF!</definedName>
    <definedName name="__123Graph_A" localSheetId="53" hidden="1">#REF!</definedName>
    <definedName name="__123Graph_A" localSheetId="54" hidden="1">#REF!</definedName>
    <definedName name="__123Graph_A" localSheetId="55" hidden="1">#REF!</definedName>
    <definedName name="__123Graph_A" localSheetId="56" hidden="1">#REF!</definedName>
    <definedName name="__123Graph_A" localSheetId="57" hidden="1">#REF!</definedName>
    <definedName name="__123Graph_A" localSheetId="58" hidden="1">#REF!</definedName>
    <definedName name="__123Graph_A" localSheetId="59" hidden="1">#REF!</definedName>
    <definedName name="__123Graph_A" localSheetId="62" hidden="1">#REF!</definedName>
    <definedName name="__123Graph_A" localSheetId="70" hidden="1">#REF!</definedName>
    <definedName name="__123Graph_A" localSheetId="71" hidden="1">#REF!</definedName>
    <definedName name="__123Graph_A" localSheetId="72" hidden="1">#REF!</definedName>
    <definedName name="__123Graph_A" localSheetId="73" hidden="1">#REF!</definedName>
    <definedName name="__123Graph_A" localSheetId="74" hidden="1">#REF!</definedName>
    <definedName name="__123Graph_A" localSheetId="75" hidden="1">#REF!</definedName>
    <definedName name="__123Graph_A" localSheetId="76" hidden="1">#REF!</definedName>
    <definedName name="__123Graph_A" localSheetId="79" hidden="1">#REF!</definedName>
    <definedName name="__123Graph_A" localSheetId="80" hidden="1">#REF!</definedName>
    <definedName name="__123Graph_A" localSheetId="81" hidden="1">#REF!</definedName>
    <definedName name="__123Graph_A" localSheetId="83" hidden="1">#REF!</definedName>
    <definedName name="__123Graph_A" localSheetId="87" hidden="1">#REF!</definedName>
    <definedName name="__123Graph_A" localSheetId="95" hidden="1">#REF!</definedName>
    <definedName name="__123Graph_A" localSheetId="97" hidden="1">#REF!</definedName>
    <definedName name="__123Graph_A" localSheetId="98" hidden="1">#REF!</definedName>
    <definedName name="__123Graph_A" localSheetId="99" hidden="1">#REF!</definedName>
    <definedName name="__123Graph_A" localSheetId="100" hidden="1">#REF!</definedName>
    <definedName name="__123Graph_A" localSheetId="101" hidden="1">#REF!</definedName>
    <definedName name="__123Graph_A" localSheetId="108" hidden="1">#REF!</definedName>
    <definedName name="__123Graph_A" localSheetId="115" hidden="1">#REF!</definedName>
    <definedName name="__123Graph_A" localSheetId="5" hidden="1">#REF!</definedName>
    <definedName name="__123Graph_A" localSheetId="6" hidden="1">#REF!</definedName>
    <definedName name="__123Graph_A" localSheetId="7" hidden="1">#REF!</definedName>
    <definedName name="__123Graph_A" localSheetId="8" hidden="1">#REF!</definedName>
    <definedName name="__123Graph_A" localSheetId="9" hidden="1">#REF!</definedName>
    <definedName name="__123Graph_A" localSheetId="10" hidden="1">#REF!</definedName>
    <definedName name="__123Graph_A" localSheetId="14" hidden="1">#REF!</definedName>
    <definedName name="__123Graph_A" localSheetId="15" hidden="1">#REF!</definedName>
    <definedName name="__123Graph_A" localSheetId="16" hidden="1">#REF!</definedName>
    <definedName name="__123Graph_A" localSheetId="17" hidden="1">#REF!</definedName>
    <definedName name="__123Graph_A" localSheetId="19" hidden="1">#REF!</definedName>
    <definedName name="__123Graph_A" localSheetId="21" hidden="1">#REF!</definedName>
    <definedName name="__123Graph_A" localSheetId="23" hidden="1">#REF!</definedName>
    <definedName name="__123Graph_A" localSheetId="24" hidden="1">#REF!</definedName>
    <definedName name="__123Graph_A" localSheetId="25" hidden="1">#REF!</definedName>
    <definedName name="__123Graph_A" localSheetId="27" hidden="1">#REF!</definedName>
    <definedName name="__123Graph_A" localSheetId="30" hidden="1">#REF!</definedName>
    <definedName name="__123Graph_A" localSheetId="33" hidden="1">#REF!</definedName>
    <definedName name="__123Graph_A" localSheetId="34" hidden="1">#REF!</definedName>
    <definedName name="__123Graph_A" localSheetId="35" hidden="1">#REF!</definedName>
    <definedName name="__123Graph_A" localSheetId="36" hidden="1">#REF!</definedName>
    <definedName name="__123Graph_A" localSheetId="37" hidden="1">#REF!</definedName>
    <definedName name="__123Graph_A" localSheetId="38" hidden="1">#REF!</definedName>
    <definedName name="__123Graph_A" localSheetId="39" hidden="1">#REF!</definedName>
    <definedName name="__123Graph_A" localSheetId="40" hidden="1">#REF!</definedName>
    <definedName name="__123Graph_A" localSheetId="44" hidden="1">#REF!</definedName>
    <definedName name="__123Graph_A" hidden="1">#REF!</definedName>
    <definedName name="__123Graph_AEXP" localSheetId="49" hidden="1">#REF!</definedName>
    <definedName name="__123Graph_AEXP" localSheetId="50" hidden="1">#REF!</definedName>
    <definedName name="__123Graph_AEXP" localSheetId="51" hidden="1">#REF!</definedName>
    <definedName name="__123Graph_AEXP" localSheetId="53" hidden="1">#REF!</definedName>
    <definedName name="__123Graph_AEXP" localSheetId="54" hidden="1">#REF!</definedName>
    <definedName name="__123Graph_AEXP" localSheetId="55" hidden="1">#REF!</definedName>
    <definedName name="__123Graph_AEXP" localSheetId="56" hidden="1">#REF!</definedName>
    <definedName name="__123Graph_AEXP" localSheetId="57" hidden="1">#REF!</definedName>
    <definedName name="__123Graph_AEXP" localSheetId="58" hidden="1">#REF!</definedName>
    <definedName name="__123Graph_AEXP" localSheetId="59" hidden="1">#REF!</definedName>
    <definedName name="__123Graph_AEXP" localSheetId="62" hidden="1">#REF!</definedName>
    <definedName name="__123Graph_AEXP" localSheetId="70" hidden="1">#REF!</definedName>
    <definedName name="__123Graph_AEXP" localSheetId="71" hidden="1">#REF!</definedName>
    <definedName name="__123Graph_AEXP" localSheetId="72" hidden="1">#REF!</definedName>
    <definedName name="__123Graph_AEXP" localSheetId="73" hidden="1">#REF!</definedName>
    <definedName name="__123Graph_AEXP" localSheetId="74" hidden="1">#REF!</definedName>
    <definedName name="__123Graph_AEXP" localSheetId="75" hidden="1">#REF!</definedName>
    <definedName name="__123Graph_AEXP" localSheetId="76" hidden="1">#REF!</definedName>
    <definedName name="__123Graph_AEXP" localSheetId="79" hidden="1">#REF!</definedName>
    <definedName name="__123Graph_AEXP" localSheetId="80" hidden="1">#REF!</definedName>
    <definedName name="__123Graph_AEXP" localSheetId="81" hidden="1">#REF!</definedName>
    <definedName name="__123Graph_AEXP" localSheetId="83" hidden="1">#REF!</definedName>
    <definedName name="__123Graph_AEXP" localSheetId="87" hidden="1">#REF!</definedName>
    <definedName name="__123Graph_AEXP" localSheetId="95" hidden="1">#REF!</definedName>
    <definedName name="__123Graph_AEXP" localSheetId="97" hidden="1">#REF!</definedName>
    <definedName name="__123Graph_AEXP" localSheetId="98" hidden="1">#REF!</definedName>
    <definedName name="__123Graph_AEXP" localSheetId="99" hidden="1">#REF!</definedName>
    <definedName name="__123Graph_AEXP" localSheetId="100" hidden="1">#REF!</definedName>
    <definedName name="__123Graph_AEXP" localSheetId="101" hidden="1">#REF!</definedName>
    <definedName name="__123Graph_AEXP" localSheetId="108" hidden="1">#REF!</definedName>
    <definedName name="__123Graph_AEXP" localSheetId="115" hidden="1">#REF!</definedName>
    <definedName name="__123Graph_AEXP" localSheetId="5" hidden="1">#REF!</definedName>
    <definedName name="__123Graph_AEXP" localSheetId="6" hidden="1">#REF!</definedName>
    <definedName name="__123Graph_AEXP" localSheetId="7" hidden="1">#REF!</definedName>
    <definedName name="__123Graph_AEXP" localSheetId="8" hidden="1">#REF!</definedName>
    <definedName name="__123Graph_AEXP" localSheetId="9" hidden="1">#REF!</definedName>
    <definedName name="__123Graph_AEXP" localSheetId="10" hidden="1">#REF!</definedName>
    <definedName name="__123Graph_AEXP" localSheetId="14" hidden="1">#REF!</definedName>
    <definedName name="__123Graph_AEXP" localSheetId="19" hidden="1">#REF!</definedName>
    <definedName name="__123Graph_AEXP" localSheetId="21" hidden="1">#REF!</definedName>
    <definedName name="__123Graph_AEXP" localSheetId="23" hidden="1">#REF!</definedName>
    <definedName name="__123Graph_AEXP" localSheetId="24" hidden="1">#REF!</definedName>
    <definedName name="__123Graph_AEXP" localSheetId="25" hidden="1">#REF!</definedName>
    <definedName name="__123Graph_AEXP" localSheetId="27" hidden="1">#REF!</definedName>
    <definedName name="__123Graph_AEXP" localSheetId="30" hidden="1">#REF!</definedName>
    <definedName name="__123Graph_AEXP" localSheetId="33" hidden="1">#REF!</definedName>
    <definedName name="__123Graph_AEXP" localSheetId="34" hidden="1">#REF!</definedName>
    <definedName name="__123Graph_AEXP" localSheetId="35" hidden="1">#REF!</definedName>
    <definedName name="__123Graph_AEXP" localSheetId="36" hidden="1">#REF!</definedName>
    <definedName name="__123Graph_AEXP" localSheetId="37" hidden="1">#REF!</definedName>
    <definedName name="__123Graph_AEXP" localSheetId="38" hidden="1">#REF!</definedName>
    <definedName name="__123Graph_AEXP" localSheetId="39" hidden="1">#REF!</definedName>
    <definedName name="__123Graph_AEXP" localSheetId="40" hidden="1">#REF!</definedName>
    <definedName name="__123Graph_AEXP" hidden="1">#REF!</definedName>
    <definedName name="__123Graph_ATEST1" localSheetId="55" hidden="1">[1]REER!$AZ$144:$AZ$210</definedName>
    <definedName name="__123Graph_ATEST1" localSheetId="70" hidden="1">[1]REER!$AZ$144:$AZ$210</definedName>
    <definedName name="__123Graph_ATEST1" localSheetId="71" hidden="1">[2]REER!$AZ$144:$AZ$210</definedName>
    <definedName name="__123Graph_ATEST1" localSheetId="72" hidden="1">[2]REER!$AZ$144:$AZ$210</definedName>
    <definedName name="__123Graph_ATEST1" localSheetId="73" hidden="1">[2]REER!$AZ$144:$AZ$210</definedName>
    <definedName name="__123Graph_ATEST1" localSheetId="74" hidden="1">[2]REER!$AZ$144:$AZ$210</definedName>
    <definedName name="__123Graph_ATEST1" localSheetId="79" hidden="1">[3]REER!$AZ$144:$AZ$210</definedName>
    <definedName name="__123Graph_ATEST1" localSheetId="80" hidden="1">[1]REER!$AZ$144:$AZ$210</definedName>
    <definedName name="__123Graph_ATEST1" localSheetId="81" hidden="1">[1]REER!$AZ$144:$AZ$210</definedName>
    <definedName name="__123Graph_ATEST1" localSheetId="101" hidden="1">[1]REER!$AZ$144:$AZ$210</definedName>
    <definedName name="__123Graph_ATEST1" localSheetId="108" hidden="1">[1]REER!$AZ$144:$AZ$210</definedName>
    <definedName name="__123Graph_ATEST1" localSheetId="115" hidden="1">[2]REER!$AZ$144:$AZ$210</definedName>
    <definedName name="__123Graph_ATEST1" localSheetId="7" hidden="1">[1]REER!$AZ$144:$AZ$210</definedName>
    <definedName name="__123Graph_ATEST1" localSheetId="8" hidden="1">[1]REER!$AZ$144:$AZ$210</definedName>
    <definedName name="__123Graph_ATEST1" localSheetId="9" hidden="1">[1]REER!$AZ$144:$AZ$210</definedName>
    <definedName name="__123Graph_ATEST1" localSheetId="10" hidden="1">[2]REER!$AZ$144:$AZ$210</definedName>
    <definedName name="__123Graph_ATEST1" localSheetId="15" hidden="1">[4]REER!$AZ$144:$AZ$210</definedName>
    <definedName name="__123Graph_ATEST1" localSheetId="16" hidden="1">[4]REER!$AZ$144:$AZ$210</definedName>
    <definedName name="__123Graph_ATEST1" localSheetId="17" hidden="1">[4]REER!$AZ$144:$AZ$210</definedName>
    <definedName name="__123Graph_ATEST1" localSheetId="19" hidden="1">[1]REER!$AZ$144:$AZ$210</definedName>
    <definedName name="__123Graph_ATEST1" localSheetId="21" hidden="1">[1]REER!$AZ$144:$AZ$210</definedName>
    <definedName name="__123Graph_ATEST1" localSheetId="23" hidden="1">[1]REER!$AZ$144:$AZ$210</definedName>
    <definedName name="__123Graph_ATEST1" localSheetId="24" hidden="1">[1]REER!$AZ$144:$AZ$210</definedName>
    <definedName name="__123Graph_ATEST1" localSheetId="25" hidden="1">[1]REER!$AZ$144:$AZ$210</definedName>
    <definedName name="__123Graph_ATEST1" localSheetId="27" hidden="1">[1]REER!$AZ$144:$AZ$210</definedName>
    <definedName name="__123Graph_ATEST1" localSheetId="30" hidden="1">[1]REER!$AZ$144:$AZ$210</definedName>
    <definedName name="__123Graph_ATEST1" localSheetId="33" hidden="1">[1]REER!$AZ$144:$AZ$210</definedName>
    <definedName name="__123Graph_ATEST1" localSheetId="34" hidden="1">[2]REER!$AZ$144:$AZ$210</definedName>
    <definedName name="__123Graph_ATEST1" localSheetId="35" hidden="1">[2]REER!$AZ$144:$AZ$210</definedName>
    <definedName name="__123Graph_ATEST1" localSheetId="36" hidden="1">[2]REER!$AZ$144:$AZ$210</definedName>
    <definedName name="__123Graph_ATEST1" localSheetId="37" hidden="1">[2]REER!$AZ$144:$AZ$210</definedName>
    <definedName name="__123Graph_ATEST1" localSheetId="38" hidden="1">[2]REER!$AZ$144:$AZ$210</definedName>
    <definedName name="__123Graph_ATEST1" localSheetId="39" hidden="1">[1]REER!$AZ$144:$AZ$210</definedName>
    <definedName name="__123Graph_ATEST1" localSheetId="40" hidden="1">[1]REER!$AZ$144:$AZ$210</definedName>
    <definedName name="__123Graph_ATEST1" localSheetId="44" hidden="1">[5]REER!$AZ$144:$AZ$210</definedName>
    <definedName name="__123Graph_ATEST1" hidden="1">[2]REER!$AZ$144:$AZ$210</definedName>
    <definedName name="__123Graph_B" localSheetId="49" hidden="1">'[6]Quarterly Program'!#REF!</definedName>
    <definedName name="__123Graph_B" localSheetId="50" hidden="1">#REF!</definedName>
    <definedName name="__123Graph_B" localSheetId="51" hidden="1">'[6]Quarterly Program'!#REF!</definedName>
    <definedName name="__123Graph_B" localSheetId="53" hidden="1">'[6]Quarterly Program'!#REF!</definedName>
    <definedName name="__123Graph_B" localSheetId="54" hidden="1">'[6]Quarterly Program'!#REF!</definedName>
    <definedName name="__123Graph_B" localSheetId="55" hidden="1">#REF!</definedName>
    <definedName name="__123Graph_B" localSheetId="56" hidden="1">#REF!</definedName>
    <definedName name="__123Graph_B" localSheetId="57" hidden="1">#REF!</definedName>
    <definedName name="__123Graph_B" localSheetId="58" hidden="1">#REF!</definedName>
    <definedName name="__123Graph_B" localSheetId="59" hidden="1">#REF!</definedName>
    <definedName name="__123Graph_B" localSheetId="62" hidden="1">#REF!</definedName>
    <definedName name="__123Graph_B" localSheetId="70" hidden="1">#REF!</definedName>
    <definedName name="__123Graph_B" localSheetId="71" hidden="1">'[6]Quarterly Program'!#REF!</definedName>
    <definedName name="__123Graph_B" localSheetId="72" hidden="1">'[6]Quarterly Program'!#REF!</definedName>
    <definedName name="__123Graph_B" localSheetId="73" hidden="1">'[6]Quarterly Program'!#REF!</definedName>
    <definedName name="__123Graph_B" localSheetId="74" hidden="1">'[6]Quarterly Program'!#REF!</definedName>
    <definedName name="__123Graph_B" localSheetId="75" hidden="1">'[6]Quarterly Program'!#REF!</definedName>
    <definedName name="__123Graph_B" localSheetId="76" hidden="1">'[6]Quarterly Program'!#REF!</definedName>
    <definedName name="__123Graph_B" localSheetId="79" hidden="1">#REF!</definedName>
    <definedName name="__123Graph_B" localSheetId="80" hidden="1">#REF!</definedName>
    <definedName name="__123Graph_B" localSheetId="81" hidden="1">#REF!</definedName>
    <definedName name="__123Graph_B" localSheetId="83" hidden="1">'[6]Quarterly Program'!#REF!</definedName>
    <definedName name="__123Graph_B" localSheetId="87" hidden="1">#REF!</definedName>
    <definedName name="__123Graph_B" localSheetId="95" hidden="1">'[6]Quarterly Program'!#REF!</definedName>
    <definedName name="__123Graph_B" localSheetId="97" hidden="1">#REF!</definedName>
    <definedName name="__123Graph_B" localSheetId="98" hidden="1">#REF!</definedName>
    <definedName name="__123Graph_B" localSheetId="99" hidden="1">#REF!</definedName>
    <definedName name="__123Graph_B" localSheetId="100" hidden="1">#REF!</definedName>
    <definedName name="__123Graph_B" localSheetId="101" hidden="1">#REF!</definedName>
    <definedName name="__123Graph_B" localSheetId="108" hidden="1">#REF!</definedName>
    <definedName name="__123Graph_B" localSheetId="115" hidden="1">'[6]Quarterly Program'!#REF!</definedName>
    <definedName name="__123Graph_B" localSheetId="5" hidden="1">#REF!</definedName>
    <definedName name="__123Graph_B" localSheetId="6" hidden="1">#REF!</definedName>
    <definedName name="__123Graph_B" localSheetId="7" hidden="1">#REF!</definedName>
    <definedName name="__123Graph_B" localSheetId="8" hidden="1">#REF!</definedName>
    <definedName name="__123Graph_B" localSheetId="9" hidden="1">#REF!</definedName>
    <definedName name="__123Graph_B" localSheetId="10" hidden="1">'[6]Quarterly Program'!#REF!</definedName>
    <definedName name="__123Graph_B" localSheetId="14" hidden="1">#REF!</definedName>
    <definedName name="__123Graph_B" localSheetId="15" hidden="1">#REF!</definedName>
    <definedName name="__123Graph_B" localSheetId="16" hidden="1">#REF!</definedName>
    <definedName name="__123Graph_B" localSheetId="17" hidden="1">#REF!</definedName>
    <definedName name="__123Graph_B" localSheetId="19" hidden="1">#REF!</definedName>
    <definedName name="__123Graph_B" localSheetId="21" hidden="1">#REF!</definedName>
    <definedName name="__123Graph_B" localSheetId="23" hidden="1">#REF!</definedName>
    <definedName name="__123Graph_B" localSheetId="24" hidden="1">#REF!</definedName>
    <definedName name="__123Graph_B" localSheetId="25" hidden="1">#REF!</definedName>
    <definedName name="__123Graph_B" localSheetId="27" hidden="1">#REF!</definedName>
    <definedName name="__123Graph_B" localSheetId="30" hidden="1">#REF!</definedName>
    <definedName name="__123Graph_B" localSheetId="33" hidden="1">#REF!</definedName>
    <definedName name="__123Graph_B" localSheetId="34" hidden="1">'[6]Quarterly Program'!#REF!</definedName>
    <definedName name="__123Graph_B" localSheetId="35" hidden="1">'[6]Quarterly Program'!#REF!</definedName>
    <definedName name="__123Graph_B" localSheetId="36" hidden="1">'[6]Quarterly Program'!#REF!</definedName>
    <definedName name="__123Graph_B" localSheetId="37" hidden="1">'[6]Quarterly Program'!#REF!</definedName>
    <definedName name="__123Graph_B" localSheetId="38" hidden="1">'[6]Quarterly Program'!#REF!</definedName>
    <definedName name="__123Graph_B" localSheetId="39" hidden="1">#REF!</definedName>
    <definedName name="__123Graph_B" localSheetId="40" hidden="1">#REF!</definedName>
    <definedName name="__123Graph_B" localSheetId="44" hidden="1">#REF!</definedName>
    <definedName name="__123Graph_B" hidden="1">'[6]Quarterly Program'!#REF!</definedName>
    <definedName name="__123Graph_BCurrent" localSheetId="49" hidden="1">[7]G!#REF!</definedName>
    <definedName name="__123Graph_BCurrent" localSheetId="50" hidden="1">[7]G!#REF!</definedName>
    <definedName name="__123Graph_BCurrent" localSheetId="51" hidden="1">[7]G!#REF!</definedName>
    <definedName name="__123Graph_BCurrent" localSheetId="53" hidden="1">[7]G!#REF!</definedName>
    <definedName name="__123Graph_BCurrent" localSheetId="54" hidden="1">[7]G!#REF!</definedName>
    <definedName name="__123Graph_BCurrent" localSheetId="55" hidden="1">[7]G!#REF!</definedName>
    <definedName name="__123Graph_BCurrent" localSheetId="56" hidden="1">[7]G!#REF!</definedName>
    <definedName name="__123Graph_BCurrent" localSheetId="57" hidden="1">[7]G!#REF!</definedName>
    <definedName name="__123Graph_BCurrent" localSheetId="58" hidden="1">[7]G!#REF!</definedName>
    <definedName name="__123Graph_BCurrent" localSheetId="59" hidden="1">[7]G!#REF!</definedName>
    <definedName name="__123Graph_BCurrent" localSheetId="62" hidden="1">[7]G!#REF!</definedName>
    <definedName name="__123Graph_BCurrent" localSheetId="70" hidden="1">[7]G!#REF!</definedName>
    <definedName name="__123Graph_BCurrent" localSheetId="75" hidden="1">[7]G!#REF!</definedName>
    <definedName name="__123Graph_BCurrent" localSheetId="76" hidden="1">[7]G!#REF!</definedName>
    <definedName name="__123Graph_BCurrent" localSheetId="79" hidden="1">[7]G!#REF!</definedName>
    <definedName name="__123Graph_BCurrent" localSheetId="80" hidden="1">[7]G!#REF!</definedName>
    <definedName name="__123Graph_BCurrent" localSheetId="81" hidden="1">[7]G!#REF!</definedName>
    <definedName name="__123Graph_BCurrent" localSheetId="83" hidden="1">[7]G!#REF!</definedName>
    <definedName name="__123Graph_BCurrent" localSheetId="87" hidden="1">[7]G!#REF!</definedName>
    <definedName name="__123Graph_BCurrent" localSheetId="95" hidden="1">[7]G!#REF!</definedName>
    <definedName name="__123Graph_BCurrent" localSheetId="97" hidden="1">[7]G!#REF!</definedName>
    <definedName name="__123Graph_BCurrent" localSheetId="98" hidden="1">[7]G!#REF!</definedName>
    <definedName name="__123Graph_BCurrent" localSheetId="99" hidden="1">[7]G!#REF!</definedName>
    <definedName name="__123Graph_BCurrent" localSheetId="100" hidden="1">[7]G!#REF!</definedName>
    <definedName name="__123Graph_BCurrent" localSheetId="101" hidden="1">[7]G!#REF!</definedName>
    <definedName name="__123Graph_BCurrent" localSheetId="108" hidden="1">[7]G!#REF!</definedName>
    <definedName name="__123Graph_BCurrent" localSheetId="5" hidden="1">[7]G!#REF!</definedName>
    <definedName name="__123Graph_BCurrent" localSheetId="6" hidden="1">[7]G!#REF!</definedName>
    <definedName name="__123Graph_BCurrent" localSheetId="7" hidden="1">[7]G!#REF!</definedName>
    <definedName name="__123Graph_BCurrent" localSheetId="8" hidden="1">[7]G!#REF!</definedName>
    <definedName name="__123Graph_BCurrent" localSheetId="9" hidden="1">[7]G!#REF!</definedName>
    <definedName name="__123Graph_BCurrent" localSheetId="14" hidden="1">[7]G!#REF!</definedName>
    <definedName name="__123Graph_BCurrent" localSheetId="15" hidden="1">[7]G!#REF!</definedName>
    <definedName name="__123Graph_BCurrent" localSheetId="16" hidden="1">[7]G!#REF!</definedName>
    <definedName name="__123Graph_BCurrent" localSheetId="17" hidden="1">[7]G!#REF!</definedName>
    <definedName name="__123Graph_BCurrent" localSheetId="19" hidden="1">[7]G!#REF!</definedName>
    <definedName name="__123Graph_BCurrent" localSheetId="21" hidden="1">[7]G!#REF!</definedName>
    <definedName name="__123Graph_BCurrent" localSheetId="23" hidden="1">[7]G!#REF!</definedName>
    <definedName name="__123Graph_BCurrent" localSheetId="24" hidden="1">[7]G!#REF!</definedName>
    <definedName name="__123Graph_BCurrent" localSheetId="25" hidden="1">[7]G!#REF!</definedName>
    <definedName name="__123Graph_BCurrent" localSheetId="27" hidden="1">[7]G!#REF!</definedName>
    <definedName name="__123Graph_BCurrent" localSheetId="30" hidden="1">[7]G!#REF!</definedName>
    <definedName name="__123Graph_BCurrent" localSheetId="33" hidden="1">[7]G!#REF!</definedName>
    <definedName name="__123Graph_BCurrent" localSheetId="34" hidden="1">[7]G!#REF!</definedName>
    <definedName name="__123Graph_BCurrent" localSheetId="35" hidden="1">[7]G!#REF!</definedName>
    <definedName name="__123Graph_BCurrent" localSheetId="36" hidden="1">[7]G!#REF!</definedName>
    <definedName name="__123Graph_BCurrent" localSheetId="37" hidden="1">[7]G!#REF!</definedName>
    <definedName name="__123Graph_BCurrent" localSheetId="38" hidden="1">[7]G!#REF!</definedName>
    <definedName name="__123Graph_BCurrent" localSheetId="39" hidden="1">[7]G!#REF!</definedName>
    <definedName name="__123Graph_BCurrent" localSheetId="40" hidden="1">[7]G!#REF!</definedName>
    <definedName name="__123Graph_BCurrent" localSheetId="44" hidden="1">[7]G!#REF!</definedName>
    <definedName name="__123Graph_BCurrent" hidden="1">[7]G!#REF!</definedName>
    <definedName name="__123Graph_BGDP" localSheetId="49" hidden="1">'[6]Quarterly Program'!#REF!</definedName>
    <definedName name="__123Graph_BGDP" localSheetId="50" hidden="1">'[8]Quarterly Program'!#REF!</definedName>
    <definedName name="__123Graph_BGDP" localSheetId="51" hidden="1">'[6]Quarterly Program'!#REF!</definedName>
    <definedName name="__123Graph_BGDP" localSheetId="53" hidden="1">'[6]Quarterly Program'!#REF!</definedName>
    <definedName name="__123Graph_BGDP" localSheetId="54" hidden="1">'[6]Quarterly Program'!#REF!</definedName>
    <definedName name="__123Graph_BGDP" localSheetId="55" hidden="1">'[9]Quarterly Program'!#REF!</definedName>
    <definedName name="__123Graph_BGDP" localSheetId="56" hidden="1">'[9]Quarterly Program'!#REF!</definedName>
    <definedName name="__123Graph_BGDP" localSheetId="57" hidden="1">'[9]Quarterly Program'!#REF!</definedName>
    <definedName name="__123Graph_BGDP" localSheetId="58" hidden="1">'[9]Quarterly Program'!#REF!</definedName>
    <definedName name="__123Graph_BGDP" localSheetId="59" hidden="1">'[9]Quarterly Program'!#REF!</definedName>
    <definedName name="__123Graph_BGDP" localSheetId="62" hidden="1">'[9]Quarterly Program'!#REF!</definedName>
    <definedName name="__123Graph_BGDP" localSheetId="70" hidden="1">'[9]Quarterly Program'!#REF!</definedName>
    <definedName name="__123Graph_BGDP" localSheetId="71" hidden="1">'[6]Quarterly Program'!#REF!</definedName>
    <definedName name="__123Graph_BGDP" localSheetId="72" hidden="1">'[6]Quarterly Program'!#REF!</definedName>
    <definedName name="__123Graph_BGDP" localSheetId="73" hidden="1">'[6]Quarterly Program'!#REF!</definedName>
    <definedName name="__123Graph_BGDP" localSheetId="74" hidden="1">'[6]Quarterly Program'!#REF!</definedName>
    <definedName name="__123Graph_BGDP" localSheetId="75" hidden="1">'[6]Quarterly Program'!#REF!</definedName>
    <definedName name="__123Graph_BGDP" localSheetId="76" hidden="1">'[6]Quarterly Program'!#REF!</definedName>
    <definedName name="__123Graph_BGDP" localSheetId="79" hidden="1">'[8]Quarterly Program'!#REF!</definedName>
    <definedName name="__123Graph_BGDP" localSheetId="80" hidden="1">'[9]Quarterly Program'!#REF!</definedName>
    <definedName name="__123Graph_BGDP" localSheetId="81" hidden="1">'[9]Quarterly Program'!#REF!</definedName>
    <definedName name="__123Graph_BGDP" localSheetId="83" hidden="1">'[6]Quarterly Program'!#REF!</definedName>
    <definedName name="__123Graph_BGDP" localSheetId="87" hidden="1">'[8]Quarterly Program'!#REF!</definedName>
    <definedName name="__123Graph_BGDP" localSheetId="95" hidden="1">'[6]Quarterly Program'!#REF!</definedName>
    <definedName name="__123Graph_BGDP" localSheetId="97" hidden="1">'[9]Quarterly Program'!#REF!</definedName>
    <definedName name="__123Graph_BGDP" localSheetId="98" hidden="1">'[9]Quarterly Program'!#REF!</definedName>
    <definedName name="__123Graph_BGDP" localSheetId="99" hidden="1">'[9]Quarterly Program'!#REF!</definedName>
    <definedName name="__123Graph_BGDP" localSheetId="100" hidden="1">'[9]Quarterly Program'!#REF!</definedName>
    <definedName name="__123Graph_BGDP" localSheetId="101" hidden="1">'[9]Quarterly Program'!#REF!</definedName>
    <definedName name="__123Graph_BGDP" localSheetId="108" hidden="1">'[9]Quarterly Program'!#REF!</definedName>
    <definedName name="__123Graph_BGDP" localSheetId="115" hidden="1">'[6]Quarterly Program'!#REF!</definedName>
    <definedName name="__123Graph_BGDP" localSheetId="5" hidden="1">'[9]Quarterly Program'!#REF!</definedName>
    <definedName name="__123Graph_BGDP" localSheetId="6" hidden="1">'[9]Quarterly Program'!#REF!</definedName>
    <definedName name="__123Graph_BGDP" localSheetId="7" hidden="1">'[9]Quarterly Program'!#REF!</definedName>
    <definedName name="__123Graph_BGDP" localSheetId="8" hidden="1">'[9]Quarterly Program'!#REF!</definedName>
    <definedName name="__123Graph_BGDP" localSheetId="9" hidden="1">'[9]Quarterly Program'!#REF!</definedName>
    <definedName name="__123Graph_BGDP" localSheetId="10" hidden="1">'[6]Quarterly Program'!#REF!</definedName>
    <definedName name="__123Graph_BGDP" localSheetId="14" hidden="1">'[9]Quarterly Program'!#REF!</definedName>
    <definedName name="__123Graph_BGDP" localSheetId="19" hidden="1">'[9]Quarterly Program'!#REF!</definedName>
    <definedName name="__123Graph_BGDP" localSheetId="21" hidden="1">'[9]Quarterly Program'!#REF!</definedName>
    <definedName name="__123Graph_BGDP" localSheetId="23" hidden="1">'[9]Quarterly Program'!#REF!</definedName>
    <definedName name="__123Graph_BGDP" localSheetId="24" hidden="1">'[9]Quarterly Program'!#REF!</definedName>
    <definedName name="__123Graph_BGDP" localSheetId="25" hidden="1">'[9]Quarterly Program'!#REF!</definedName>
    <definedName name="__123Graph_BGDP" localSheetId="27" hidden="1">'[9]Quarterly Program'!#REF!</definedName>
    <definedName name="__123Graph_BGDP" localSheetId="30" hidden="1">'[9]Quarterly Program'!#REF!</definedName>
    <definedName name="__123Graph_BGDP" localSheetId="33" hidden="1">'[9]Quarterly Program'!#REF!</definedName>
    <definedName name="__123Graph_BGDP" localSheetId="34" hidden="1">'[6]Quarterly Program'!#REF!</definedName>
    <definedName name="__123Graph_BGDP" localSheetId="35" hidden="1">'[6]Quarterly Program'!#REF!</definedName>
    <definedName name="__123Graph_BGDP" localSheetId="36" hidden="1">'[6]Quarterly Program'!#REF!</definedName>
    <definedName name="__123Graph_BGDP" localSheetId="37" hidden="1">'[6]Quarterly Program'!#REF!</definedName>
    <definedName name="__123Graph_BGDP" localSheetId="38" hidden="1">'[6]Quarterly Program'!#REF!</definedName>
    <definedName name="__123Graph_BGDP" localSheetId="39" hidden="1">'[9]Quarterly Program'!#REF!</definedName>
    <definedName name="__123Graph_BGDP" localSheetId="40" hidden="1">'[9]Quarterly Program'!#REF!</definedName>
    <definedName name="__123Graph_BGDP" hidden="1">'[6]Quarterly Program'!#REF!</definedName>
    <definedName name="__123Graph_BMONEY" localSheetId="49" hidden="1">'[6]Quarterly Program'!#REF!</definedName>
    <definedName name="__123Graph_BMONEY" localSheetId="50" hidden="1">'[8]Quarterly Program'!#REF!</definedName>
    <definedName name="__123Graph_BMONEY" localSheetId="51" hidden="1">'[6]Quarterly Program'!#REF!</definedName>
    <definedName name="__123Graph_BMONEY" localSheetId="53" hidden="1">'[6]Quarterly Program'!#REF!</definedName>
    <definedName name="__123Graph_BMONEY" localSheetId="54" hidden="1">'[6]Quarterly Program'!#REF!</definedName>
    <definedName name="__123Graph_BMONEY" localSheetId="55" hidden="1">'[9]Quarterly Program'!#REF!</definedName>
    <definedName name="__123Graph_BMONEY" localSheetId="56" hidden="1">'[9]Quarterly Program'!#REF!</definedName>
    <definedName name="__123Graph_BMONEY" localSheetId="57" hidden="1">'[9]Quarterly Program'!#REF!</definedName>
    <definedName name="__123Graph_BMONEY" localSheetId="58" hidden="1">'[9]Quarterly Program'!#REF!</definedName>
    <definedName name="__123Graph_BMONEY" localSheetId="59" hidden="1">'[9]Quarterly Program'!#REF!</definedName>
    <definedName name="__123Graph_BMONEY" localSheetId="62" hidden="1">'[9]Quarterly Program'!#REF!</definedName>
    <definedName name="__123Graph_BMONEY" localSheetId="70" hidden="1">'[9]Quarterly Program'!#REF!</definedName>
    <definedName name="__123Graph_BMONEY" localSheetId="71" hidden="1">'[6]Quarterly Program'!#REF!</definedName>
    <definedName name="__123Graph_BMONEY" localSheetId="72" hidden="1">'[6]Quarterly Program'!#REF!</definedName>
    <definedName name="__123Graph_BMONEY" localSheetId="73" hidden="1">'[6]Quarterly Program'!#REF!</definedName>
    <definedName name="__123Graph_BMONEY" localSheetId="74" hidden="1">'[6]Quarterly Program'!#REF!</definedName>
    <definedName name="__123Graph_BMONEY" localSheetId="75" hidden="1">'[6]Quarterly Program'!#REF!</definedName>
    <definedName name="__123Graph_BMONEY" localSheetId="76" hidden="1">'[6]Quarterly Program'!#REF!</definedName>
    <definedName name="__123Graph_BMONEY" localSheetId="79" hidden="1">'[8]Quarterly Program'!#REF!</definedName>
    <definedName name="__123Graph_BMONEY" localSheetId="80" hidden="1">'[9]Quarterly Program'!#REF!</definedName>
    <definedName name="__123Graph_BMONEY" localSheetId="81" hidden="1">'[9]Quarterly Program'!#REF!</definedName>
    <definedName name="__123Graph_BMONEY" localSheetId="83" hidden="1">'[6]Quarterly Program'!#REF!</definedName>
    <definedName name="__123Graph_BMONEY" localSheetId="87" hidden="1">'[8]Quarterly Program'!#REF!</definedName>
    <definedName name="__123Graph_BMONEY" localSheetId="95" hidden="1">'[6]Quarterly Program'!#REF!</definedName>
    <definedName name="__123Graph_BMONEY" localSheetId="97" hidden="1">'[9]Quarterly Program'!#REF!</definedName>
    <definedName name="__123Graph_BMONEY" localSheetId="98" hidden="1">'[9]Quarterly Program'!#REF!</definedName>
    <definedName name="__123Graph_BMONEY" localSheetId="99" hidden="1">'[9]Quarterly Program'!#REF!</definedName>
    <definedName name="__123Graph_BMONEY" localSheetId="100" hidden="1">'[9]Quarterly Program'!#REF!</definedName>
    <definedName name="__123Graph_BMONEY" localSheetId="101" hidden="1">'[9]Quarterly Program'!#REF!</definedName>
    <definedName name="__123Graph_BMONEY" localSheetId="108" hidden="1">'[9]Quarterly Program'!#REF!</definedName>
    <definedName name="__123Graph_BMONEY" localSheetId="115" hidden="1">'[6]Quarterly Program'!#REF!</definedName>
    <definedName name="__123Graph_BMONEY" localSheetId="5" hidden="1">'[9]Quarterly Program'!#REF!</definedName>
    <definedName name="__123Graph_BMONEY" localSheetId="6" hidden="1">'[9]Quarterly Program'!#REF!</definedName>
    <definedName name="__123Graph_BMONEY" localSheetId="7" hidden="1">'[9]Quarterly Program'!#REF!</definedName>
    <definedName name="__123Graph_BMONEY" localSheetId="8" hidden="1">'[9]Quarterly Program'!#REF!</definedName>
    <definedName name="__123Graph_BMONEY" localSheetId="9" hidden="1">'[9]Quarterly Program'!#REF!</definedName>
    <definedName name="__123Graph_BMONEY" localSheetId="10" hidden="1">'[6]Quarterly Program'!#REF!</definedName>
    <definedName name="__123Graph_BMONEY" localSheetId="14" hidden="1">'[9]Quarterly Program'!#REF!</definedName>
    <definedName name="__123Graph_BMONEY" localSheetId="19" hidden="1">'[9]Quarterly Program'!#REF!</definedName>
    <definedName name="__123Graph_BMONEY" localSheetId="21" hidden="1">'[9]Quarterly Program'!#REF!</definedName>
    <definedName name="__123Graph_BMONEY" localSheetId="23" hidden="1">'[9]Quarterly Program'!#REF!</definedName>
    <definedName name="__123Graph_BMONEY" localSheetId="24" hidden="1">'[9]Quarterly Program'!#REF!</definedName>
    <definedName name="__123Graph_BMONEY" localSheetId="25" hidden="1">'[9]Quarterly Program'!#REF!</definedName>
    <definedName name="__123Graph_BMONEY" localSheetId="27" hidden="1">'[9]Quarterly Program'!#REF!</definedName>
    <definedName name="__123Graph_BMONEY" localSheetId="30" hidden="1">'[9]Quarterly Program'!#REF!</definedName>
    <definedName name="__123Graph_BMONEY" localSheetId="33" hidden="1">'[9]Quarterly Program'!#REF!</definedName>
    <definedName name="__123Graph_BMONEY" localSheetId="34" hidden="1">'[6]Quarterly Program'!#REF!</definedName>
    <definedName name="__123Graph_BMONEY" localSheetId="35" hidden="1">'[6]Quarterly Program'!#REF!</definedName>
    <definedName name="__123Graph_BMONEY" localSheetId="36" hidden="1">'[6]Quarterly Program'!#REF!</definedName>
    <definedName name="__123Graph_BMONEY" localSheetId="37" hidden="1">'[6]Quarterly Program'!#REF!</definedName>
    <definedName name="__123Graph_BMONEY" localSheetId="38" hidden="1">'[6]Quarterly Program'!#REF!</definedName>
    <definedName name="__123Graph_BMONEY" localSheetId="39" hidden="1">'[9]Quarterly Program'!#REF!</definedName>
    <definedName name="__123Graph_BMONEY" localSheetId="40" hidden="1">'[9]Quarterly Program'!#REF!</definedName>
    <definedName name="__123Graph_BMONEY" hidden="1">'[6]Quarterly Program'!#REF!</definedName>
    <definedName name="__123Graph_BREER3" localSheetId="55" hidden="1">[1]REER!$BB$144:$BB$212</definedName>
    <definedName name="__123Graph_BREER3" localSheetId="70" hidden="1">[1]REER!$BB$144:$BB$212</definedName>
    <definedName name="__123Graph_BREER3" localSheetId="71" hidden="1">[2]REER!$BB$144:$BB$212</definedName>
    <definedName name="__123Graph_BREER3" localSheetId="72" hidden="1">[2]REER!$BB$144:$BB$212</definedName>
    <definedName name="__123Graph_BREER3" localSheetId="73" hidden="1">[2]REER!$BB$144:$BB$212</definedName>
    <definedName name="__123Graph_BREER3" localSheetId="74" hidden="1">[2]REER!$BB$144:$BB$212</definedName>
    <definedName name="__123Graph_BREER3" localSheetId="79" hidden="1">[3]REER!$BB$144:$BB$212</definedName>
    <definedName name="__123Graph_BREER3" localSheetId="80" hidden="1">[1]REER!$BB$144:$BB$212</definedName>
    <definedName name="__123Graph_BREER3" localSheetId="81" hidden="1">[1]REER!$BB$144:$BB$212</definedName>
    <definedName name="__123Graph_BREER3" localSheetId="101" hidden="1">[1]REER!$BB$144:$BB$212</definedName>
    <definedName name="__123Graph_BREER3" localSheetId="108" hidden="1">[1]REER!$BB$144:$BB$212</definedName>
    <definedName name="__123Graph_BREER3" localSheetId="115" hidden="1">[2]REER!$BB$144:$BB$212</definedName>
    <definedName name="__123Graph_BREER3" localSheetId="7" hidden="1">[1]REER!$BB$144:$BB$212</definedName>
    <definedName name="__123Graph_BREER3" localSheetId="8" hidden="1">[1]REER!$BB$144:$BB$212</definedName>
    <definedName name="__123Graph_BREER3" localSheetId="9" hidden="1">[1]REER!$BB$144:$BB$212</definedName>
    <definedName name="__123Graph_BREER3" localSheetId="10" hidden="1">[2]REER!$BB$144:$BB$212</definedName>
    <definedName name="__123Graph_BREER3" localSheetId="15" hidden="1">[4]REER!$BB$144:$BB$212</definedName>
    <definedName name="__123Graph_BREER3" localSheetId="16" hidden="1">[4]REER!$BB$144:$BB$212</definedName>
    <definedName name="__123Graph_BREER3" localSheetId="17" hidden="1">[4]REER!$BB$144:$BB$212</definedName>
    <definedName name="__123Graph_BREER3" localSheetId="19" hidden="1">[1]REER!$BB$144:$BB$212</definedName>
    <definedName name="__123Graph_BREER3" localSheetId="21" hidden="1">[1]REER!$BB$144:$BB$212</definedName>
    <definedName name="__123Graph_BREER3" localSheetId="23" hidden="1">[1]REER!$BB$144:$BB$212</definedName>
    <definedName name="__123Graph_BREER3" localSheetId="24" hidden="1">[1]REER!$BB$144:$BB$212</definedName>
    <definedName name="__123Graph_BREER3" localSheetId="25" hidden="1">[1]REER!$BB$144:$BB$212</definedName>
    <definedName name="__123Graph_BREER3" localSheetId="27" hidden="1">[1]REER!$BB$144:$BB$212</definedName>
    <definedName name="__123Graph_BREER3" localSheetId="30" hidden="1">[1]REER!$BB$144:$BB$212</definedName>
    <definedName name="__123Graph_BREER3" localSheetId="33" hidden="1">[1]REER!$BB$144:$BB$212</definedName>
    <definedName name="__123Graph_BREER3" localSheetId="34" hidden="1">[2]REER!$BB$144:$BB$212</definedName>
    <definedName name="__123Graph_BREER3" localSheetId="35" hidden="1">[2]REER!$BB$144:$BB$212</definedName>
    <definedName name="__123Graph_BREER3" localSheetId="36" hidden="1">[2]REER!$BB$144:$BB$212</definedName>
    <definedName name="__123Graph_BREER3" localSheetId="37" hidden="1">[2]REER!$BB$144:$BB$212</definedName>
    <definedName name="__123Graph_BREER3" localSheetId="38" hidden="1">[2]REER!$BB$144:$BB$212</definedName>
    <definedName name="__123Graph_BREER3" localSheetId="39" hidden="1">[1]REER!$BB$144:$BB$212</definedName>
    <definedName name="__123Graph_BREER3" localSheetId="40" hidden="1">[1]REER!$BB$144:$BB$212</definedName>
    <definedName name="__123Graph_BREER3" localSheetId="44" hidden="1">[5]REER!$BB$144:$BB$212</definedName>
    <definedName name="__123Graph_BREER3" hidden="1">[2]REER!$BB$144:$BB$212</definedName>
    <definedName name="__123Graph_BTEST1" localSheetId="55" hidden="1">[1]REER!$AY$144:$AY$210</definedName>
    <definedName name="__123Graph_BTEST1" localSheetId="70" hidden="1">[1]REER!$AY$144:$AY$210</definedName>
    <definedName name="__123Graph_BTEST1" localSheetId="71" hidden="1">[2]REER!$AY$144:$AY$210</definedName>
    <definedName name="__123Graph_BTEST1" localSheetId="72" hidden="1">[2]REER!$AY$144:$AY$210</definedName>
    <definedName name="__123Graph_BTEST1" localSheetId="73" hidden="1">[2]REER!$AY$144:$AY$210</definedName>
    <definedName name="__123Graph_BTEST1" localSheetId="74" hidden="1">[2]REER!$AY$144:$AY$210</definedName>
    <definedName name="__123Graph_BTEST1" localSheetId="79" hidden="1">[3]REER!$AY$144:$AY$210</definedName>
    <definedName name="__123Graph_BTEST1" localSheetId="80" hidden="1">[1]REER!$AY$144:$AY$210</definedName>
    <definedName name="__123Graph_BTEST1" localSheetId="81" hidden="1">[1]REER!$AY$144:$AY$210</definedName>
    <definedName name="__123Graph_BTEST1" localSheetId="101" hidden="1">[1]REER!$AY$144:$AY$210</definedName>
    <definedName name="__123Graph_BTEST1" localSheetId="108" hidden="1">[1]REER!$AY$144:$AY$210</definedName>
    <definedName name="__123Graph_BTEST1" localSheetId="115" hidden="1">[2]REER!$AY$144:$AY$210</definedName>
    <definedName name="__123Graph_BTEST1" localSheetId="7" hidden="1">[1]REER!$AY$144:$AY$210</definedName>
    <definedName name="__123Graph_BTEST1" localSheetId="8" hidden="1">[1]REER!$AY$144:$AY$210</definedName>
    <definedName name="__123Graph_BTEST1" localSheetId="9" hidden="1">[1]REER!$AY$144:$AY$210</definedName>
    <definedName name="__123Graph_BTEST1" localSheetId="10" hidden="1">[2]REER!$AY$144:$AY$210</definedName>
    <definedName name="__123Graph_BTEST1" localSheetId="15" hidden="1">[4]REER!$AY$144:$AY$210</definedName>
    <definedName name="__123Graph_BTEST1" localSheetId="16" hidden="1">[4]REER!$AY$144:$AY$210</definedName>
    <definedName name="__123Graph_BTEST1" localSheetId="17" hidden="1">[4]REER!$AY$144:$AY$210</definedName>
    <definedName name="__123Graph_BTEST1" localSheetId="19" hidden="1">[1]REER!$AY$144:$AY$210</definedName>
    <definedName name="__123Graph_BTEST1" localSheetId="21" hidden="1">[1]REER!$AY$144:$AY$210</definedName>
    <definedName name="__123Graph_BTEST1" localSheetId="23" hidden="1">[1]REER!$AY$144:$AY$210</definedName>
    <definedName name="__123Graph_BTEST1" localSheetId="24" hidden="1">[1]REER!$AY$144:$AY$210</definedName>
    <definedName name="__123Graph_BTEST1" localSheetId="25" hidden="1">[1]REER!$AY$144:$AY$210</definedName>
    <definedName name="__123Graph_BTEST1" localSheetId="27" hidden="1">[1]REER!$AY$144:$AY$210</definedName>
    <definedName name="__123Graph_BTEST1" localSheetId="30" hidden="1">[1]REER!$AY$144:$AY$210</definedName>
    <definedName name="__123Graph_BTEST1" localSheetId="33" hidden="1">[1]REER!$AY$144:$AY$210</definedName>
    <definedName name="__123Graph_BTEST1" localSheetId="34" hidden="1">[2]REER!$AY$144:$AY$210</definedName>
    <definedName name="__123Graph_BTEST1" localSheetId="35" hidden="1">[2]REER!$AY$144:$AY$210</definedName>
    <definedName name="__123Graph_BTEST1" localSheetId="36" hidden="1">[2]REER!$AY$144:$AY$210</definedName>
    <definedName name="__123Graph_BTEST1" localSheetId="37" hidden="1">[2]REER!$AY$144:$AY$210</definedName>
    <definedName name="__123Graph_BTEST1" localSheetId="38" hidden="1">[2]REER!$AY$144:$AY$210</definedName>
    <definedName name="__123Graph_BTEST1" localSheetId="39" hidden="1">[1]REER!$AY$144:$AY$210</definedName>
    <definedName name="__123Graph_BTEST1" localSheetId="40" hidden="1">[1]REER!$AY$144:$AY$210</definedName>
    <definedName name="__123Graph_BTEST1" localSheetId="44" hidden="1">[5]REER!$AY$144:$AY$210</definedName>
    <definedName name="__123Graph_BTEST1" hidden="1">[2]REER!$AY$144:$AY$210</definedName>
    <definedName name="__123Graph_CREER3" localSheetId="55" hidden="1">[1]REER!$BB$144:$BB$212</definedName>
    <definedName name="__123Graph_CREER3" localSheetId="70" hidden="1">[1]REER!$BB$144:$BB$212</definedName>
    <definedName name="__123Graph_CREER3" localSheetId="71" hidden="1">[2]REER!$BB$144:$BB$212</definedName>
    <definedName name="__123Graph_CREER3" localSheetId="72" hidden="1">[2]REER!$BB$144:$BB$212</definedName>
    <definedName name="__123Graph_CREER3" localSheetId="73" hidden="1">[2]REER!$BB$144:$BB$212</definedName>
    <definedName name="__123Graph_CREER3" localSheetId="74" hidden="1">[2]REER!$BB$144:$BB$212</definedName>
    <definedName name="__123Graph_CREER3" localSheetId="79" hidden="1">[3]REER!$BB$144:$BB$212</definedName>
    <definedName name="__123Graph_CREER3" localSheetId="80" hidden="1">[1]REER!$BB$144:$BB$212</definedName>
    <definedName name="__123Graph_CREER3" localSheetId="81" hidden="1">[1]REER!$BB$144:$BB$212</definedName>
    <definedName name="__123Graph_CREER3" localSheetId="101" hidden="1">[1]REER!$BB$144:$BB$212</definedName>
    <definedName name="__123Graph_CREER3" localSheetId="108" hidden="1">[1]REER!$BB$144:$BB$212</definedName>
    <definedName name="__123Graph_CREER3" localSheetId="115" hidden="1">[2]REER!$BB$144:$BB$212</definedName>
    <definedName name="__123Graph_CREER3" localSheetId="7" hidden="1">[1]REER!$BB$144:$BB$212</definedName>
    <definedName name="__123Graph_CREER3" localSheetId="8" hidden="1">[1]REER!$BB$144:$BB$212</definedName>
    <definedName name="__123Graph_CREER3" localSheetId="9" hidden="1">[1]REER!$BB$144:$BB$212</definedName>
    <definedName name="__123Graph_CREER3" localSheetId="10" hidden="1">[2]REER!$BB$144:$BB$212</definedName>
    <definedName name="__123Graph_CREER3" localSheetId="15" hidden="1">[4]REER!$BB$144:$BB$212</definedName>
    <definedName name="__123Graph_CREER3" localSheetId="16" hidden="1">[4]REER!$BB$144:$BB$212</definedName>
    <definedName name="__123Graph_CREER3" localSheetId="17" hidden="1">[4]REER!$BB$144:$BB$212</definedName>
    <definedName name="__123Graph_CREER3" localSheetId="19" hidden="1">[1]REER!$BB$144:$BB$212</definedName>
    <definedName name="__123Graph_CREER3" localSheetId="21" hidden="1">[1]REER!$BB$144:$BB$212</definedName>
    <definedName name="__123Graph_CREER3" localSheetId="23" hidden="1">[1]REER!$BB$144:$BB$212</definedName>
    <definedName name="__123Graph_CREER3" localSheetId="24" hidden="1">[1]REER!$BB$144:$BB$212</definedName>
    <definedName name="__123Graph_CREER3" localSheetId="25" hidden="1">[1]REER!$BB$144:$BB$212</definedName>
    <definedName name="__123Graph_CREER3" localSheetId="27" hidden="1">[1]REER!$BB$144:$BB$212</definedName>
    <definedName name="__123Graph_CREER3" localSheetId="30" hidden="1">[1]REER!$BB$144:$BB$212</definedName>
    <definedName name="__123Graph_CREER3" localSheetId="33" hidden="1">[1]REER!$BB$144:$BB$212</definedName>
    <definedName name="__123Graph_CREER3" localSheetId="34" hidden="1">[2]REER!$BB$144:$BB$212</definedName>
    <definedName name="__123Graph_CREER3" localSheetId="35" hidden="1">[2]REER!$BB$144:$BB$212</definedName>
    <definedName name="__123Graph_CREER3" localSheetId="36" hidden="1">[2]REER!$BB$144:$BB$212</definedName>
    <definedName name="__123Graph_CREER3" localSheetId="37" hidden="1">[2]REER!$BB$144:$BB$212</definedName>
    <definedName name="__123Graph_CREER3" localSheetId="38" hidden="1">[2]REER!$BB$144:$BB$212</definedName>
    <definedName name="__123Graph_CREER3" localSheetId="39" hidden="1">[1]REER!$BB$144:$BB$212</definedName>
    <definedName name="__123Graph_CREER3" localSheetId="40" hidden="1">[1]REER!$BB$144:$BB$212</definedName>
    <definedName name="__123Graph_CREER3" localSheetId="44" hidden="1">[5]REER!$BB$144:$BB$212</definedName>
    <definedName name="__123Graph_CREER3" hidden="1">[2]REER!$BB$144:$BB$212</definedName>
    <definedName name="__123Graph_CTEST1" localSheetId="55" hidden="1">[1]REER!$BK$140:$BK$140</definedName>
    <definedName name="__123Graph_CTEST1" localSheetId="70" hidden="1">[1]REER!$BK$140:$BK$140</definedName>
    <definedName name="__123Graph_CTEST1" localSheetId="71" hidden="1">[2]REER!$BK$140:$BK$140</definedName>
    <definedName name="__123Graph_CTEST1" localSheetId="72" hidden="1">[2]REER!$BK$140:$BK$140</definedName>
    <definedName name="__123Graph_CTEST1" localSheetId="73" hidden="1">[2]REER!$BK$140:$BK$140</definedName>
    <definedName name="__123Graph_CTEST1" localSheetId="74" hidden="1">[2]REER!$BK$140:$BK$140</definedName>
    <definedName name="__123Graph_CTEST1" localSheetId="79" hidden="1">[3]REER!$BK$140:$BK$140</definedName>
    <definedName name="__123Graph_CTEST1" localSheetId="80" hidden="1">[1]REER!$BK$140:$BK$140</definedName>
    <definedName name="__123Graph_CTEST1" localSheetId="81" hidden="1">[1]REER!$BK$140:$BK$140</definedName>
    <definedName name="__123Graph_CTEST1" localSheetId="101" hidden="1">[1]REER!$BK$140:$BK$140</definedName>
    <definedName name="__123Graph_CTEST1" localSheetId="108" hidden="1">[1]REER!$BK$140:$BK$140</definedName>
    <definedName name="__123Graph_CTEST1" localSheetId="115" hidden="1">[2]REER!$BK$140:$BK$140</definedName>
    <definedName name="__123Graph_CTEST1" localSheetId="7" hidden="1">[1]REER!$BK$140:$BK$140</definedName>
    <definedName name="__123Graph_CTEST1" localSheetId="8" hidden="1">[1]REER!$BK$140:$BK$140</definedName>
    <definedName name="__123Graph_CTEST1" localSheetId="9" hidden="1">[1]REER!$BK$140:$BK$140</definedName>
    <definedName name="__123Graph_CTEST1" localSheetId="10" hidden="1">[2]REER!$BK$140:$BK$140</definedName>
    <definedName name="__123Graph_CTEST1" localSheetId="15" hidden="1">[4]REER!$BK$140:$BK$140</definedName>
    <definedName name="__123Graph_CTEST1" localSheetId="16" hidden="1">[4]REER!$BK$140:$BK$140</definedName>
    <definedName name="__123Graph_CTEST1" localSheetId="17" hidden="1">[4]REER!$BK$140:$BK$140</definedName>
    <definedName name="__123Graph_CTEST1" localSheetId="19" hidden="1">[1]REER!$BK$140:$BK$140</definedName>
    <definedName name="__123Graph_CTEST1" localSheetId="21" hidden="1">[1]REER!$BK$140:$BK$140</definedName>
    <definedName name="__123Graph_CTEST1" localSheetId="23" hidden="1">[1]REER!$BK$140:$BK$140</definedName>
    <definedName name="__123Graph_CTEST1" localSheetId="24" hidden="1">[1]REER!$BK$140:$BK$140</definedName>
    <definedName name="__123Graph_CTEST1" localSheetId="25" hidden="1">[1]REER!$BK$140:$BK$140</definedName>
    <definedName name="__123Graph_CTEST1" localSheetId="27" hidden="1">[1]REER!$BK$140:$BK$140</definedName>
    <definedName name="__123Graph_CTEST1" localSheetId="30" hidden="1">[1]REER!$BK$140:$BK$140</definedName>
    <definedName name="__123Graph_CTEST1" localSheetId="33" hidden="1">[1]REER!$BK$140:$BK$140</definedName>
    <definedName name="__123Graph_CTEST1" localSheetId="34" hidden="1">[2]REER!$BK$140:$BK$140</definedName>
    <definedName name="__123Graph_CTEST1" localSheetId="35" hidden="1">[2]REER!$BK$140:$BK$140</definedName>
    <definedName name="__123Graph_CTEST1" localSheetId="36" hidden="1">[2]REER!$BK$140:$BK$140</definedName>
    <definedName name="__123Graph_CTEST1" localSheetId="37" hidden="1">[2]REER!$BK$140:$BK$140</definedName>
    <definedName name="__123Graph_CTEST1" localSheetId="38" hidden="1">[2]REER!$BK$140:$BK$140</definedName>
    <definedName name="__123Graph_CTEST1" localSheetId="39" hidden="1">[1]REER!$BK$140:$BK$140</definedName>
    <definedName name="__123Graph_CTEST1" localSheetId="40" hidden="1">[1]REER!$BK$140:$BK$140</definedName>
    <definedName name="__123Graph_CTEST1" localSheetId="44" hidden="1">[5]REER!$BK$140:$BK$140</definedName>
    <definedName name="__123Graph_CTEST1" hidden="1">[2]REER!$BK$140:$BK$140</definedName>
    <definedName name="__123Graph_DREER3" localSheetId="55" hidden="1">[1]REER!$BB$144:$BB$210</definedName>
    <definedName name="__123Graph_DREER3" localSheetId="70" hidden="1">[1]REER!$BB$144:$BB$210</definedName>
    <definedName name="__123Graph_DREER3" localSheetId="71" hidden="1">[2]REER!$BB$144:$BB$210</definedName>
    <definedName name="__123Graph_DREER3" localSheetId="72" hidden="1">[2]REER!$BB$144:$BB$210</definedName>
    <definedName name="__123Graph_DREER3" localSheetId="73" hidden="1">[2]REER!$BB$144:$BB$210</definedName>
    <definedName name="__123Graph_DREER3" localSheetId="74" hidden="1">[2]REER!$BB$144:$BB$210</definedName>
    <definedName name="__123Graph_DREER3" localSheetId="79" hidden="1">[3]REER!$BB$144:$BB$210</definedName>
    <definedName name="__123Graph_DREER3" localSheetId="80" hidden="1">[1]REER!$BB$144:$BB$210</definedName>
    <definedName name="__123Graph_DREER3" localSheetId="81" hidden="1">[1]REER!$BB$144:$BB$210</definedName>
    <definedName name="__123Graph_DREER3" localSheetId="101" hidden="1">[1]REER!$BB$144:$BB$210</definedName>
    <definedName name="__123Graph_DREER3" localSheetId="108" hidden="1">[1]REER!$BB$144:$BB$210</definedName>
    <definedName name="__123Graph_DREER3" localSheetId="115" hidden="1">[2]REER!$BB$144:$BB$210</definedName>
    <definedName name="__123Graph_DREER3" localSheetId="7" hidden="1">[1]REER!$BB$144:$BB$210</definedName>
    <definedName name="__123Graph_DREER3" localSheetId="8" hidden="1">[1]REER!$BB$144:$BB$210</definedName>
    <definedName name="__123Graph_DREER3" localSheetId="9" hidden="1">[1]REER!$BB$144:$BB$210</definedName>
    <definedName name="__123Graph_DREER3" localSheetId="10" hidden="1">[2]REER!$BB$144:$BB$210</definedName>
    <definedName name="__123Graph_DREER3" localSheetId="15" hidden="1">[4]REER!$BB$144:$BB$210</definedName>
    <definedName name="__123Graph_DREER3" localSheetId="16" hidden="1">[4]REER!$BB$144:$BB$210</definedName>
    <definedName name="__123Graph_DREER3" localSheetId="17" hidden="1">[4]REER!$BB$144:$BB$210</definedName>
    <definedName name="__123Graph_DREER3" localSheetId="19" hidden="1">[1]REER!$BB$144:$BB$210</definedName>
    <definedName name="__123Graph_DREER3" localSheetId="21" hidden="1">[1]REER!$BB$144:$BB$210</definedName>
    <definedName name="__123Graph_DREER3" localSheetId="23" hidden="1">[1]REER!$BB$144:$BB$210</definedName>
    <definedName name="__123Graph_DREER3" localSheetId="24" hidden="1">[1]REER!$BB$144:$BB$210</definedName>
    <definedName name="__123Graph_DREER3" localSheetId="25" hidden="1">[1]REER!$BB$144:$BB$210</definedName>
    <definedName name="__123Graph_DREER3" localSheetId="27" hidden="1">[1]REER!$BB$144:$BB$210</definedName>
    <definedName name="__123Graph_DREER3" localSheetId="30" hidden="1">[1]REER!$BB$144:$BB$210</definedName>
    <definedName name="__123Graph_DREER3" localSheetId="33" hidden="1">[1]REER!$BB$144:$BB$210</definedName>
    <definedName name="__123Graph_DREER3" localSheetId="34" hidden="1">[2]REER!$BB$144:$BB$210</definedName>
    <definedName name="__123Graph_DREER3" localSheetId="35" hidden="1">[2]REER!$BB$144:$BB$210</definedName>
    <definedName name="__123Graph_DREER3" localSheetId="36" hidden="1">[2]REER!$BB$144:$BB$210</definedName>
    <definedName name="__123Graph_DREER3" localSheetId="37" hidden="1">[2]REER!$BB$144:$BB$210</definedName>
    <definedName name="__123Graph_DREER3" localSheetId="38" hidden="1">[2]REER!$BB$144:$BB$210</definedName>
    <definedName name="__123Graph_DREER3" localSheetId="39" hidden="1">[1]REER!$BB$144:$BB$210</definedName>
    <definedName name="__123Graph_DREER3" localSheetId="40" hidden="1">[1]REER!$BB$144:$BB$210</definedName>
    <definedName name="__123Graph_DREER3" localSheetId="44" hidden="1">[5]REER!$BB$144:$BB$210</definedName>
    <definedName name="__123Graph_DREER3" hidden="1">[2]REER!$BB$144:$BB$210</definedName>
    <definedName name="__123Graph_DTEST1" localSheetId="55" hidden="1">[1]REER!$BB$144:$BB$210</definedName>
    <definedName name="__123Graph_DTEST1" localSheetId="70" hidden="1">[1]REER!$BB$144:$BB$210</definedName>
    <definedName name="__123Graph_DTEST1" localSheetId="71" hidden="1">[2]REER!$BB$144:$BB$210</definedName>
    <definedName name="__123Graph_DTEST1" localSheetId="72" hidden="1">[2]REER!$BB$144:$BB$210</definedName>
    <definedName name="__123Graph_DTEST1" localSheetId="73" hidden="1">[2]REER!$BB$144:$BB$210</definedName>
    <definedName name="__123Graph_DTEST1" localSheetId="74" hidden="1">[2]REER!$BB$144:$BB$210</definedName>
    <definedName name="__123Graph_DTEST1" localSheetId="79" hidden="1">[3]REER!$BB$144:$BB$210</definedName>
    <definedName name="__123Graph_DTEST1" localSheetId="80" hidden="1">[1]REER!$BB$144:$BB$210</definedName>
    <definedName name="__123Graph_DTEST1" localSheetId="81" hidden="1">[1]REER!$BB$144:$BB$210</definedName>
    <definedName name="__123Graph_DTEST1" localSheetId="101" hidden="1">[1]REER!$BB$144:$BB$210</definedName>
    <definedName name="__123Graph_DTEST1" localSheetId="108" hidden="1">[1]REER!$BB$144:$BB$210</definedName>
    <definedName name="__123Graph_DTEST1" localSheetId="115" hidden="1">[2]REER!$BB$144:$BB$210</definedName>
    <definedName name="__123Graph_DTEST1" localSheetId="7" hidden="1">[1]REER!$BB$144:$BB$210</definedName>
    <definedName name="__123Graph_DTEST1" localSheetId="8" hidden="1">[1]REER!$BB$144:$BB$210</definedName>
    <definedName name="__123Graph_DTEST1" localSheetId="9" hidden="1">[1]REER!$BB$144:$BB$210</definedName>
    <definedName name="__123Graph_DTEST1" localSheetId="10" hidden="1">[2]REER!$BB$144:$BB$210</definedName>
    <definedName name="__123Graph_DTEST1" localSheetId="15" hidden="1">[4]REER!$BB$144:$BB$210</definedName>
    <definedName name="__123Graph_DTEST1" localSheetId="16" hidden="1">[4]REER!$BB$144:$BB$210</definedName>
    <definedName name="__123Graph_DTEST1" localSheetId="17" hidden="1">[4]REER!$BB$144:$BB$210</definedName>
    <definedName name="__123Graph_DTEST1" localSheetId="19" hidden="1">[1]REER!$BB$144:$BB$210</definedName>
    <definedName name="__123Graph_DTEST1" localSheetId="21" hidden="1">[1]REER!$BB$144:$BB$210</definedName>
    <definedName name="__123Graph_DTEST1" localSheetId="23" hidden="1">[1]REER!$BB$144:$BB$210</definedName>
    <definedName name="__123Graph_DTEST1" localSheetId="24" hidden="1">[1]REER!$BB$144:$BB$210</definedName>
    <definedName name="__123Graph_DTEST1" localSheetId="25" hidden="1">[1]REER!$BB$144:$BB$210</definedName>
    <definedName name="__123Graph_DTEST1" localSheetId="27" hidden="1">[1]REER!$BB$144:$BB$210</definedName>
    <definedName name="__123Graph_DTEST1" localSheetId="30" hidden="1">[1]REER!$BB$144:$BB$210</definedName>
    <definedName name="__123Graph_DTEST1" localSheetId="33" hidden="1">[1]REER!$BB$144:$BB$210</definedName>
    <definedName name="__123Graph_DTEST1" localSheetId="34" hidden="1">[2]REER!$BB$144:$BB$210</definedName>
    <definedName name="__123Graph_DTEST1" localSheetId="35" hidden="1">[2]REER!$BB$144:$BB$210</definedName>
    <definedName name="__123Graph_DTEST1" localSheetId="36" hidden="1">[2]REER!$BB$144:$BB$210</definedName>
    <definedName name="__123Graph_DTEST1" localSheetId="37" hidden="1">[2]REER!$BB$144:$BB$210</definedName>
    <definedName name="__123Graph_DTEST1" localSheetId="38" hidden="1">[2]REER!$BB$144:$BB$210</definedName>
    <definedName name="__123Graph_DTEST1" localSheetId="39" hidden="1">[1]REER!$BB$144:$BB$210</definedName>
    <definedName name="__123Graph_DTEST1" localSheetId="40" hidden="1">[1]REER!$BB$144:$BB$210</definedName>
    <definedName name="__123Graph_DTEST1" localSheetId="44" hidden="1">[5]REER!$BB$144:$BB$210</definedName>
    <definedName name="__123Graph_DTEST1" hidden="1">[2]REER!$BB$144:$BB$210</definedName>
    <definedName name="__123Graph_EREER3" localSheetId="55" hidden="1">[1]REER!$BR$144:$BR$211</definedName>
    <definedName name="__123Graph_EREER3" localSheetId="70" hidden="1">[1]REER!$BR$144:$BR$211</definedName>
    <definedName name="__123Graph_EREER3" localSheetId="71" hidden="1">[2]REER!$BR$144:$BR$211</definedName>
    <definedName name="__123Graph_EREER3" localSheetId="72" hidden="1">[2]REER!$BR$144:$BR$211</definedName>
    <definedName name="__123Graph_EREER3" localSheetId="73" hidden="1">[2]REER!$BR$144:$BR$211</definedName>
    <definedName name="__123Graph_EREER3" localSheetId="74" hidden="1">[2]REER!$BR$144:$BR$211</definedName>
    <definedName name="__123Graph_EREER3" localSheetId="79" hidden="1">[3]REER!$BR$144:$BR$211</definedName>
    <definedName name="__123Graph_EREER3" localSheetId="80" hidden="1">[1]REER!$BR$144:$BR$211</definedName>
    <definedName name="__123Graph_EREER3" localSheetId="81" hidden="1">[1]REER!$BR$144:$BR$211</definedName>
    <definedName name="__123Graph_EREER3" localSheetId="101" hidden="1">[1]REER!$BR$144:$BR$211</definedName>
    <definedName name="__123Graph_EREER3" localSheetId="108" hidden="1">[1]REER!$BR$144:$BR$211</definedName>
    <definedName name="__123Graph_EREER3" localSheetId="115" hidden="1">[2]REER!$BR$144:$BR$211</definedName>
    <definedName name="__123Graph_EREER3" localSheetId="7" hidden="1">[1]REER!$BR$144:$BR$211</definedName>
    <definedName name="__123Graph_EREER3" localSheetId="8" hidden="1">[1]REER!$BR$144:$BR$211</definedName>
    <definedName name="__123Graph_EREER3" localSheetId="9" hidden="1">[1]REER!$BR$144:$BR$211</definedName>
    <definedName name="__123Graph_EREER3" localSheetId="10" hidden="1">[2]REER!$BR$144:$BR$211</definedName>
    <definedName name="__123Graph_EREER3" localSheetId="15" hidden="1">[4]REER!$BR$144:$BR$211</definedName>
    <definedName name="__123Graph_EREER3" localSheetId="16" hidden="1">[4]REER!$BR$144:$BR$211</definedName>
    <definedName name="__123Graph_EREER3" localSheetId="17" hidden="1">[4]REER!$BR$144:$BR$211</definedName>
    <definedName name="__123Graph_EREER3" localSheetId="19" hidden="1">[1]REER!$BR$144:$BR$211</definedName>
    <definedName name="__123Graph_EREER3" localSheetId="21" hidden="1">[1]REER!$BR$144:$BR$211</definedName>
    <definedName name="__123Graph_EREER3" localSheetId="23" hidden="1">[1]REER!$BR$144:$BR$211</definedName>
    <definedName name="__123Graph_EREER3" localSheetId="24" hidden="1">[1]REER!$BR$144:$BR$211</definedName>
    <definedName name="__123Graph_EREER3" localSheetId="25" hidden="1">[1]REER!$BR$144:$BR$211</definedName>
    <definedName name="__123Graph_EREER3" localSheetId="27" hidden="1">[1]REER!$BR$144:$BR$211</definedName>
    <definedName name="__123Graph_EREER3" localSheetId="30" hidden="1">[1]REER!$BR$144:$BR$211</definedName>
    <definedName name="__123Graph_EREER3" localSheetId="33" hidden="1">[1]REER!$BR$144:$BR$211</definedName>
    <definedName name="__123Graph_EREER3" localSheetId="34" hidden="1">[2]REER!$BR$144:$BR$211</definedName>
    <definedName name="__123Graph_EREER3" localSheetId="35" hidden="1">[2]REER!$BR$144:$BR$211</definedName>
    <definedName name="__123Graph_EREER3" localSheetId="36" hidden="1">[2]REER!$BR$144:$BR$211</definedName>
    <definedName name="__123Graph_EREER3" localSheetId="37" hidden="1">[2]REER!$BR$144:$BR$211</definedName>
    <definedName name="__123Graph_EREER3" localSheetId="38" hidden="1">[2]REER!$BR$144:$BR$211</definedName>
    <definedName name="__123Graph_EREER3" localSheetId="39" hidden="1">[1]REER!$BR$144:$BR$211</definedName>
    <definedName name="__123Graph_EREER3" localSheetId="40" hidden="1">[1]REER!$BR$144:$BR$211</definedName>
    <definedName name="__123Graph_EREER3" localSheetId="44" hidden="1">[5]REER!$BR$144:$BR$211</definedName>
    <definedName name="__123Graph_EREER3" hidden="1">[2]REER!$BR$144:$BR$211</definedName>
    <definedName name="__123Graph_ETEST1" localSheetId="55" hidden="1">[1]REER!$BR$144:$BR$211</definedName>
    <definedName name="__123Graph_ETEST1" localSheetId="70" hidden="1">[1]REER!$BR$144:$BR$211</definedName>
    <definedName name="__123Graph_ETEST1" localSheetId="71" hidden="1">[2]REER!$BR$144:$BR$211</definedName>
    <definedName name="__123Graph_ETEST1" localSheetId="72" hidden="1">[2]REER!$BR$144:$BR$211</definedName>
    <definedName name="__123Graph_ETEST1" localSheetId="73" hidden="1">[2]REER!$BR$144:$BR$211</definedName>
    <definedName name="__123Graph_ETEST1" localSheetId="74" hidden="1">[2]REER!$BR$144:$BR$211</definedName>
    <definedName name="__123Graph_ETEST1" localSheetId="79" hidden="1">[3]REER!$BR$144:$BR$211</definedName>
    <definedName name="__123Graph_ETEST1" localSheetId="80" hidden="1">[1]REER!$BR$144:$BR$211</definedName>
    <definedName name="__123Graph_ETEST1" localSheetId="81" hidden="1">[1]REER!$BR$144:$BR$211</definedName>
    <definedName name="__123Graph_ETEST1" localSheetId="101" hidden="1">[1]REER!$BR$144:$BR$211</definedName>
    <definedName name="__123Graph_ETEST1" localSheetId="108" hidden="1">[1]REER!$BR$144:$BR$211</definedName>
    <definedName name="__123Graph_ETEST1" localSheetId="115" hidden="1">[2]REER!$BR$144:$BR$211</definedName>
    <definedName name="__123Graph_ETEST1" localSheetId="7" hidden="1">[1]REER!$BR$144:$BR$211</definedName>
    <definedName name="__123Graph_ETEST1" localSheetId="8" hidden="1">[1]REER!$BR$144:$BR$211</definedName>
    <definedName name="__123Graph_ETEST1" localSheetId="9" hidden="1">[1]REER!$BR$144:$BR$211</definedName>
    <definedName name="__123Graph_ETEST1" localSheetId="10" hidden="1">[2]REER!$BR$144:$BR$211</definedName>
    <definedName name="__123Graph_ETEST1" localSheetId="15" hidden="1">[4]REER!$BR$144:$BR$211</definedName>
    <definedName name="__123Graph_ETEST1" localSheetId="16" hidden="1">[4]REER!$BR$144:$BR$211</definedName>
    <definedName name="__123Graph_ETEST1" localSheetId="17" hidden="1">[4]REER!$BR$144:$BR$211</definedName>
    <definedName name="__123Graph_ETEST1" localSheetId="19" hidden="1">[1]REER!$BR$144:$BR$211</definedName>
    <definedName name="__123Graph_ETEST1" localSheetId="21" hidden="1">[1]REER!$BR$144:$BR$211</definedName>
    <definedName name="__123Graph_ETEST1" localSheetId="23" hidden="1">[1]REER!$BR$144:$BR$211</definedName>
    <definedName name="__123Graph_ETEST1" localSheetId="24" hidden="1">[1]REER!$BR$144:$BR$211</definedName>
    <definedName name="__123Graph_ETEST1" localSheetId="25" hidden="1">[1]REER!$BR$144:$BR$211</definedName>
    <definedName name="__123Graph_ETEST1" localSheetId="27" hidden="1">[1]REER!$BR$144:$BR$211</definedName>
    <definedName name="__123Graph_ETEST1" localSheetId="30" hidden="1">[1]REER!$BR$144:$BR$211</definedName>
    <definedName name="__123Graph_ETEST1" localSheetId="33" hidden="1">[1]REER!$BR$144:$BR$211</definedName>
    <definedName name="__123Graph_ETEST1" localSheetId="34" hidden="1">[2]REER!$BR$144:$BR$211</definedName>
    <definedName name="__123Graph_ETEST1" localSheetId="35" hidden="1">[2]REER!$BR$144:$BR$211</definedName>
    <definedName name="__123Graph_ETEST1" localSheetId="36" hidden="1">[2]REER!$BR$144:$BR$211</definedName>
    <definedName name="__123Graph_ETEST1" localSheetId="37" hidden="1">[2]REER!$BR$144:$BR$211</definedName>
    <definedName name="__123Graph_ETEST1" localSheetId="38" hidden="1">[2]REER!$BR$144:$BR$211</definedName>
    <definedName name="__123Graph_ETEST1" localSheetId="39" hidden="1">[1]REER!$BR$144:$BR$211</definedName>
    <definedName name="__123Graph_ETEST1" localSheetId="40" hidden="1">[1]REER!$BR$144:$BR$211</definedName>
    <definedName name="__123Graph_ETEST1" localSheetId="44" hidden="1">[5]REER!$BR$144:$BR$211</definedName>
    <definedName name="__123Graph_ETEST1" hidden="1">[2]REER!$BR$144:$BR$211</definedName>
    <definedName name="__123Graph_FREER3" localSheetId="55" hidden="1">[1]REER!$BN$140:$BN$140</definedName>
    <definedName name="__123Graph_FREER3" localSheetId="70" hidden="1">[1]REER!$BN$140:$BN$140</definedName>
    <definedName name="__123Graph_FREER3" localSheetId="71" hidden="1">[2]REER!$BN$140:$BN$140</definedName>
    <definedName name="__123Graph_FREER3" localSheetId="72" hidden="1">[2]REER!$BN$140:$BN$140</definedName>
    <definedName name="__123Graph_FREER3" localSheetId="73" hidden="1">[2]REER!$BN$140:$BN$140</definedName>
    <definedName name="__123Graph_FREER3" localSheetId="74" hidden="1">[2]REER!$BN$140:$BN$140</definedName>
    <definedName name="__123Graph_FREER3" localSheetId="79" hidden="1">[3]REER!$BN$140:$BN$140</definedName>
    <definedName name="__123Graph_FREER3" localSheetId="80" hidden="1">[1]REER!$BN$140:$BN$140</definedName>
    <definedName name="__123Graph_FREER3" localSheetId="81" hidden="1">[1]REER!$BN$140:$BN$140</definedName>
    <definedName name="__123Graph_FREER3" localSheetId="101" hidden="1">[1]REER!$BN$140:$BN$140</definedName>
    <definedName name="__123Graph_FREER3" localSheetId="108" hidden="1">[1]REER!$BN$140:$BN$140</definedName>
    <definedName name="__123Graph_FREER3" localSheetId="115" hidden="1">[2]REER!$BN$140:$BN$140</definedName>
    <definedName name="__123Graph_FREER3" localSheetId="7" hidden="1">[1]REER!$BN$140:$BN$140</definedName>
    <definedName name="__123Graph_FREER3" localSheetId="8" hidden="1">[1]REER!$BN$140:$BN$140</definedName>
    <definedName name="__123Graph_FREER3" localSheetId="9" hidden="1">[1]REER!$BN$140:$BN$140</definedName>
    <definedName name="__123Graph_FREER3" localSheetId="10" hidden="1">[2]REER!$BN$140:$BN$140</definedName>
    <definedName name="__123Graph_FREER3" localSheetId="15" hidden="1">[4]REER!$BN$140:$BN$140</definedName>
    <definedName name="__123Graph_FREER3" localSheetId="16" hidden="1">[4]REER!$BN$140:$BN$140</definedName>
    <definedName name="__123Graph_FREER3" localSheetId="17" hidden="1">[4]REER!$BN$140:$BN$140</definedName>
    <definedName name="__123Graph_FREER3" localSheetId="19" hidden="1">[1]REER!$BN$140:$BN$140</definedName>
    <definedName name="__123Graph_FREER3" localSheetId="21" hidden="1">[1]REER!$BN$140:$BN$140</definedName>
    <definedName name="__123Graph_FREER3" localSheetId="23" hidden="1">[1]REER!$BN$140:$BN$140</definedName>
    <definedName name="__123Graph_FREER3" localSheetId="24" hidden="1">[1]REER!$BN$140:$BN$140</definedName>
    <definedName name="__123Graph_FREER3" localSheetId="25" hidden="1">[1]REER!$BN$140:$BN$140</definedName>
    <definedName name="__123Graph_FREER3" localSheetId="27" hidden="1">[1]REER!$BN$140:$BN$140</definedName>
    <definedName name="__123Graph_FREER3" localSheetId="30" hidden="1">[1]REER!$BN$140:$BN$140</definedName>
    <definedName name="__123Graph_FREER3" localSheetId="33" hidden="1">[1]REER!$BN$140:$BN$140</definedName>
    <definedName name="__123Graph_FREER3" localSheetId="34" hidden="1">[2]REER!$BN$140:$BN$140</definedName>
    <definedName name="__123Graph_FREER3" localSheetId="35" hidden="1">[2]REER!$BN$140:$BN$140</definedName>
    <definedName name="__123Graph_FREER3" localSheetId="36" hidden="1">[2]REER!$BN$140:$BN$140</definedName>
    <definedName name="__123Graph_FREER3" localSheetId="37" hidden="1">[2]REER!$BN$140:$BN$140</definedName>
    <definedName name="__123Graph_FREER3" localSheetId="38" hidden="1">[2]REER!$BN$140:$BN$140</definedName>
    <definedName name="__123Graph_FREER3" localSheetId="39" hidden="1">[1]REER!$BN$140:$BN$140</definedName>
    <definedName name="__123Graph_FREER3" localSheetId="40" hidden="1">[1]REER!$BN$140:$BN$140</definedName>
    <definedName name="__123Graph_FREER3" localSheetId="44" hidden="1">[5]REER!$BN$140:$BN$140</definedName>
    <definedName name="__123Graph_FREER3" hidden="1">[2]REER!$BN$140:$BN$140</definedName>
    <definedName name="__123Graph_FTEST1" localSheetId="55" hidden="1">[1]REER!$BN$140:$BN$140</definedName>
    <definedName name="__123Graph_FTEST1" localSheetId="70" hidden="1">[1]REER!$BN$140:$BN$140</definedName>
    <definedName name="__123Graph_FTEST1" localSheetId="71" hidden="1">[2]REER!$BN$140:$BN$140</definedName>
    <definedName name="__123Graph_FTEST1" localSheetId="72" hidden="1">[2]REER!$BN$140:$BN$140</definedName>
    <definedName name="__123Graph_FTEST1" localSheetId="73" hidden="1">[2]REER!$BN$140:$BN$140</definedName>
    <definedName name="__123Graph_FTEST1" localSheetId="74" hidden="1">[2]REER!$BN$140:$BN$140</definedName>
    <definedName name="__123Graph_FTEST1" localSheetId="79" hidden="1">[3]REER!$BN$140:$BN$140</definedName>
    <definedName name="__123Graph_FTEST1" localSheetId="80" hidden="1">[1]REER!$BN$140:$BN$140</definedName>
    <definedName name="__123Graph_FTEST1" localSheetId="81" hidden="1">[1]REER!$BN$140:$BN$140</definedName>
    <definedName name="__123Graph_FTEST1" localSheetId="101" hidden="1">[1]REER!$BN$140:$BN$140</definedName>
    <definedName name="__123Graph_FTEST1" localSheetId="108" hidden="1">[1]REER!$BN$140:$BN$140</definedName>
    <definedName name="__123Graph_FTEST1" localSheetId="115" hidden="1">[2]REER!$BN$140:$BN$140</definedName>
    <definedName name="__123Graph_FTEST1" localSheetId="7" hidden="1">[1]REER!$BN$140:$BN$140</definedName>
    <definedName name="__123Graph_FTEST1" localSheetId="8" hidden="1">[1]REER!$BN$140:$BN$140</definedName>
    <definedName name="__123Graph_FTEST1" localSheetId="9" hidden="1">[1]REER!$BN$140:$BN$140</definedName>
    <definedName name="__123Graph_FTEST1" localSheetId="10" hidden="1">[2]REER!$BN$140:$BN$140</definedName>
    <definedName name="__123Graph_FTEST1" localSheetId="15" hidden="1">[4]REER!$BN$140:$BN$140</definedName>
    <definedName name="__123Graph_FTEST1" localSheetId="16" hidden="1">[4]REER!$BN$140:$BN$140</definedName>
    <definedName name="__123Graph_FTEST1" localSheetId="17" hidden="1">[4]REER!$BN$140:$BN$140</definedName>
    <definedName name="__123Graph_FTEST1" localSheetId="19" hidden="1">[1]REER!$BN$140:$BN$140</definedName>
    <definedName name="__123Graph_FTEST1" localSheetId="21" hidden="1">[1]REER!$BN$140:$BN$140</definedName>
    <definedName name="__123Graph_FTEST1" localSheetId="23" hidden="1">[1]REER!$BN$140:$BN$140</definedName>
    <definedName name="__123Graph_FTEST1" localSheetId="24" hidden="1">[1]REER!$BN$140:$BN$140</definedName>
    <definedName name="__123Graph_FTEST1" localSheetId="25" hidden="1">[1]REER!$BN$140:$BN$140</definedName>
    <definedName name="__123Graph_FTEST1" localSheetId="27" hidden="1">[1]REER!$BN$140:$BN$140</definedName>
    <definedName name="__123Graph_FTEST1" localSheetId="30" hidden="1">[1]REER!$BN$140:$BN$140</definedName>
    <definedName name="__123Graph_FTEST1" localSheetId="33" hidden="1">[1]REER!$BN$140:$BN$140</definedName>
    <definedName name="__123Graph_FTEST1" localSheetId="34" hidden="1">[2]REER!$BN$140:$BN$140</definedName>
    <definedName name="__123Graph_FTEST1" localSheetId="35" hidden="1">[2]REER!$BN$140:$BN$140</definedName>
    <definedName name="__123Graph_FTEST1" localSheetId="36" hidden="1">[2]REER!$BN$140:$BN$140</definedName>
    <definedName name="__123Graph_FTEST1" localSheetId="37" hidden="1">[2]REER!$BN$140:$BN$140</definedName>
    <definedName name="__123Graph_FTEST1" localSheetId="38" hidden="1">[2]REER!$BN$140:$BN$140</definedName>
    <definedName name="__123Graph_FTEST1" localSheetId="39" hidden="1">[1]REER!$BN$140:$BN$140</definedName>
    <definedName name="__123Graph_FTEST1" localSheetId="40" hidden="1">[1]REER!$BN$140:$BN$140</definedName>
    <definedName name="__123Graph_FTEST1" localSheetId="44" hidden="1">[5]REER!$BN$140:$BN$140</definedName>
    <definedName name="__123Graph_FTEST1" hidden="1">[2]REER!$BN$140:$BN$140</definedName>
    <definedName name="__123Graph_X" localSheetId="49" hidden="1">[10]EdssGeeGAS!#REF!</definedName>
    <definedName name="__123Graph_X" localSheetId="50" hidden="1">'[11]i2-KA'!#REF!</definedName>
    <definedName name="__123Graph_X" localSheetId="51" hidden="1">[10]EdssGeeGAS!#REF!</definedName>
    <definedName name="__123Graph_X" localSheetId="53" hidden="1">[10]EdssGeeGAS!#REF!</definedName>
    <definedName name="__123Graph_X" localSheetId="54" hidden="1">[10]EdssGeeGAS!#REF!</definedName>
    <definedName name="__123Graph_X" localSheetId="55" hidden="1">'[11]i2-KA'!#REF!</definedName>
    <definedName name="__123Graph_X" localSheetId="56" hidden="1">'[11]i2-KA'!#REF!</definedName>
    <definedName name="__123Graph_X" localSheetId="57" hidden="1">'[11]i2-KA'!#REF!</definedName>
    <definedName name="__123Graph_X" localSheetId="58" hidden="1">'[11]i2-KA'!#REF!</definedName>
    <definedName name="__123Graph_X" localSheetId="59" hidden="1">'[11]i2-KA'!#REF!</definedName>
    <definedName name="__123Graph_X" localSheetId="62" hidden="1">'[11]i2-KA'!#REF!</definedName>
    <definedName name="__123Graph_X" localSheetId="70" hidden="1">'[11]i2-KA'!#REF!</definedName>
    <definedName name="__123Graph_X" localSheetId="71" hidden="1">[10]EdssGeeGAS!#REF!</definedName>
    <definedName name="__123Graph_X" localSheetId="72" hidden="1">[10]EdssGeeGAS!#REF!</definedName>
    <definedName name="__123Graph_X" localSheetId="73" hidden="1">[10]EdssGeeGAS!#REF!</definedName>
    <definedName name="__123Graph_X" localSheetId="74" hidden="1">[10]EdssGeeGAS!#REF!</definedName>
    <definedName name="__123Graph_X" localSheetId="75" hidden="1">[10]EdssGeeGAS!#REF!</definedName>
    <definedName name="__123Graph_X" localSheetId="76" hidden="1">[10]EdssGeeGAS!#REF!</definedName>
    <definedName name="__123Graph_X" localSheetId="79" hidden="1">'[11]i2-KA'!#REF!</definedName>
    <definedName name="__123Graph_X" localSheetId="80" hidden="1">'[11]i2-KA'!#REF!</definedName>
    <definedName name="__123Graph_X" localSheetId="81" hidden="1">'[11]i2-KA'!#REF!</definedName>
    <definedName name="__123Graph_X" localSheetId="83" hidden="1">[10]EdssGeeGAS!#REF!</definedName>
    <definedName name="__123Graph_X" localSheetId="87" hidden="1">'[11]i2-KA'!#REF!</definedName>
    <definedName name="__123Graph_X" localSheetId="95" hidden="1">[10]EdssGeeGAS!#REF!</definedName>
    <definedName name="__123Graph_X" localSheetId="97" hidden="1">'[11]i2-KA'!#REF!</definedName>
    <definedName name="__123Graph_X" localSheetId="98" hidden="1">'[11]i2-KA'!#REF!</definedName>
    <definedName name="__123Graph_X" localSheetId="99" hidden="1">'[11]i2-KA'!#REF!</definedName>
    <definedName name="__123Graph_X" localSheetId="100" hidden="1">'[11]i2-KA'!#REF!</definedName>
    <definedName name="__123Graph_X" localSheetId="101" hidden="1">'[11]i2-KA'!#REF!</definedName>
    <definedName name="__123Graph_X" localSheetId="108" hidden="1">'[11]i2-KA'!#REF!</definedName>
    <definedName name="__123Graph_X" localSheetId="115" hidden="1">[10]EdssGeeGAS!#REF!</definedName>
    <definedName name="__123Graph_X" localSheetId="5" hidden="1">'[11]i2-KA'!#REF!</definedName>
    <definedName name="__123Graph_X" localSheetId="6" hidden="1">'[11]i2-KA'!#REF!</definedName>
    <definedName name="__123Graph_X" localSheetId="7" hidden="1">'[11]i2-KA'!#REF!</definedName>
    <definedName name="__123Graph_X" localSheetId="8" hidden="1">'[11]i2-KA'!#REF!</definedName>
    <definedName name="__123Graph_X" localSheetId="9" hidden="1">'[11]i2-KA'!#REF!</definedName>
    <definedName name="__123Graph_X" localSheetId="10" hidden="1">[10]EdssGeeGAS!#REF!</definedName>
    <definedName name="__123Graph_X" localSheetId="14" hidden="1">'[11]i2-KA'!#REF!</definedName>
    <definedName name="__123Graph_X" localSheetId="15" hidden="1">'[11]i2-KA'!#REF!</definedName>
    <definedName name="__123Graph_X" localSheetId="16" hidden="1">'[11]i2-KA'!#REF!</definedName>
    <definedName name="__123Graph_X" localSheetId="17" hidden="1">'[11]i2-KA'!#REF!</definedName>
    <definedName name="__123Graph_X" localSheetId="19" hidden="1">'[11]i2-KA'!#REF!</definedName>
    <definedName name="__123Graph_X" localSheetId="21" hidden="1">'[11]i2-KA'!#REF!</definedName>
    <definedName name="__123Graph_X" localSheetId="23" hidden="1">'[11]i2-KA'!#REF!</definedName>
    <definedName name="__123Graph_X" localSheetId="24" hidden="1">'[11]i2-KA'!#REF!</definedName>
    <definedName name="__123Graph_X" localSheetId="25" hidden="1">'[11]i2-KA'!#REF!</definedName>
    <definedName name="__123Graph_X" localSheetId="27" hidden="1">'[11]i2-KA'!#REF!</definedName>
    <definedName name="__123Graph_X" localSheetId="30" hidden="1">'[11]i2-KA'!#REF!</definedName>
    <definedName name="__123Graph_X" localSheetId="33" hidden="1">'[11]i2-KA'!#REF!</definedName>
    <definedName name="__123Graph_X" localSheetId="34" hidden="1">[10]EdssGeeGAS!#REF!</definedName>
    <definedName name="__123Graph_X" localSheetId="35" hidden="1">[10]EdssGeeGAS!#REF!</definedName>
    <definedName name="__123Graph_X" localSheetId="36" hidden="1">[10]EdssGeeGAS!#REF!</definedName>
    <definedName name="__123Graph_X" localSheetId="37" hidden="1">[10]EdssGeeGAS!#REF!</definedName>
    <definedName name="__123Graph_X" localSheetId="38" hidden="1">[10]EdssGeeGAS!#REF!</definedName>
    <definedName name="__123Graph_X" localSheetId="39" hidden="1">'[11]i2-KA'!#REF!</definedName>
    <definedName name="__123Graph_X" localSheetId="40" hidden="1">'[11]i2-KA'!#REF!</definedName>
    <definedName name="__123Graph_X" localSheetId="44" hidden="1">'[11]i2-KA'!#REF!</definedName>
    <definedName name="__123Graph_X" hidden="1">[10]EdssGeeGAS!#REF!</definedName>
    <definedName name="__123Graph_XCurrent" localSheetId="49" hidden="1">'[11]i2-KA'!#REF!</definedName>
    <definedName name="__123Graph_XCurrent" localSheetId="50" hidden="1">'[11]i2-KA'!#REF!</definedName>
    <definedName name="__123Graph_XCurrent" localSheetId="51" hidden="1">'[11]i2-KA'!#REF!</definedName>
    <definedName name="__123Graph_XCurrent" localSheetId="53" hidden="1">'[11]i2-KA'!#REF!</definedName>
    <definedName name="__123Graph_XCurrent" localSheetId="54" hidden="1">'[11]i2-KA'!#REF!</definedName>
    <definedName name="__123Graph_XCurrent" localSheetId="55" hidden="1">'[11]i2-KA'!#REF!</definedName>
    <definedName name="__123Graph_XCurrent" localSheetId="56" hidden="1">'[11]i2-KA'!#REF!</definedName>
    <definedName name="__123Graph_XCurrent" localSheetId="57" hidden="1">'[11]i2-KA'!#REF!</definedName>
    <definedName name="__123Graph_XCurrent" localSheetId="58" hidden="1">'[11]i2-KA'!#REF!</definedName>
    <definedName name="__123Graph_XCurrent" localSheetId="59" hidden="1">'[11]i2-KA'!#REF!</definedName>
    <definedName name="__123Graph_XCurrent" localSheetId="62" hidden="1">'[11]i2-KA'!#REF!</definedName>
    <definedName name="__123Graph_XCurrent" localSheetId="70" hidden="1">'[11]i2-KA'!#REF!</definedName>
    <definedName name="__123Graph_XCurrent" localSheetId="75" hidden="1">'[11]i2-KA'!#REF!</definedName>
    <definedName name="__123Graph_XCurrent" localSheetId="76" hidden="1">'[11]i2-KA'!#REF!</definedName>
    <definedName name="__123Graph_XCurrent" localSheetId="79" hidden="1">'[11]i2-KA'!#REF!</definedName>
    <definedName name="__123Graph_XCurrent" localSheetId="80" hidden="1">'[11]i2-KA'!#REF!</definedName>
    <definedName name="__123Graph_XCurrent" localSheetId="81" hidden="1">'[11]i2-KA'!#REF!</definedName>
    <definedName name="__123Graph_XCurrent" localSheetId="83" hidden="1">'[11]i2-KA'!#REF!</definedName>
    <definedName name="__123Graph_XCurrent" localSheetId="87" hidden="1">'[11]i2-KA'!#REF!</definedName>
    <definedName name="__123Graph_XCurrent" localSheetId="95" hidden="1">'[11]i2-KA'!#REF!</definedName>
    <definedName name="__123Graph_XCurrent" localSheetId="97" hidden="1">'[11]i2-KA'!#REF!</definedName>
    <definedName name="__123Graph_XCurrent" localSheetId="98" hidden="1">'[11]i2-KA'!#REF!</definedName>
    <definedName name="__123Graph_XCurrent" localSheetId="99" hidden="1">'[11]i2-KA'!#REF!</definedName>
    <definedName name="__123Graph_XCurrent" localSheetId="100" hidden="1">'[11]i2-KA'!#REF!</definedName>
    <definedName name="__123Graph_XCurrent" localSheetId="101" hidden="1">'[11]i2-KA'!#REF!</definedName>
    <definedName name="__123Graph_XCurrent" localSheetId="108" hidden="1">'[11]i2-KA'!#REF!</definedName>
    <definedName name="__123Graph_XCurrent" localSheetId="5" hidden="1">'[11]i2-KA'!#REF!</definedName>
    <definedName name="__123Graph_XCurrent" localSheetId="6" hidden="1">'[11]i2-KA'!#REF!</definedName>
    <definedName name="__123Graph_XCurrent" localSheetId="7" hidden="1">'[11]i2-KA'!#REF!</definedName>
    <definedName name="__123Graph_XCurrent" localSheetId="8" hidden="1">'[11]i2-KA'!#REF!</definedName>
    <definedName name="__123Graph_XCurrent" localSheetId="9" hidden="1">'[11]i2-KA'!#REF!</definedName>
    <definedName name="__123Graph_XCurrent" localSheetId="14" hidden="1">'[11]i2-KA'!#REF!</definedName>
    <definedName name="__123Graph_XCurrent" localSheetId="15" hidden="1">'[11]i2-KA'!#REF!</definedName>
    <definedName name="__123Graph_XCurrent" localSheetId="16" hidden="1">'[11]i2-KA'!#REF!</definedName>
    <definedName name="__123Graph_XCurrent" localSheetId="17" hidden="1">'[11]i2-KA'!#REF!</definedName>
    <definedName name="__123Graph_XCurrent" localSheetId="19" hidden="1">'[11]i2-KA'!#REF!</definedName>
    <definedName name="__123Graph_XCurrent" localSheetId="21" hidden="1">'[11]i2-KA'!#REF!</definedName>
    <definedName name="__123Graph_XCurrent" localSheetId="23" hidden="1">'[11]i2-KA'!#REF!</definedName>
    <definedName name="__123Graph_XCurrent" localSheetId="24" hidden="1">'[11]i2-KA'!#REF!</definedName>
    <definedName name="__123Graph_XCurrent" localSheetId="25" hidden="1">'[11]i2-KA'!#REF!</definedName>
    <definedName name="__123Graph_XCurrent" localSheetId="27" hidden="1">'[11]i2-KA'!#REF!</definedName>
    <definedName name="__123Graph_XCurrent" localSheetId="30" hidden="1">'[11]i2-KA'!#REF!</definedName>
    <definedName name="__123Graph_XCurrent" localSheetId="33" hidden="1">'[11]i2-KA'!#REF!</definedName>
    <definedName name="__123Graph_XCurrent" localSheetId="34" hidden="1">'[11]i2-KA'!#REF!</definedName>
    <definedName name="__123Graph_XCurrent" localSheetId="35" hidden="1">'[11]i2-KA'!#REF!</definedName>
    <definedName name="__123Graph_XCurrent" localSheetId="36" hidden="1">'[11]i2-KA'!#REF!</definedName>
    <definedName name="__123Graph_XCurrent" localSheetId="37" hidden="1">'[11]i2-KA'!#REF!</definedName>
    <definedName name="__123Graph_XCurrent" localSheetId="38" hidden="1">'[11]i2-KA'!#REF!</definedName>
    <definedName name="__123Graph_XCurrent" localSheetId="39" hidden="1">'[11]i2-KA'!#REF!</definedName>
    <definedName name="__123Graph_XCurrent" localSheetId="40" hidden="1">'[11]i2-KA'!#REF!</definedName>
    <definedName name="__123Graph_XCurrent" localSheetId="44" hidden="1">'[11]i2-KA'!#REF!</definedName>
    <definedName name="__123Graph_XCurrent" hidden="1">'[11]i2-KA'!#REF!</definedName>
    <definedName name="__123Graph_XEXP" localSheetId="49" hidden="1">[10]EdssGeeGAS!#REF!</definedName>
    <definedName name="__123Graph_XEXP" localSheetId="50" hidden="1">[12]EdssGeeGAS!#REF!</definedName>
    <definedName name="__123Graph_XEXP" localSheetId="51" hidden="1">[10]EdssGeeGAS!#REF!</definedName>
    <definedName name="__123Graph_XEXP" localSheetId="53" hidden="1">[10]EdssGeeGAS!#REF!</definedName>
    <definedName name="__123Graph_XEXP" localSheetId="54" hidden="1">[10]EdssGeeGAS!#REF!</definedName>
    <definedName name="__123Graph_XEXP" localSheetId="55" hidden="1">[13]EdssGeeGAS!#REF!</definedName>
    <definedName name="__123Graph_XEXP" localSheetId="56" hidden="1">[13]EdssGeeGAS!#REF!</definedName>
    <definedName name="__123Graph_XEXP" localSheetId="57" hidden="1">[13]EdssGeeGAS!#REF!</definedName>
    <definedName name="__123Graph_XEXP" localSheetId="58" hidden="1">[13]EdssGeeGAS!#REF!</definedName>
    <definedName name="__123Graph_XEXP" localSheetId="59" hidden="1">[13]EdssGeeGAS!#REF!</definedName>
    <definedName name="__123Graph_XEXP" localSheetId="62" hidden="1">[13]EdssGeeGAS!#REF!</definedName>
    <definedName name="__123Graph_XEXP" localSheetId="70" hidden="1">[13]EdssGeeGAS!#REF!</definedName>
    <definedName name="__123Graph_XEXP" localSheetId="71" hidden="1">[10]EdssGeeGAS!#REF!</definedName>
    <definedName name="__123Graph_XEXP" localSheetId="72" hidden="1">[10]EdssGeeGAS!#REF!</definedName>
    <definedName name="__123Graph_XEXP" localSheetId="73" hidden="1">[10]EdssGeeGAS!#REF!</definedName>
    <definedName name="__123Graph_XEXP" localSheetId="74" hidden="1">[10]EdssGeeGAS!#REF!</definedName>
    <definedName name="__123Graph_XEXP" localSheetId="75" hidden="1">[10]EdssGeeGAS!#REF!</definedName>
    <definedName name="__123Graph_XEXP" localSheetId="76" hidden="1">[10]EdssGeeGAS!#REF!</definedName>
    <definedName name="__123Graph_XEXP" localSheetId="79" hidden="1">[12]EdssGeeGAS!#REF!</definedName>
    <definedName name="__123Graph_XEXP" localSheetId="80" hidden="1">[13]EdssGeeGAS!#REF!</definedName>
    <definedName name="__123Graph_XEXP" localSheetId="81" hidden="1">[13]EdssGeeGAS!#REF!</definedName>
    <definedName name="__123Graph_XEXP" localSheetId="83" hidden="1">[10]EdssGeeGAS!#REF!</definedName>
    <definedName name="__123Graph_XEXP" localSheetId="87" hidden="1">[12]EdssGeeGAS!#REF!</definedName>
    <definedName name="__123Graph_XEXP" localSheetId="95" hidden="1">[10]EdssGeeGAS!#REF!</definedName>
    <definedName name="__123Graph_XEXP" localSheetId="97" hidden="1">[13]EdssGeeGAS!#REF!</definedName>
    <definedName name="__123Graph_XEXP" localSheetId="98" hidden="1">[13]EdssGeeGAS!#REF!</definedName>
    <definedName name="__123Graph_XEXP" localSheetId="99" hidden="1">[13]EdssGeeGAS!#REF!</definedName>
    <definedName name="__123Graph_XEXP" localSheetId="100" hidden="1">[13]EdssGeeGAS!#REF!</definedName>
    <definedName name="__123Graph_XEXP" localSheetId="101" hidden="1">[13]EdssGeeGAS!#REF!</definedName>
    <definedName name="__123Graph_XEXP" localSheetId="108" hidden="1">[13]EdssGeeGAS!#REF!</definedName>
    <definedName name="__123Graph_XEXP" localSheetId="115" hidden="1">[10]EdssGeeGAS!#REF!</definedName>
    <definedName name="__123Graph_XEXP" localSheetId="5" hidden="1">[13]EdssGeeGAS!#REF!</definedName>
    <definedName name="__123Graph_XEXP" localSheetId="6" hidden="1">[13]EdssGeeGAS!#REF!</definedName>
    <definedName name="__123Graph_XEXP" localSheetId="7" hidden="1">[13]EdssGeeGAS!#REF!</definedName>
    <definedName name="__123Graph_XEXP" localSheetId="8" hidden="1">[13]EdssGeeGAS!#REF!</definedName>
    <definedName name="__123Graph_XEXP" localSheetId="9" hidden="1">[13]EdssGeeGAS!#REF!</definedName>
    <definedName name="__123Graph_XEXP" localSheetId="10" hidden="1">[10]EdssGeeGAS!#REF!</definedName>
    <definedName name="__123Graph_XEXP" localSheetId="14" hidden="1">[13]EdssGeeGAS!#REF!</definedName>
    <definedName name="__123Graph_XEXP" localSheetId="19" hidden="1">[13]EdssGeeGAS!#REF!</definedName>
    <definedName name="__123Graph_XEXP" localSheetId="21" hidden="1">[13]EdssGeeGAS!#REF!</definedName>
    <definedName name="__123Graph_XEXP" localSheetId="23" hidden="1">[13]EdssGeeGAS!#REF!</definedName>
    <definedName name="__123Graph_XEXP" localSheetId="24" hidden="1">[13]EdssGeeGAS!#REF!</definedName>
    <definedName name="__123Graph_XEXP" localSheetId="25" hidden="1">[13]EdssGeeGAS!#REF!</definedName>
    <definedName name="__123Graph_XEXP" localSheetId="27" hidden="1">[13]EdssGeeGAS!#REF!</definedName>
    <definedName name="__123Graph_XEXP" localSheetId="30" hidden="1">[13]EdssGeeGAS!#REF!</definedName>
    <definedName name="__123Graph_XEXP" localSheetId="33" hidden="1">[13]EdssGeeGAS!#REF!</definedName>
    <definedName name="__123Graph_XEXP" localSheetId="34" hidden="1">[10]EdssGeeGAS!#REF!</definedName>
    <definedName name="__123Graph_XEXP" localSheetId="35" hidden="1">[10]EdssGeeGAS!#REF!</definedName>
    <definedName name="__123Graph_XEXP" localSheetId="36" hidden="1">[10]EdssGeeGAS!#REF!</definedName>
    <definedName name="__123Graph_XEXP" localSheetId="37" hidden="1">[10]EdssGeeGAS!#REF!</definedName>
    <definedName name="__123Graph_XEXP" localSheetId="38" hidden="1">[10]EdssGeeGAS!#REF!</definedName>
    <definedName name="__123Graph_XEXP" localSheetId="39" hidden="1">[13]EdssGeeGAS!#REF!</definedName>
    <definedName name="__123Graph_XEXP" localSheetId="40" hidden="1">[13]EdssGeeGAS!#REF!</definedName>
    <definedName name="__123Graph_XEXP" hidden="1">[10]EdssGeeGAS!#REF!</definedName>
    <definedName name="__123Graph_XChart1" localSheetId="49" hidden="1">'[11]i2-KA'!#REF!</definedName>
    <definedName name="__123Graph_XChart1" localSheetId="50" hidden="1">'[11]i2-KA'!#REF!</definedName>
    <definedName name="__123Graph_XChart1" localSheetId="51" hidden="1">'[11]i2-KA'!#REF!</definedName>
    <definedName name="__123Graph_XChart1" localSheetId="53" hidden="1">'[11]i2-KA'!#REF!</definedName>
    <definedName name="__123Graph_XChart1" localSheetId="54" hidden="1">'[11]i2-KA'!#REF!</definedName>
    <definedName name="__123Graph_XChart1" localSheetId="55" hidden="1">'[11]i2-KA'!#REF!</definedName>
    <definedName name="__123Graph_XChart1" localSheetId="56" hidden="1">'[11]i2-KA'!#REF!</definedName>
    <definedName name="__123Graph_XChart1" localSheetId="57" hidden="1">'[11]i2-KA'!#REF!</definedName>
    <definedName name="__123Graph_XChart1" localSheetId="58" hidden="1">'[11]i2-KA'!#REF!</definedName>
    <definedName name="__123Graph_XChart1" localSheetId="59" hidden="1">'[11]i2-KA'!#REF!</definedName>
    <definedName name="__123Graph_XChart1" localSheetId="62" hidden="1">'[11]i2-KA'!#REF!</definedName>
    <definedName name="__123Graph_XChart1" localSheetId="70" hidden="1">'[11]i2-KA'!#REF!</definedName>
    <definedName name="__123Graph_XChart1" localSheetId="75" hidden="1">'[11]i2-KA'!#REF!</definedName>
    <definedName name="__123Graph_XChart1" localSheetId="76" hidden="1">'[11]i2-KA'!#REF!</definedName>
    <definedName name="__123Graph_XChart1" localSheetId="79" hidden="1">'[11]i2-KA'!#REF!</definedName>
    <definedName name="__123Graph_XChart1" localSheetId="80" hidden="1">'[11]i2-KA'!#REF!</definedName>
    <definedName name="__123Graph_XChart1" localSheetId="81" hidden="1">'[11]i2-KA'!#REF!</definedName>
    <definedName name="__123Graph_XChart1" localSheetId="83" hidden="1">'[11]i2-KA'!#REF!</definedName>
    <definedName name="__123Graph_XChart1" localSheetId="87" hidden="1">'[11]i2-KA'!#REF!</definedName>
    <definedName name="__123Graph_XChart1" localSheetId="95" hidden="1">'[11]i2-KA'!#REF!</definedName>
    <definedName name="__123Graph_XChart1" localSheetId="97" hidden="1">'[11]i2-KA'!#REF!</definedName>
    <definedName name="__123Graph_XChart1" localSheetId="98" hidden="1">'[11]i2-KA'!#REF!</definedName>
    <definedName name="__123Graph_XChart1" localSheetId="99" hidden="1">'[11]i2-KA'!#REF!</definedName>
    <definedName name="__123Graph_XChart1" localSheetId="100" hidden="1">'[11]i2-KA'!#REF!</definedName>
    <definedName name="__123Graph_XChart1" localSheetId="101" hidden="1">'[11]i2-KA'!#REF!</definedName>
    <definedName name="__123Graph_XChart1" localSheetId="108" hidden="1">'[11]i2-KA'!#REF!</definedName>
    <definedName name="__123Graph_XChart1" localSheetId="5" hidden="1">'[11]i2-KA'!#REF!</definedName>
    <definedName name="__123Graph_XChart1" localSheetId="6" hidden="1">'[11]i2-KA'!#REF!</definedName>
    <definedName name="__123Graph_XChart1" localSheetId="7" hidden="1">'[11]i2-KA'!#REF!</definedName>
    <definedName name="__123Graph_XChart1" localSheetId="8" hidden="1">'[11]i2-KA'!#REF!</definedName>
    <definedName name="__123Graph_XChart1" localSheetId="9" hidden="1">'[11]i2-KA'!#REF!</definedName>
    <definedName name="__123Graph_XChart1" localSheetId="14" hidden="1">'[11]i2-KA'!#REF!</definedName>
    <definedName name="__123Graph_XChart1" localSheetId="15" hidden="1">'[11]i2-KA'!#REF!</definedName>
    <definedName name="__123Graph_XChart1" localSheetId="16" hidden="1">'[11]i2-KA'!#REF!</definedName>
    <definedName name="__123Graph_XChart1" localSheetId="17" hidden="1">'[11]i2-KA'!#REF!</definedName>
    <definedName name="__123Graph_XChart1" localSheetId="19" hidden="1">'[11]i2-KA'!#REF!</definedName>
    <definedName name="__123Graph_XChart1" localSheetId="21" hidden="1">'[11]i2-KA'!#REF!</definedName>
    <definedName name="__123Graph_XChart1" localSheetId="23" hidden="1">'[11]i2-KA'!#REF!</definedName>
    <definedName name="__123Graph_XChart1" localSheetId="24" hidden="1">'[11]i2-KA'!#REF!</definedName>
    <definedName name="__123Graph_XChart1" localSheetId="25" hidden="1">'[11]i2-KA'!#REF!</definedName>
    <definedName name="__123Graph_XChart1" localSheetId="27" hidden="1">'[11]i2-KA'!#REF!</definedName>
    <definedName name="__123Graph_XChart1" localSheetId="30" hidden="1">'[11]i2-KA'!#REF!</definedName>
    <definedName name="__123Graph_XChart1" localSheetId="33" hidden="1">'[11]i2-KA'!#REF!</definedName>
    <definedName name="__123Graph_XChart1" localSheetId="34" hidden="1">'[11]i2-KA'!#REF!</definedName>
    <definedName name="__123Graph_XChart1" localSheetId="35" hidden="1">'[11]i2-KA'!#REF!</definedName>
    <definedName name="__123Graph_XChart1" localSheetId="36" hidden="1">'[11]i2-KA'!#REF!</definedName>
    <definedName name="__123Graph_XChart1" localSheetId="37" hidden="1">'[11]i2-KA'!#REF!</definedName>
    <definedName name="__123Graph_XChart1" localSheetId="38" hidden="1">'[11]i2-KA'!#REF!</definedName>
    <definedName name="__123Graph_XChart1" localSheetId="39" hidden="1">'[11]i2-KA'!#REF!</definedName>
    <definedName name="__123Graph_XChart1" localSheetId="40" hidden="1">'[11]i2-KA'!#REF!</definedName>
    <definedName name="__123Graph_XChart1" localSheetId="44" hidden="1">'[11]i2-KA'!#REF!</definedName>
    <definedName name="__123Graph_XChart1" hidden="1">'[11]i2-KA'!#REF!</definedName>
    <definedName name="__123Graph_XChart2" localSheetId="49" hidden="1">'[11]i2-KA'!#REF!</definedName>
    <definedName name="__123Graph_XChart2" localSheetId="50" hidden="1">'[11]i2-KA'!#REF!</definedName>
    <definedName name="__123Graph_XChart2" localSheetId="51" hidden="1">'[11]i2-KA'!#REF!</definedName>
    <definedName name="__123Graph_XChart2" localSheetId="53" hidden="1">'[11]i2-KA'!#REF!</definedName>
    <definedName name="__123Graph_XChart2" localSheetId="54" hidden="1">'[11]i2-KA'!#REF!</definedName>
    <definedName name="__123Graph_XChart2" localSheetId="55" hidden="1">'[11]i2-KA'!#REF!</definedName>
    <definedName name="__123Graph_XChart2" localSheetId="56" hidden="1">'[11]i2-KA'!#REF!</definedName>
    <definedName name="__123Graph_XChart2" localSheetId="57" hidden="1">'[11]i2-KA'!#REF!</definedName>
    <definedName name="__123Graph_XChart2" localSheetId="58" hidden="1">'[11]i2-KA'!#REF!</definedName>
    <definedName name="__123Graph_XChart2" localSheetId="59" hidden="1">'[11]i2-KA'!#REF!</definedName>
    <definedName name="__123Graph_XChart2" localSheetId="62" hidden="1">'[11]i2-KA'!#REF!</definedName>
    <definedName name="__123Graph_XChart2" localSheetId="70" hidden="1">'[11]i2-KA'!#REF!</definedName>
    <definedName name="__123Graph_XChart2" localSheetId="75" hidden="1">'[11]i2-KA'!#REF!</definedName>
    <definedName name="__123Graph_XChart2" localSheetId="76" hidden="1">'[11]i2-KA'!#REF!</definedName>
    <definedName name="__123Graph_XChart2" localSheetId="79" hidden="1">'[11]i2-KA'!#REF!</definedName>
    <definedName name="__123Graph_XChart2" localSheetId="80" hidden="1">'[11]i2-KA'!#REF!</definedName>
    <definedName name="__123Graph_XChart2" localSheetId="81" hidden="1">'[11]i2-KA'!#REF!</definedName>
    <definedName name="__123Graph_XChart2" localSheetId="83" hidden="1">'[11]i2-KA'!#REF!</definedName>
    <definedName name="__123Graph_XChart2" localSheetId="87" hidden="1">'[11]i2-KA'!#REF!</definedName>
    <definedName name="__123Graph_XChart2" localSheetId="95" hidden="1">'[11]i2-KA'!#REF!</definedName>
    <definedName name="__123Graph_XChart2" localSheetId="97" hidden="1">'[11]i2-KA'!#REF!</definedName>
    <definedName name="__123Graph_XChart2" localSheetId="98" hidden="1">'[11]i2-KA'!#REF!</definedName>
    <definedName name="__123Graph_XChart2" localSheetId="99" hidden="1">'[11]i2-KA'!#REF!</definedName>
    <definedName name="__123Graph_XChart2" localSheetId="100" hidden="1">'[11]i2-KA'!#REF!</definedName>
    <definedName name="__123Graph_XChart2" localSheetId="101" hidden="1">'[11]i2-KA'!#REF!</definedName>
    <definedName name="__123Graph_XChart2" localSheetId="108" hidden="1">'[11]i2-KA'!#REF!</definedName>
    <definedName name="__123Graph_XChart2" localSheetId="5" hidden="1">'[11]i2-KA'!#REF!</definedName>
    <definedName name="__123Graph_XChart2" localSheetId="6" hidden="1">'[11]i2-KA'!#REF!</definedName>
    <definedName name="__123Graph_XChart2" localSheetId="7" hidden="1">'[11]i2-KA'!#REF!</definedName>
    <definedName name="__123Graph_XChart2" localSheetId="8" hidden="1">'[11]i2-KA'!#REF!</definedName>
    <definedName name="__123Graph_XChart2" localSheetId="9" hidden="1">'[11]i2-KA'!#REF!</definedName>
    <definedName name="__123Graph_XChart2" localSheetId="14" hidden="1">'[11]i2-KA'!#REF!</definedName>
    <definedName name="__123Graph_XChart2" localSheetId="15" hidden="1">'[11]i2-KA'!#REF!</definedName>
    <definedName name="__123Graph_XChart2" localSheetId="16" hidden="1">'[11]i2-KA'!#REF!</definedName>
    <definedName name="__123Graph_XChart2" localSheetId="17" hidden="1">'[11]i2-KA'!#REF!</definedName>
    <definedName name="__123Graph_XChart2" localSheetId="19" hidden="1">'[11]i2-KA'!#REF!</definedName>
    <definedName name="__123Graph_XChart2" localSheetId="21" hidden="1">'[11]i2-KA'!#REF!</definedName>
    <definedName name="__123Graph_XChart2" localSheetId="23" hidden="1">'[11]i2-KA'!#REF!</definedName>
    <definedName name="__123Graph_XChart2" localSheetId="24" hidden="1">'[11]i2-KA'!#REF!</definedName>
    <definedName name="__123Graph_XChart2" localSheetId="25" hidden="1">'[11]i2-KA'!#REF!</definedName>
    <definedName name="__123Graph_XChart2" localSheetId="27" hidden="1">'[11]i2-KA'!#REF!</definedName>
    <definedName name="__123Graph_XChart2" localSheetId="30" hidden="1">'[11]i2-KA'!#REF!</definedName>
    <definedName name="__123Graph_XChart2" localSheetId="33" hidden="1">'[11]i2-KA'!#REF!</definedName>
    <definedName name="__123Graph_XChart2" localSheetId="34" hidden="1">'[11]i2-KA'!#REF!</definedName>
    <definedName name="__123Graph_XChart2" localSheetId="35" hidden="1">'[11]i2-KA'!#REF!</definedName>
    <definedName name="__123Graph_XChart2" localSheetId="36" hidden="1">'[11]i2-KA'!#REF!</definedName>
    <definedName name="__123Graph_XChart2" localSheetId="37" hidden="1">'[11]i2-KA'!#REF!</definedName>
    <definedName name="__123Graph_XChart2" localSheetId="38" hidden="1">'[11]i2-KA'!#REF!</definedName>
    <definedName name="__123Graph_XChart2" localSheetId="39" hidden="1">'[11]i2-KA'!#REF!</definedName>
    <definedName name="__123Graph_XChart2" localSheetId="40" hidden="1">'[11]i2-KA'!#REF!</definedName>
    <definedName name="__123Graph_XChart2" localSheetId="44" hidden="1">'[11]i2-KA'!#REF!</definedName>
    <definedName name="__123Graph_XChart2" hidden="1">'[11]i2-KA'!#REF!</definedName>
    <definedName name="__123Graph_XTEST1" localSheetId="55" hidden="1">[1]REER!$C$9:$C$75</definedName>
    <definedName name="__123Graph_XTEST1" localSheetId="70" hidden="1">[1]REER!$C$9:$C$75</definedName>
    <definedName name="__123Graph_XTEST1" localSheetId="71" hidden="1">[2]REER!$C$9:$C$75</definedName>
    <definedName name="__123Graph_XTEST1" localSheetId="72" hidden="1">[2]REER!$C$9:$C$75</definedName>
    <definedName name="__123Graph_XTEST1" localSheetId="73" hidden="1">[2]REER!$C$9:$C$75</definedName>
    <definedName name="__123Graph_XTEST1" localSheetId="74" hidden="1">[2]REER!$C$9:$C$75</definedName>
    <definedName name="__123Graph_XTEST1" localSheetId="79" hidden="1">[3]REER!$C$9:$C$75</definedName>
    <definedName name="__123Graph_XTEST1" localSheetId="80" hidden="1">[1]REER!$C$9:$C$75</definedName>
    <definedName name="__123Graph_XTEST1" localSheetId="81" hidden="1">[1]REER!$C$9:$C$75</definedName>
    <definedName name="__123Graph_XTEST1" localSheetId="101" hidden="1">[1]REER!$C$9:$C$75</definedName>
    <definedName name="__123Graph_XTEST1" localSheetId="108" hidden="1">[1]REER!$C$9:$C$75</definedName>
    <definedName name="__123Graph_XTEST1" localSheetId="115" hidden="1">[2]REER!$C$9:$C$75</definedName>
    <definedName name="__123Graph_XTEST1" localSheetId="7" hidden="1">[1]REER!$C$9:$C$75</definedName>
    <definedName name="__123Graph_XTEST1" localSheetId="8" hidden="1">[1]REER!$C$9:$C$75</definedName>
    <definedName name="__123Graph_XTEST1" localSheetId="9" hidden="1">[1]REER!$C$9:$C$75</definedName>
    <definedName name="__123Graph_XTEST1" localSheetId="10" hidden="1">[2]REER!$C$9:$C$75</definedName>
    <definedName name="__123Graph_XTEST1" localSheetId="15" hidden="1">[4]REER!$C$9:$C$75</definedName>
    <definedName name="__123Graph_XTEST1" localSheetId="16" hidden="1">[4]REER!$C$9:$C$75</definedName>
    <definedName name="__123Graph_XTEST1" localSheetId="17" hidden="1">[4]REER!$C$9:$C$75</definedName>
    <definedName name="__123Graph_XTEST1" localSheetId="19" hidden="1">[1]REER!$C$9:$C$75</definedName>
    <definedName name="__123Graph_XTEST1" localSheetId="21" hidden="1">[1]REER!$C$9:$C$75</definedName>
    <definedName name="__123Graph_XTEST1" localSheetId="23" hidden="1">[1]REER!$C$9:$C$75</definedName>
    <definedName name="__123Graph_XTEST1" localSheetId="24" hidden="1">[1]REER!$C$9:$C$75</definedName>
    <definedName name="__123Graph_XTEST1" localSheetId="25" hidden="1">[1]REER!$C$9:$C$75</definedName>
    <definedName name="__123Graph_XTEST1" localSheetId="27" hidden="1">[1]REER!$C$9:$C$75</definedName>
    <definedName name="__123Graph_XTEST1" localSheetId="30" hidden="1">[1]REER!$C$9:$C$75</definedName>
    <definedName name="__123Graph_XTEST1" localSheetId="33" hidden="1">[1]REER!$C$9:$C$75</definedName>
    <definedName name="__123Graph_XTEST1" localSheetId="34" hidden="1">[2]REER!$C$9:$C$75</definedName>
    <definedName name="__123Graph_XTEST1" localSheetId="35" hidden="1">[2]REER!$C$9:$C$75</definedName>
    <definedName name="__123Graph_XTEST1" localSheetId="36" hidden="1">[2]REER!$C$9:$C$75</definedName>
    <definedName name="__123Graph_XTEST1" localSheetId="37" hidden="1">[2]REER!$C$9:$C$75</definedName>
    <definedName name="__123Graph_XTEST1" localSheetId="38" hidden="1">[2]REER!$C$9:$C$75</definedName>
    <definedName name="__123Graph_XTEST1" localSheetId="39" hidden="1">[1]REER!$C$9:$C$75</definedName>
    <definedName name="__123Graph_XTEST1" localSheetId="40" hidden="1">[1]REER!$C$9:$C$75</definedName>
    <definedName name="__123Graph_XTEST1" localSheetId="44" hidden="1">[5]REER!$C$9:$C$75</definedName>
    <definedName name="__123Graph_XTEST1" hidden="1">[2]REER!$C$9:$C$75</definedName>
    <definedName name="_1_123Graph_A" localSheetId="49" hidden="1">#REF!</definedName>
    <definedName name="_1_123Graph_A" localSheetId="50" hidden="1">#REF!</definedName>
    <definedName name="_1_123Graph_A" localSheetId="51" hidden="1">#REF!</definedName>
    <definedName name="_1_123Graph_A" localSheetId="53" hidden="1">#REF!</definedName>
    <definedName name="_1_123Graph_A" localSheetId="54" hidden="1">#REF!</definedName>
    <definedName name="_1_123Graph_A" localSheetId="55" hidden="1">#REF!</definedName>
    <definedName name="_1_123Graph_A" localSheetId="56" hidden="1">#REF!</definedName>
    <definedName name="_1_123Graph_A" localSheetId="57" hidden="1">#REF!</definedName>
    <definedName name="_1_123Graph_A" localSheetId="58" hidden="1">#REF!</definedName>
    <definedName name="_1_123Graph_A" localSheetId="59" hidden="1">#REF!</definedName>
    <definedName name="_1_123Graph_A" localSheetId="62" hidden="1">#REF!</definedName>
    <definedName name="_1_123Graph_A" localSheetId="70" hidden="1">#REF!</definedName>
    <definedName name="_1_123Graph_A" localSheetId="71" hidden="1">#REF!</definedName>
    <definedName name="_1_123Graph_A" localSheetId="72" hidden="1">#REF!</definedName>
    <definedName name="_1_123Graph_A" localSheetId="73" hidden="1">#REF!</definedName>
    <definedName name="_1_123Graph_A" localSheetId="74" hidden="1">#REF!</definedName>
    <definedName name="_1_123Graph_A" localSheetId="75" hidden="1">#REF!</definedName>
    <definedName name="_1_123Graph_A" localSheetId="76" hidden="1">#REF!</definedName>
    <definedName name="_1_123Graph_A" localSheetId="79" hidden="1">#REF!</definedName>
    <definedName name="_1_123Graph_A" localSheetId="80" hidden="1">#REF!</definedName>
    <definedName name="_1_123Graph_A" localSheetId="81" hidden="1">#REF!</definedName>
    <definedName name="_1_123Graph_A" localSheetId="83" hidden="1">#REF!</definedName>
    <definedName name="_1_123Graph_A" localSheetId="87" hidden="1">#REF!</definedName>
    <definedName name="_1_123Graph_A" localSheetId="95" hidden="1">#REF!</definedName>
    <definedName name="_1_123Graph_A" localSheetId="97" hidden="1">#REF!</definedName>
    <definedName name="_1_123Graph_A" localSheetId="98" hidden="1">#REF!</definedName>
    <definedName name="_1_123Graph_A" localSheetId="99" hidden="1">#REF!</definedName>
    <definedName name="_1_123Graph_A" localSheetId="100" hidden="1">#REF!</definedName>
    <definedName name="_1_123Graph_A" localSheetId="101" hidden="1">#REF!</definedName>
    <definedName name="_1_123Graph_A" localSheetId="108" hidden="1">#REF!</definedName>
    <definedName name="_1_123Graph_A" localSheetId="115" hidden="1">#REF!</definedName>
    <definedName name="_1_123Graph_A" localSheetId="5" hidden="1">#REF!</definedName>
    <definedName name="_1_123Graph_A" localSheetId="6" hidden="1">#REF!</definedName>
    <definedName name="_1_123Graph_A" localSheetId="7" hidden="1">#REF!</definedName>
    <definedName name="_1_123Graph_A" localSheetId="8" hidden="1">#REF!</definedName>
    <definedName name="_1_123Graph_A" localSheetId="9" hidden="1">#REF!</definedName>
    <definedName name="_1_123Graph_A" localSheetId="10" hidden="1">#REF!</definedName>
    <definedName name="_1_123Graph_A" localSheetId="14" hidden="1">#REF!</definedName>
    <definedName name="_1_123Graph_A" localSheetId="19" hidden="1">#REF!</definedName>
    <definedName name="_1_123Graph_A" localSheetId="21" hidden="1">#REF!</definedName>
    <definedName name="_1_123Graph_A" localSheetId="23" hidden="1">#REF!</definedName>
    <definedName name="_1_123Graph_A" localSheetId="24" hidden="1">#REF!</definedName>
    <definedName name="_1_123Graph_A" localSheetId="25" hidden="1">#REF!</definedName>
    <definedName name="_1_123Graph_A" localSheetId="27" hidden="1">#REF!</definedName>
    <definedName name="_1_123Graph_A" localSheetId="30" hidden="1">#REF!</definedName>
    <definedName name="_1_123Graph_A" localSheetId="33" hidden="1">#REF!</definedName>
    <definedName name="_1_123Graph_A" localSheetId="34" hidden="1">#REF!</definedName>
    <definedName name="_1_123Graph_A" localSheetId="35" hidden="1">#REF!</definedName>
    <definedName name="_1_123Graph_A" localSheetId="36" hidden="1">#REF!</definedName>
    <definedName name="_1_123Graph_A" localSheetId="37" hidden="1">#REF!</definedName>
    <definedName name="_1_123Graph_A" localSheetId="38" hidden="1">#REF!</definedName>
    <definedName name="_1_123Graph_A" localSheetId="39" hidden="1">#REF!</definedName>
    <definedName name="_1_123Graph_A" localSheetId="40" hidden="1">#REF!</definedName>
    <definedName name="_1_123Graph_A" hidden="1">#REF!</definedName>
    <definedName name="_10__123Graph_ACHART_1" hidden="1">'[14]Employment Data Sectors (wages)'!$A$8173:$A$8184</definedName>
    <definedName name="_10__123Graph_ACHART_2" hidden="1">'[15]Employment Data Sectors (wages)'!$A$8173:$A$8184</definedName>
    <definedName name="_10__123Graph_ACHART_8" localSheetId="55" hidden="1">'[16]Employment Data Sectors (wages)'!$W$8175:$W$8186</definedName>
    <definedName name="_10__123Graph_ACHART_8" localSheetId="70" hidden="1">'[16]Employment Data Sectors (wages)'!$W$8175:$W$8186</definedName>
    <definedName name="_10__123Graph_ACHART_8" localSheetId="71" hidden="1">'[17]Employment Data Sectors (wages)'!$W$8175:$W$8186</definedName>
    <definedName name="_10__123Graph_ACHART_8" localSheetId="72" hidden="1">'[17]Employment Data Sectors (wages)'!$W$8175:$W$8186</definedName>
    <definedName name="_10__123Graph_ACHART_8" localSheetId="73" hidden="1">'[17]Employment Data Sectors (wages)'!$W$8175:$W$8186</definedName>
    <definedName name="_10__123Graph_ACHART_8" localSheetId="74" hidden="1">'[17]Employment Data Sectors (wages)'!$W$8175:$W$8186</definedName>
    <definedName name="_10__123Graph_ACHART_8" localSheetId="79" hidden="1">'[18]Employment Data Sectors (wages)'!$W$8175:$W$8186</definedName>
    <definedName name="_10__123Graph_ACHART_8" localSheetId="80" hidden="1">'[16]Employment Data Sectors (wages)'!$W$8175:$W$8186</definedName>
    <definedName name="_10__123Graph_ACHART_8" localSheetId="81" hidden="1">'[16]Employment Data Sectors (wages)'!$W$8175:$W$8186</definedName>
    <definedName name="_10__123Graph_ACHART_8" localSheetId="101" hidden="1">'[16]Employment Data Sectors (wages)'!$W$8175:$W$8186</definedName>
    <definedName name="_10__123Graph_ACHART_8" localSheetId="108" hidden="1">'[16]Employment Data Sectors (wages)'!$W$8175:$W$8186</definedName>
    <definedName name="_10__123Graph_ACHART_8" localSheetId="115" hidden="1">'[17]Employment Data Sectors (wages)'!$W$8175:$W$8186</definedName>
    <definedName name="_10__123Graph_ACHART_8" localSheetId="7" hidden="1">'[16]Employment Data Sectors (wages)'!$W$8175:$W$8186</definedName>
    <definedName name="_10__123Graph_ACHART_8" localSheetId="8" hidden="1">'[16]Employment Data Sectors (wages)'!$W$8175:$W$8186</definedName>
    <definedName name="_10__123Graph_ACHART_8" localSheetId="9" hidden="1">'[16]Employment Data Sectors (wages)'!$W$8175:$W$8186</definedName>
    <definedName name="_10__123Graph_ACHART_8" localSheetId="10" hidden="1">'[17]Employment Data Sectors (wages)'!$W$8175:$W$8186</definedName>
    <definedName name="_10__123Graph_ACHART_8" localSheetId="19" hidden="1">'[16]Employment Data Sectors (wages)'!$W$8175:$W$8186</definedName>
    <definedName name="_10__123Graph_ACHART_8" localSheetId="21" hidden="1">'[16]Employment Data Sectors (wages)'!$W$8175:$W$8186</definedName>
    <definedName name="_10__123Graph_ACHART_8" localSheetId="23" hidden="1">'[16]Employment Data Sectors (wages)'!$W$8175:$W$8186</definedName>
    <definedName name="_10__123Graph_ACHART_8" localSheetId="24" hidden="1">'[16]Employment Data Sectors (wages)'!$W$8175:$W$8186</definedName>
    <definedName name="_10__123Graph_ACHART_8" localSheetId="25" hidden="1">'[16]Employment Data Sectors (wages)'!$W$8175:$W$8186</definedName>
    <definedName name="_10__123Graph_ACHART_8" localSheetId="27" hidden="1">'[16]Employment Data Sectors (wages)'!$W$8175:$W$8186</definedName>
    <definedName name="_10__123Graph_ACHART_8" localSheetId="30" hidden="1">'[16]Employment Data Sectors (wages)'!$W$8175:$W$8186</definedName>
    <definedName name="_10__123Graph_ACHART_8" localSheetId="33" hidden="1">'[16]Employment Data Sectors (wages)'!$W$8175:$W$8186</definedName>
    <definedName name="_10__123Graph_ACHART_8" localSheetId="34" hidden="1">'[17]Employment Data Sectors (wages)'!$W$8175:$W$8186</definedName>
    <definedName name="_10__123Graph_ACHART_8" localSheetId="35" hidden="1">'[17]Employment Data Sectors (wages)'!$W$8175:$W$8186</definedName>
    <definedName name="_10__123Graph_ACHART_8" localSheetId="36" hidden="1">'[17]Employment Data Sectors (wages)'!$W$8175:$W$8186</definedName>
    <definedName name="_10__123Graph_ACHART_8" localSheetId="37" hidden="1">'[17]Employment Data Sectors (wages)'!$W$8175:$W$8186</definedName>
    <definedName name="_10__123Graph_ACHART_8" localSheetId="38" hidden="1">'[17]Employment Data Sectors (wages)'!$W$8175:$W$8186</definedName>
    <definedName name="_10__123Graph_ACHART_8" localSheetId="39" hidden="1">'[16]Employment Data Sectors (wages)'!$W$8175:$W$8186</definedName>
    <definedName name="_10__123Graph_ACHART_8" localSheetId="40" hidden="1">'[16]Employment Data Sectors (wages)'!$W$8175:$W$8186</definedName>
    <definedName name="_10__123Graph_ACHART_8" hidden="1">'[17]Employment Data Sectors (wages)'!$W$8175:$W$8186</definedName>
    <definedName name="_10__123Graph_BCHART_1" localSheetId="55" hidden="1">'[19]Employment Data Sectors (wages)'!$B$8173:$B$8184</definedName>
    <definedName name="_10__123Graph_BCHART_1" localSheetId="71" hidden="1">'[20]Employment Data Sectors (wages)'!$B$8173:$B$8184</definedName>
    <definedName name="_10__123Graph_BCHART_1" localSheetId="72" hidden="1">'[20]Employment Data Sectors (wages)'!$B$8173:$B$8184</definedName>
    <definedName name="_10__123Graph_BCHART_1" localSheetId="73" hidden="1">'[20]Employment Data Sectors (wages)'!$B$8173:$B$8184</definedName>
    <definedName name="_10__123Graph_BCHART_1" localSheetId="74" hidden="1">'[20]Employment Data Sectors (wages)'!$B$8173:$B$8184</definedName>
    <definedName name="_10__123Graph_BCHART_1" localSheetId="79" hidden="1">'[19]Employment Data Sectors (wages)'!$B$8173:$B$8184</definedName>
    <definedName name="_10__123Graph_BCHART_1" localSheetId="115" hidden="1">'[20]Employment Data Sectors (wages)'!$B$8173:$B$8184</definedName>
    <definedName name="_10__123Graph_BCHART_1" localSheetId="10" hidden="1">'[20]Employment Data Sectors (wages)'!$B$8173:$B$8184</definedName>
    <definedName name="_10__123Graph_BCHART_1" localSheetId="23" hidden="1">'[20]Employment Data Sectors (wages)'!$B$8173:$B$8184</definedName>
    <definedName name="_10__123Graph_BCHART_1" localSheetId="34" hidden="1">'[20]Employment Data Sectors (wages)'!$B$8173:$B$8184</definedName>
    <definedName name="_10__123Graph_BCHART_1" localSheetId="35" hidden="1">'[20]Employment Data Sectors (wages)'!$B$8173:$B$8184</definedName>
    <definedName name="_10__123Graph_BCHART_1" localSheetId="36" hidden="1">'[20]Employment Data Sectors (wages)'!$B$8173:$B$8184</definedName>
    <definedName name="_10__123Graph_BCHART_1" localSheetId="37" hidden="1">'[20]Employment Data Sectors (wages)'!$B$8173:$B$8184</definedName>
    <definedName name="_10__123Graph_BCHART_1" localSheetId="38" hidden="1">'[20]Employment Data Sectors (wages)'!$B$8173:$B$8184</definedName>
    <definedName name="_10__123Graph_BCHART_1" hidden="1">'[20]Employment Data Sectors (wages)'!$B$8173:$B$8184</definedName>
    <definedName name="_100__123Graph_BCHART_8" hidden="1">'[14]Employment Data Sectors (wages)'!$W$13:$W$8187</definedName>
    <definedName name="_103__123Graph_CCHART_3" localSheetId="70" hidden="1">'[21]Employment Data Sectors (wages)'!$C$11:$C$8185</definedName>
    <definedName name="_103__123Graph_CCHART_3" localSheetId="71" hidden="1">'[21]Employment Data Sectors (wages)'!$C$11:$C$8185</definedName>
    <definedName name="_103__123Graph_CCHART_3" localSheetId="72" hidden="1">'[21]Employment Data Sectors (wages)'!$C$11:$C$8185</definedName>
    <definedName name="_103__123Graph_CCHART_3" localSheetId="73" hidden="1">'[21]Employment Data Sectors (wages)'!$C$11:$C$8185</definedName>
    <definedName name="_103__123Graph_CCHART_3" localSheetId="74" hidden="1">'[21]Employment Data Sectors (wages)'!$C$11:$C$8185</definedName>
    <definedName name="_103__123Graph_CCHART_3" localSheetId="79" hidden="1">'[14]Employment Data Sectors (wages)'!$C$11:$C$8185</definedName>
    <definedName name="_103__123Graph_CCHART_3" localSheetId="80" hidden="1">'[21]Employment Data Sectors (wages)'!$C$11:$C$8185</definedName>
    <definedName name="_103__123Graph_CCHART_3" localSheetId="81" hidden="1">'[21]Employment Data Sectors (wages)'!$C$11:$C$8185</definedName>
    <definedName name="_103__123Graph_CCHART_3" localSheetId="101" hidden="1">'[21]Employment Data Sectors (wages)'!$C$11:$C$8185</definedName>
    <definedName name="_103__123Graph_CCHART_3" localSheetId="108" hidden="1">'[21]Employment Data Sectors (wages)'!$C$11:$C$8185</definedName>
    <definedName name="_103__123Graph_CCHART_3" localSheetId="115" hidden="1">'[21]Employment Data Sectors (wages)'!$C$11:$C$8185</definedName>
    <definedName name="_103__123Graph_CCHART_3" localSheetId="7" hidden="1">'[21]Employment Data Sectors (wages)'!$C$11:$C$8185</definedName>
    <definedName name="_103__123Graph_CCHART_3" localSheetId="8" hidden="1">'[21]Employment Data Sectors (wages)'!$C$11:$C$8185</definedName>
    <definedName name="_103__123Graph_CCHART_3" localSheetId="9" hidden="1">'[21]Employment Data Sectors (wages)'!$C$11:$C$8185</definedName>
    <definedName name="_103__123Graph_CCHART_3" localSheetId="10" hidden="1">'[21]Employment Data Sectors (wages)'!$C$11:$C$8185</definedName>
    <definedName name="_103__123Graph_CCHART_3" localSheetId="19" hidden="1">'[21]Employment Data Sectors (wages)'!$C$11:$C$8185</definedName>
    <definedName name="_103__123Graph_CCHART_3" localSheetId="21" hidden="1">'[21]Employment Data Sectors (wages)'!$C$11:$C$8185</definedName>
    <definedName name="_103__123Graph_CCHART_3" localSheetId="23" hidden="1">'[21]Employment Data Sectors (wages)'!$C$11:$C$8185</definedName>
    <definedName name="_103__123Graph_CCHART_3" localSheetId="24" hidden="1">'[21]Employment Data Sectors (wages)'!$C$11:$C$8185</definedName>
    <definedName name="_103__123Graph_CCHART_3" localSheetId="25" hidden="1">'[21]Employment Data Sectors (wages)'!$C$11:$C$8185</definedName>
    <definedName name="_103__123Graph_CCHART_3" localSheetId="27" hidden="1">'[21]Employment Data Sectors (wages)'!$C$11:$C$8185</definedName>
    <definedName name="_103__123Graph_CCHART_3" localSheetId="30" hidden="1">'[21]Employment Data Sectors (wages)'!$C$11:$C$8185</definedName>
    <definedName name="_103__123Graph_CCHART_3" localSheetId="33" hidden="1">'[21]Employment Data Sectors (wages)'!$C$11:$C$8185</definedName>
    <definedName name="_103__123Graph_CCHART_3" localSheetId="34" hidden="1">'[21]Employment Data Sectors (wages)'!$C$11:$C$8185</definedName>
    <definedName name="_103__123Graph_CCHART_3" localSheetId="35" hidden="1">'[21]Employment Data Sectors (wages)'!$C$11:$C$8185</definedName>
    <definedName name="_103__123Graph_CCHART_3" localSheetId="36" hidden="1">'[21]Employment Data Sectors (wages)'!$C$11:$C$8185</definedName>
    <definedName name="_103__123Graph_CCHART_3" localSheetId="37" hidden="1">'[21]Employment Data Sectors (wages)'!$C$11:$C$8185</definedName>
    <definedName name="_103__123Graph_CCHART_3" localSheetId="38" hidden="1">'[21]Employment Data Sectors (wages)'!$C$11:$C$8185</definedName>
    <definedName name="_103__123Graph_CCHART_3" localSheetId="39" hidden="1">'[21]Employment Data Sectors (wages)'!$C$11:$C$8185</definedName>
    <definedName name="_103__123Graph_CCHART_3" localSheetId="40" hidden="1">'[21]Employment Data Sectors (wages)'!$C$11:$C$8185</definedName>
    <definedName name="_103__123Graph_CCHART_3" hidden="1">'[21]Employment Data Sectors (wages)'!$C$11:$C$8185</definedName>
    <definedName name="_105__123Graph_CCHART_1" hidden="1">'[14]Employment Data Sectors (wages)'!$C$8173:$C$8184</definedName>
    <definedName name="_108__123Graph_CCHART_4" localSheetId="70" hidden="1">'[21]Employment Data Sectors (wages)'!$C$12:$C$23</definedName>
    <definedName name="_108__123Graph_CCHART_4" localSheetId="71" hidden="1">'[21]Employment Data Sectors (wages)'!$C$12:$C$23</definedName>
    <definedName name="_108__123Graph_CCHART_4" localSheetId="72" hidden="1">'[21]Employment Data Sectors (wages)'!$C$12:$C$23</definedName>
    <definedName name="_108__123Graph_CCHART_4" localSheetId="73" hidden="1">'[21]Employment Data Sectors (wages)'!$C$12:$C$23</definedName>
    <definedName name="_108__123Graph_CCHART_4" localSheetId="74" hidden="1">'[21]Employment Data Sectors (wages)'!$C$12:$C$23</definedName>
    <definedName name="_108__123Graph_CCHART_4" localSheetId="79" hidden="1">'[14]Employment Data Sectors (wages)'!$C$12:$C$23</definedName>
    <definedName name="_108__123Graph_CCHART_4" localSheetId="80" hidden="1">'[21]Employment Data Sectors (wages)'!$C$12:$C$23</definedName>
    <definedName name="_108__123Graph_CCHART_4" localSheetId="81" hidden="1">'[21]Employment Data Sectors (wages)'!$C$12:$C$23</definedName>
    <definedName name="_108__123Graph_CCHART_4" localSheetId="101" hidden="1">'[21]Employment Data Sectors (wages)'!$C$12:$C$23</definedName>
    <definedName name="_108__123Graph_CCHART_4" localSheetId="108" hidden="1">'[21]Employment Data Sectors (wages)'!$C$12:$C$23</definedName>
    <definedName name="_108__123Graph_CCHART_4" localSheetId="115" hidden="1">'[21]Employment Data Sectors (wages)'!$C$12:$C$23</definedName>
    <definedName name="_108__123Graph_CCHART_4" localSheetId="7" hidden="1">'[21]Employment Data Sectors (wages)'!$C$12:$C$23</definedName>
    <definedName name="_108__123Graph_CCHART_4" localSheetId="8" hidden="1">'[21]Employment Data Sectors (wages)'!$C$12:$C$23</definedName>
    <definedName name="_108__123Graph_CCHART_4" localSheetId="9" hidden="1">'[21]Employment Data Sectors (wages)'!$C$12:$C$23</definedName>
    <definedName name="_108__123Graph_CCHART_4" localSheetId="10" hidden="1">'[21]Employment Data Sectors (wages)'!$C$12:$C$23</definedName>
    <definedName name="_108__123Graph_CCHART_4" localSheetId="19" hidden="1">'[21]Employment Data Sectors (wages)'!$C$12:$C$23</definedName>
    <definedName name="_108__123Graph_CCHART_4" localSheetId="21" hidden="1">'[21]Employment Data Sectors (wages)'!$C$12:$C$23</definedName>
    <definedName name="_108__123Graph_CCHART_4" localSheetId="23" hidden="1">'[21]Employment Data Sectors (wages)'!$C$12:$C$23</definedName>
    <definedName name="_108__123Graph_CCHART_4" localSheetId="24" hidden="1">'[21]Employment Data Sectors (wages)'!$C$12:$C$23</definedName>
    <definedName name="_108__123Graph_CCHART_4" localSheetId="25" hidden="1">'[21]Employment Data Sectors (wages)'!$C$12:$C$23</definedName>
    <definedName name="_108__123Graph_CCHART_4" localSheetId="27" hidden="1">'[21]Employment Data Sectors (wages)'!$C$12:$C$23</definedName>
    <definedName name="_108__123Graph_CCHART_4" localSheetId="30" hidden="1">'[21]Employment Data Sectors (wages)'!$C$12:$C$23</definedName>
    <definedName name="_108__123Graph_CCHART_4" localSheetId="33" hidden="1">'[21]Employment Data Sectors (wages)'!$C$12:$C$23</definedName>
    <definedName name="_108__123Graph_CCHART_4" localSheetId="34" hidden="1">'[21]Employment Data Sectors (wages)'!$C$12:$C$23</definedName>
    <definedName name="_108__123Graph_CCHART_4" localSheetId="35" hidden="1">'[21]Employment Data Sectors (wages)'!$C$12:$C$23</definedName>
    <definedName name="_108__123Graph_CCHART_4" localSheetId="36" hidden="1">'[21]Employment Data Sectors (wages)'!$C$12:$C$23</definedName>
    <definedName name="_108__123Graph_CCHART_4" localSheetId="37" hidden="1">'[21]Employment Data Sectors (wages)'!$C$12:$C$23</definedName>
    <definedName name="_108__123Graph_CCHART_4" localSheetId="38" hidden="1">'[21]Employment Data Sectors (wages)'!$C$12:$C$23</definedName>
    <definedName name="_108__123Graph_CCHART_4" localSheetId="39" hidden="1">'[21]Employment Data Sectors (wages)'!$C$12:$C$23</definedName>
    <definedName name="_108__123Graph_CCHART_4" localSheetId="40" hidden="1">'[21]Employment Data Sectors (wages)'!$C$12:$C$23</definedName>
    <definedName name="_108__123Graph_CCHART_4" hidden="1">'[21]Employment Data Sectors (wages)'!$C$12:$C$23</definedName>
    <definedName name="_11__123Graph_BCHART_1" localSheetId="55" hidden="1">'[16]Employment Data Sectors (wages)'!$B$8173:$B$8184</definedName>
    <definedName name="_11__123Graph_BCHART_1" localSheetId="70" hidden="1">'[16]Employment Data Sectors (wages)'!$B$8173:$B$8184</definedName>
    <definedName name="_11__123Graph_BCHART_1" localSheetId="71" hidden="1">'[17]Employment Data Sectors (wages)'!$B$8173:$B$8184</definedName>
    <definedName name="_11__123Graph_BCHART_1" localSheetId="72" hidden="1">'[17]Employment Data Sectors (wages)'!$B$8173:$B$8184</definedName>
    <definedName name="_11__123Graph_BCHART_1" localSheetId="73" hidden="1">'[17]Employment Data Sectors (wages)'!$B$8173:$B$8184</definedName>
    <definedName name="_11__123Graph_BCHART_1" localSheetId="74" hidden="1">'[17]Employment Data Sectors (wages)'!$B$8173:$B$8184</definedName>
    <definedName name="_11__123Graph_BCHART_1" localSheetId="79" hidden="1">'[18]Employment Data Sectors (wages)'!$B$8173:$B$8184</definedName>
    <definedName name="_11__123Graph_BCHART_1" localSheetId="80" hidden="1">'[16]Employment Data Sectors (wages)'!$B$8173:$B$8184</definedName>
    <definedName name="_11__123Graph_BCHART_1" localSheetId="81" hidden="1">'[16]Employment Data Sectors (wages)'!$B$8173:$B$8184</definedName>
    <definedName name="_11__123Graph_BCHART_1" localSheetId="101" hidden="1">'[16]Employment Data Sectors (wages)'!$B$8173:$B$8184</definedName>
    <definedName name="_11__123Graph_BCHART_1" localSheetId="108" hidden="1">'[16]Employment Data Sectors (wages)'!$B$8173:$B$8184</definedName>
    <definedName name="_11__123Graph_BCHART_1" localSheetId="115" hidden="1">'[17]Employment Data Sectors (wages)'!$B$8173:$B$8184</definedName>
    <definedName name="_11__123Graph_BCHART_1" localSheetId="7" hidden="1">'[16]Employment Data Sectors (wages)'!$B$8173:$B$8184</definedName>
    <definedName name="_11__123Graph_BCHART_1" localSheetId="8" hidden="1">'[16]Employment Data Sectors (wages)'!$B$8173:$B$8184</definedName>
    <definedName name="_11__123Graph_BCHART_1" localSheetId="9" hidden="1">'[16]Employment Data Sectors (wages)'!$B$8173:$B$8184</definedName>
    <definedName name="_11__123Graph_BCHART_1" localSheetId="10" hidden="1">'[17]Employment Data Sectors (wages)'!$B$8173:$B$8184</definedName>
    <definedName name="_11__123Graph_BCHART_1" localSheetId="19" hidden="1">'[16]Employment Data Sectors (wages)'!$B$8173:$B$8184</definedName>
    <definedName name="_11__123Graph_BCHART_1" localSheetId="21" hidden="1">'[16]Employment Data Sectors (wages)'!$B$8173:$B$8184</definedName>
    <definedName name="_11__123Graph_BCHART_1" localSheetId="23" hidden="1">'[16]Employment Data Sectors (wages)'!$B$8173:$B$8184</definedName>
    <definedName name="_11__123Graph_BCHART_1" localSheetId="24" hidden="1">'[16]Employment Data Sectors (wages)'!$B$8173:$B$8184</definedName>
    <definedName name="_11__123Graph_BCHART_1" localSheetId="25" hidden="1">'[16]Employment Data Sectors (wages)'!$B$8173:$B$8184</definedName>
    <definedName name="_11__123Graph_BCHART_1" localSheetId="27" hidden="1">'[16]Employment Data Sectors (wages)'!$B$8173:$B$8184</definedName>
    <definedName name="_11__123Graph_BCHART_1" localSheetId="30" hidden="1">'[16]Employment Data Sectors (wages)'!$B$8173:$B$8184</definedName>
    <definedName name="_11__123Graph_BCHART_1" localSheetId="33" hidden="1">'[16]Employment Data Sectors (wages)'!$B$8173:$B$8184</definedName>
    <definedName name="_11__123Graph_BCHART_1" localSheetId="34" hidden="1">'[17]Employment Data Sectors (wages)'!$B$8173:$B$8184</definedName>
    <definedName name="_11__123Graph_BCHART_1" localSheetId="35" hidden="1">'[17]Employment Data Sectors (wages)'!$B$8173:$B$8184</definedName>
    <definedName name="_11__123Graph_BCHART_1" localSheetId="36" hidden="1">'[17]Employment Data Sectors (wages)'!$B$8173:$B$8184</definedName>
    <definedName name="_11__123Graph_BCHART_1" localSheetId="37" hidden="1">'[17]Employment Data Sectors (wages)'!$B$8173:$B$8184</definedName>
    <definedName name="_11__123Graph_BCHART_1" localSheetId="38" hidden="1">'[17]Employment Data Sectors (wages)'!$B$8173:$B$8184</definedName>
    <definedName name="_11__123Graph_BCHART_1" localSheetId="39" hidden="1">'[16]Employment Data Sectors (wages)'!$B$8173:$B$8184</definedName>
    <definedName name="_11__123Graph_BCHART_1" localSheetId="40" hidden="1">'[16]Employment Data Sectors (wages)'!$B$8173:$B$8184</definedName>
    <definedName name="_11__123Graph_BCHART_1" hidden="1">'[17]Employment Data Sectors (wages)'!$B$8173:$B$8184</definedName>
    <definedName name="_11__123Graph_BCHART_2" localSheetId="55" hidden="1">'[19]Employment Data Sectors (wages)'!$B$8173:$B$8184</definedName>
    <definedName name="_11__123Graph_BCHART_2" localSheetId="71" hidden="1">'[20]Employment Data Sectors (wages)'!$B$8173:$B$8184</definedName>
    <definedName name="_11__123Graph_BCHART_2" localSheetId="72" hidden="1">'[20]Employment Data Sectors (wages)'!$B$8173:$B$8184</definedName>
    <definedName name="_11__123Graph_BCHART_2" localSheetId="73" hidden="1">'[20]Employment Data Sectors (wages)'!$B$8173:$B$8184</definedName>
    <definedName name="_11__123Graph_BCHART_2" localSheetId="74" hidden="1">'[20]Employment Data Sectors (wages)'!$B$8173:$B$8184</definedName>
    <definedName name="_11__123Graph_BCHART_2" localSheetId="79" hidden="1">'[19]Employment Data Sectors (wages)'!$B$8173:$B$8184</definedName>
    <definedName name="_11__123Graph_BCHART_2" localSheetId="115" hidden="1">'[20]Employment Data Sectors (wages)'!$B$8173:$B$8184</definedName>
    <definedName name="_11__123Graph_BCHART_2" localSheetId="10" hidden="1">'[20]Employment Data Sectors (wages)'!$B$8173:$B$8184</definedName>
    <definedName name="_11__123Graph_BCHART_2" localSheetId="23" hidden="1">'[20]Employment Data Sectors (wages)'!$B$8173:$B$8184</definedName>
    <definedName name="_11__123Graph_BCHART_2" localSheetId="34" hidden="1">'[20]Employment Data Sectors (wages)'!$B$8173:$B$8184</definedName>
    <definedName name="_11__123Graph_BCHART_2" localSheetId="35" hidden="1">'[20]Employment Data Sectors (wages)'!$B$8173:$B$8184</definedName>
    <definedName name="_11__123Graph_BCHART_2" localSheetId="36" hidden="1">'[20]Employment Data Sectors (wages)'!$B$8173:$B$8184</definedName>
    <definedName name="_11__123Graph_BCHART_2" localSheetId="37" hidden="1">'[20]Employment Data Sectors (wages)'!$B$8173:$B$8184</definedName>
    <definedName name="_11__123Graph_BCHART_2" localSheetId="38" hidden="1">'[20]Employment Data Sectors (wages)'!$B$8173:$B$8184</definedName>
    <definedName name="_11__123Graph_BCHART_2" hidden="1">'[20]Employment Data Sectors (wages)'!$B$8173:$B$8184</definedName>
    <definedName name="_110__123Graph_CCHART_2" hidden="1">'[14]Employment Data Sectors (wages)'!$C$8173:$C$8184</definedName>
    <definedName name="_113__123Graph_CCHART_5" localSheetId="70" hidden="1">'[21]Employment Data Sectors (wages)'!$C$24:$C$35</definedName>
    <definedName name="_113__123Graph_CCHART_5" localSheetId="71" hidden="1">'[21]Employment Data Sectors (wages)'!$C$24:$C$35</definedName>
    <definedName name="_113__123Graph_CCHART_5" localSheetId="72" hidden="1">'[21]Employment Data Sectors (wages)'!$C$24:$C$35</definedName>
    <definedName name="_113__123Graph_CCHART_5" localSheetId="73" hidden="1">'[21]Employment Data Sectors (wages)'!$C$24:$C$35</definedName>
    <definedName name="_113__123Graph_CCHART_5" localSheetId="74" hidden="1">'[21]Employment Data Sectors (wages)'!$C$24:$C$35</definedName>
    <definedName name="_113__123Graph_CCHART_5" localSheetId="79" hidden="1">'[14]Employment Data Sectors (wages)'!$C$24:$C$35</definedName>
    <definedName name="_113__123Graph_CCHART_5" localSheetId="80" hidden="1">'[21]Employment Data Sectors (wages)'!$C$24:$C$35</definedName>
    <definedName name="_113__123Graph_CCHART_5" localSheetId="81" hidden="1">'[21]Employment Data Sectors (wages)'!$C$24:$C$35</definedName>
    <definedName name="_113__123Graph_CCHART_5" localSheetId="101" hidden="1">'[21]Employment Data Sectors (wages)'!$C$24:$C$35</definedName>
    <definedName name="_113__123Graph_CCHART_5" localSheetId="108" hidden="1">'[21]Employment Data Sectors (wages)'!$C$24:$C$35</definedName>
    <definedName name="_113__123Graph_CCHART_5" localSheetId="115" hidden="1">'[21]Employment Data Sectors (wages)'!$C$24:$C$35</definedName>
    <definedName name="_113__123Graph_CCHART_5" localSheetId="7" hidden="1">'[21]Employment Data Sectors (wages)'!$C$24:$C$35</definedName>
    <definedName name="_113__123Graph_CCHART_5" localSheetId="8" hidden="1">'[21]Employment Data Sectors (wages)'!$C$24:$C$35</definedName>
    <definedName name="_113__123Graph_CCHART_5" localSheetId="9" hidden="1">'[21]Employment Data Sectors (wages)'!$C$24:$C$35</definedName>
    <definedName name="_113__123Graph_CCHART_5" localSheetId="10" hidden="1">'[21]Employment Data Sectors (wages)'!$C$24:$C$35</definedName>
    <definedName name="_113__123Graph_CCHART_5" localSheetId="19" hidden="1">'[21]Employment Data Sectors (wages)'!$C$24:$C$35</definedName>
    <definedName name="_113__123Graph_CCHART_5" localSheetId="21" hidden="1">'[21]Employment Data Sectors (wages)'!$C$24:$C$35</definedName>
    <definedName name="_113__123Graph_CCHART_5" localSheetId="23" hidden="1">'[21]Employment Data Sectors (wages)'!$C$24:$C$35</definedName>
    <definedName name="_113__123Graph_CCHART_5" localSheetId="24" hidden="1">'[21]Employment Data Sectors (wages)'!$C$24:$C$35</definedName>
    <definedName name="_113__123Graph_CCHART_5" localSheetId="25" hidden="1">'[21]Employment Data Sectors (wages)'!$C$24:$C$35</definedName>
    <definedName name="_113__123Graph_CCHART_5" localSheetId="27" hidden="1">'[21]Employment Data Sectors (wages)'!$C$24:$C$35</definedName>
    <definedName name="_113__123Graph_CCHART_5" localSheetId="30" hidden="1">'[21]Employment Data Sectors (wages)'!$C$24:$C$35</definedName>
    <definedName name="_113__123Graph_CCHART_5" localSheetId="33" hidden="1">'[21]Employment Data Sectors (wages)'!$C$24:$C$35</definedName>
    <definedName name="_113__123Graph_CCHART_5" localSheetId="34" hidden="1">'[21]Employment Data Sectors (wages)'!$C$24:$C$35</definedName>
    <definedName name="_113__123Graph_CCHART_5" localSheetId="35" hidden="1">'[21]Employment Data Sectors (wages)'!$C$24:$C$35</definedName>
    <definedName name="_113__123Graph_CCHART_5" localSheetId="36" hidden="1">'[21]Employment Data Sectors (wages)'!$C$24:$C$35</definedName>
    <definedName name="_113__123Graph_CCHART_5" localSheetId="37" hidden="1">'[21]Employment Data Sectors (wages)'!$C$24:$C$35</definedName>
    <definedName name="_113__123Graph_CCHART_5" localSheetId="38" hidden="1">'[21]Employment Data Sectors (wages)'!$C$24:$C$35</definedName>
    <definedName name="_113__123Graph_CCHART_5" localSheetId="39" hidden="1">'[21]Employment Data Sectors (wages)'!$C$24:$C$35</definedName>
    <definedName name="_113__123Graph_CCHART_5" localSheetId="40" hidden="1">'[21]Employment Data Sectors (wages)'!$C$24:$C$35</definedName>
    <definedName name="_113__123Graph_CCHART_5" hidden="1">'[21]Employment Data Sectors (wages)'!$C$24:$C$35</definedName>
    <definedName name="_115__123Graph_CCHART_3" hidden="1">'[14]Employment Data Sectors (wages)'!$C$11:$C$8185</definedName>
    <definedName name="_118__123Graph_CCHART_6" localSheetId="70" hidden="1">'[21]Employment Data Sectors (wages)'!$U$49:$U$8103</definedName>
    <definedName name="_118__123Graph_CCHART_6" localSheetId="71" hidden="1">'[21]Employment Data Sectors (wages)'!$U$49:$U$8103</definedName>
    <definedName name="_118__123Graph_CCHART_6" localSheetId="72" hidden="1">'[21]Employment Data Sectors (wages)'!$U$49:$U$8103</definedName>
    <definedName name="_118__123Graph_CCHART_6" localSheetId="73" hidden="1">'[21]Employment Data Sectors (wages)'!$U$49:$U$8103</definedName>
    <definedName name="_118__123Graph_CCHART_6" localSheetId="74" hidden="1">'[21]Employment Data Sectors (wages)'!$U$49:$U$8103</definedName>
    <definedName name="_118__123Graph_CCHART_6" localSheetId="79" hidden="1">'[14]Employment Data Sectors (wages)'!$U$49:$U$8103</definedName>
    <definedName name="_118__123Graph_CCHART_6" localSheetId="80" hidden="1">'[21]Employment Data Sectors (wages)'!$U$49:$U$8103</definedName>
    <definedName name="_118__123Graph_CCHART_6" localSheetId="81" hidden="1">'[21]Employment Data Sectors (wages)'!$U$49:$U$8103</definedName>
    <definedName name="_118__123Graph_CCHART_6" localSheetId="101" hidden="1">'[21]Employment Data Sectors (wages)'!$U$49:$U$8103</definedName>
    <definedName name="_118__123Graph_CCHART_6" localSheetId="108" hidden="1">'[21]Employment Data Sectors (wages)'!$U$49:$U$8103</definedName>
    <definedName name="_118__123Graph_CCHART_6" localSheetId="115" hidden="1">'[21]Employment Data Sectors (wages)'!$U$49:$U$8103</definedName>
    <definedName name="_118__123Graph_CCHART_6" localSheetId="7" hidden="1">'[21]Employment Data Sectors (wages)'!$U$49:$U$8103</definedName>
    <definedName name="_118__123Graph_CCHART_6" localSheetId="8" hidden="1">'[21]Employment Data Sectors (wages)'!$U$49:$U$8103</definedName>
    <definedName name="_118__123Graph_CCHART_6" localSheetId="9" hidden="1">'[21]Employment Data Sectors (wages)'!$U$49:$U$8103</definedName>
    <definedName name="_118__123Graph_CCHART_6" localSheetId="10" hidden="1">'[21]Employment Data Sectors (wages)'!$U$49:$U$8103</definedName>
    <definedName name="_118__123Graph_CCHART_6" localSheetId="19" hidden="1">'[21]Employment Data Sectors (wages)'!$U$49:$U$8103</definedName>
    <definedName name="_118__123Graph_CCHART_6" localSheetId="21" hidden="1">'[21]Employment Data Sectors (wages)'!$U$49:$U$8103</definedName>
    <definedName name="_118__123Graph_CCHART_6" localSheetId="23" hidden="1">'[21]Employment Data Sectors (wages)'!$U$49:$U$8103</definedName>
    <definedName name="_118__123Graph_CCHART_6" localSheetId="24" hidden="1">'[21]Employment Data Sectors (wages)'!$U$49:$U$8103</definedName>
    <definedName name="_118__123Graph_CCHART_6" localSheetId="25" hidden="1">'[21]Employment Data Sectors (wages)'!$U$49:$U$8103</definedName>
    <definedName name="_118__123Graph_CCHART_6" localSheetId="27" hidden="1">'[21]Employment Data Sectors (wages)'!$U$49:$U$8103</definedName>
    <definedName name="_118__123Graph_CCHART_6" localSheetId="30" hidden="1">'[21]Employment Data Sectors (wages)'!$U$49:$U$8103</definedName>
    <definedName name="_118__123Graph_CCHART_6" localSheetId="33" hidden="1">'[21]Employment Data Sectors (wages)'!$U$49:$U$8103</definedName>
    <definedName name="_118__123Graph_CCHART_6" localSheetId="34" hidden="1">'[21]Employment Data Sectors (wages)'!$U$49:$U$8103</definedName>
    <definedName name="_118__123Graph_CCHART_6" localSheetId="35" hidden="1">'[21]Employment Data Sectors (wages)'!$U$49:$U$8103</definedName>
    <definedName name="_118__123Graph_CCHART_6" localSheetId="36" hidden="1">'[21]Employment Data Sectors (wages)'!$U$49:$U$8103</definedName>
    <definedName name="_118__123Graph_CCHART_6" localSheetId="37" hidden="1">'[21]Employment Data Sectors (wages)'!$U$49:$U$8103</definedName>
    <definedName name="_118__123Graph_CCHART_6" localSheetId="38" hidden="1">'[21]Employment Data Sectors (wages)'!$U$49:$U$8103</definedName>
    <definedName name="_118__123Graph_CCHART_6" localSheetId="39" hidden="1">'[21]Employment Data Sectors (wages)'!$U$49:$U$8103</definedName>
    <definedName name="_118__123Graph_CCHART_6" localSheetId="40" hidden="1">'[21]Employment Data Sectors (wages)'!$U$49:$U$8103</definedName>
    <definedName name="_118__123Graph_CCHART_6" hidden="1">'[21]Employment Data Sectors (wages)'!$U$49:$U$8103</definedName>
    <definedName name="_12__123Graph_ACHART_2" localSheetId="70" hidden="1">'[22]Employment Data Sectors (wages)'!$A$8173:$A$8184</definedName>
    <definedName name="_12__123Graph_ACHART_2" localSheetId="71" hidden="1">'[22]Employment Data Sectors (wages)'!$A$8173:$A$8184</definedName>
    <definedName name="_12__123Graph_ACHART_2" localSheetId="72" hidden="1">'[22]Employment Data Sectors (wages)'!$A$8173:$A$8184</definedName>
    <definedName name="_12__123Graph_ACHART_2" localSheetId="73" hidden="1">'[22]Employment Data Sectors (wages)'!$A$8173:$A$8184</definedName>
    <definedName name="_12__123Graph_ACHART_2" localSheetId="74" hidden="1">'[22]Employment Data Sectors (wages)'!$A$8173:$A$8184</definedName>
    <definedName name="_12__123Graph_ACHART_2" localSheetId="79" hidden="1">'[14]Employment Data Sectors (wages)'!$A$8173:$A$8184</definedName>
    <definedName name="_12__123Graph_ACHART_2" localSheetId="80" hidden="1">'[22]Employment Data Sectors (wages)'!$A$8173:$A$8184</definedName>
    <definedName name="_12__123Graph_ACHART_2" localSheetId="81" hidden="1">'[22]Employment Data Sectors (wages)'!$A$8173:$A$8184</definedName>
    <definedName name="_12__123Graph_ACHART_2" localSheetId="101" hidden="1">'[22]Employment Data Sectors (wages)'!$A$8173:$A$8184</definedName>
    <definedName name="_12__123Graph_ACHART_2" localSheetId="108" hidden="1">'[22]Employment Data Sectors (wages)'!$A$8173:$A$8184</definedName>
    <definedName name="_12__123Graph_ACHART_2" localSheetId="115" hidden="1">'[22]Employment Data Sectors (wages)'!$A$8173:$A$8184</definedName>
    <definedName name="_12__123Graph_ACHART_2" localSheetId="7" hidden="1">'[22]Employment Data Sectors (wages)'!$A$8173:$A$8184</definedName>
    <definedName name="_12__123Graph_ACHART_2" localSheetId="8" hidden="1">'[22]Employment Data Sectors (wages)'!$A$8173:$A$8184</definedName>
    <definedName name="_12__123Graph_ACHART_2" localSheetId="9" hidden="1">'[22]Employment Data Sectors (wages)'!$A$8173:$A$8184</definedName>
    <definedName name="_12__123Graph_ACHART_2" localSheetId="10" hidden="1">'[22]Employment Data Sectors (wages)'!$A$8173:$A$8184</definedName>
    <definedName name="_12__123Graph_ACHART_2" localSheetId="19" hidden="1">'[22]Employment Data Sectors (wages)'!$A$8173:$A$8184</definedName>
    <definedName name="_12__123Graph_ACHART_2" localSheetId="21" hidden="1">'[22]Employment Data Sectors (wages)'!$A$8173:$A$8184</definedName>
    <definedName name="_12__123Graph_ACHART_2" localSheetId="23" hidden="1">'[22]Employment Data Sectors (wages)'!$A$8173:$A$8184</definedName>
    <definedName name="_12__123Graph_ACHART_2" localSheetId="24" hidden="1">'[22]Employment Data Sectors (wages)'!$A$8173:$A$8184</definedName>
    <definedName name="_12__123Graph_ACHART_2" localSheetId="25" hidden="1">'[14]Employment Data Sectors (wages)'!$A$8173:$A$8184</definedName>
    <definedName name="_12__123Graph_ACHART_2" localSheetId="27" hidden="1">'[22]Employment Data Sectors (wages)'!$A$8173:$A$8184</definedName>
    <definedName name="_12__123Graph_ACHART_2" localSheetId="30" hidden="1">'[22]Employment Data Sectors (wages)'!$A$8173:$A$8184</definedName>
    <definedName name="_12__123Graph_ACHART_2" localSheetId="33" hidden="1">'[22]Employment Data Sectors (wages)'!$A$8173:$A$8184</definedName>
    <definedName name="_12__123Graph_ACHART_2" localSheetId="34" hidden="1">'[22]Employment Data Sectors (wages)'!$A$8173:$A$8184</definedName>
    <definedName name="_12__123Graph_ACHART_2" localSheetId="35" hidden="1">'[22]Employment Data Sectors (wages)'!$A$8173:$A$8184</definedName>
    <definedName name="_12__123Graph_ACHART_2" localSheetId="36" hidden="1">'[22]Employment Data Sectors (wages)'!$A$8173:$A$8184</definedName>
    <definedName name="_12__123Graph_ACHART_2" localSheetId="37" hidden="1">'[22]Employment Data Sectors (wages)'!$A$8173:$A$8184</definedName>
    <definedName name="_12__123Graph_ACHART_2" localSheetId="38" hidden="1">'[22]Employment Data Sectors (wages)'!$A$8173:$A$8184</definedName>
    <definedName name="_12__123Graph_ACHART_2" localSheetId="39" hidden="1">'[22]Employment Data Sectors (wages)'!$A$8173:$A$8184</definedName>
    <definedName name="_12__123Graph_ACHART_2" localSheetId="40" hidden="1">'[22]Employment Data Sectors (wages)'!$A$8173:$A$8184</definedName>
    <definedName name="_12__123Graph_ACHART_2" hidden="1">'[22]Employment Data Sectors (wages)'!$A$8173:$A$8184</definedName>
    <definedName name="_12__123Graph_ACHART_3" hidden="1">'[15]Employment Data Sectors (wages)'!$A$11:$A$8185</definedName>
    <definedName name="_12__123Graph_BCHART_2" localSheetId="55" hidden="1">'[16]Employment Data Sectors (wages)'!$B$8173:$B$8184</definedName>
    <definedName name="_12__123Graph_BCHART_2" localSheetId="70" hidden="1">'[16]Employment Data Sectors (wages)'!$B$8173:$B$8184</definedName>
    <definedName name="_12__123Graph_BCHART_2" localSheetId="71" hidden="1">'[17]Employment Data Sectors (wages)'!$B$8173:$B$8184</definedName>
    <definedName name="_12__123Graph_BCHART_2" localSheetId="72" hidden="1">'[17]Employment Data Sectors (wages)'!$B$8173:$B$8184</definedName>
    <definedName name="_12__123Graph_BCHART_2" localSheetId="73" hidden="1">'[17]Employment Data Sectors (wages)'!$B$8173:$B$8184</definedName>
    <definedName name="_12__123Graph_BCHART_2" localSheetId="74" hidden="1">'[17]Employment Data Sectors (wages)'!$B$8173:$B$8184</definedName>
    <definedName name="_12__123Graph_BCHART_2" localSheetId="79" hidden="1">'[18]Employment Data Sectors (wages)'!$B$8173:$B$8184</definedName>
    <definedName name="_12__123Graph_BCHART_2" localSheetId="80" hidden="1">'[16]Employment Data Sectors (wages)'!$B$8173:$B$8184</definedName>
    <definedName name="_12__123Graph_BCHART_2" localSheetId="81" hidden="1">'[16]Employment Data Sectors (wages)'!$B$8173:$B$8184</definedName>
    <definedName name="_12__123Graph_BCHART_2" localSheetId="101" hidden="1">'[16]Employment Data Sectors (wages)'!$B$8173:$B$8184</definedName>
    <definedName name="_12__123Graph_BCHART_2" localSheetId="108" hidden="1">'[16]Employment Data Sectors (wages)'!$B$8173:$B$8184</definedName>
    <definedName name="_12__123Graph_BCHART_2" localSheetId="115" hidden="1">'[17]Employment Data Sectors (wages)'!$B$8173:$B$8184</definedName>
    <definedName name="_12__123Graph_BCHART_2" localSheetId="7" hidden="1">'[16]Employment Data Sectors (wages)'!$B$8173:$B$8184</definedName>
    <definedName name="_12__123Graph_BCHART_2" localSheetId="8" hidden="1">'[16]Employment Data Sectors (wages)'!$B$8173:$B$8184</definedName>
    <definedName name="_12__123Graph_BCHART_2" localSheetId="9" hidden="1">'[16]Employment Data Sectors (wages)'!$B$8173:$B$8184</definedName>
    <definedName name="_12__123Graph_BCHART_2" localSheetId="10" hidden="1">'[17]Employment Data Sectors (wages)'!$B$8173:$B$8184</definedName>
    <definedName name="_12__123Graph_BCHART_2" localSheetId="19" hidden="1">'[16]Employment Data Sectors (wages)'!$B$8173:$B$8184</definedName>
    <definedName name="_12__123Graph_BCHART_2" localSheetId="21" hidden="1">'[16]Employment Data Sectors (wages)'!$B$8173:$B$8184</definedName>
    <definedName name="_12__123Graph_BCHART_2" localSheetId="23" hidden="1">'[16]Employment Data Sectors (wages)'!$B$8173:$B$8184</definedName>
    <definedName name="_12__123Graph_BCHART_2" localSheetId="24" hidden="1">'[16]Employment Data Sectors (wages)'!$B$8173:$B$8184</definedName>
    <definedName name="_12__123Graph_BCHART_2" localSheetId="25" hidden="1">'[16]Employment Data Sectors (wages)'!$B$8173:$B$8184</definedName>
    <definedName name="_12__123Graph_BCHART_2" localSheetId="27" hidden="1">'[16]Employment Data Sectors (wages)'!$B$8173:$B$8184</definedName>
    <definedName name="_12__123Graph_BCHART_2" localSheetId="30" hidden="1">'[16]Employment Data Sectors (wages)'!$B$8173:$B$8184</definedName>
    <definedName name="_12__123Graph_BCHART_2" localSheetId="33" hidden="1">'[16]Employment Data Sectors (wages)'!$B$8173:$B$8184</definedName>
    <definedName name="_12__123Graph_BCHART_2" localSheetId="34" hidden="1">'[17]Employment Data Sectors (wages)'!$B$8173:$B$8184</definedName>
    <definedName name="_12__123Graph_BCHART_2" localSheetId="35" hidden="1">'[17]Employment Data Sectors (wages)'!$B$8173:$B$8184</definedName>
    <definedName name="_12__123Graph_BCHART_2" localSheetId="36" hidden="1">'[17]Employment Data Sectors (wages)'!$B$8173:$B$8184</definedName>
    <definedName name="_12__123Graph_BCHART_2" localSheetId="37" hidden="1">'[17]Employment Data Sectors (wages)'!$B$8173:$B$8184</definedName>
    <definedName name="_12__123Graph_BCHART_2" localSheetId="38" hidden="1">'[17]Employment Data Sectors (wages)'!$B$8173:$B$8184</definedName>
    <definedName name="_12__123Graph_BCHART_2" localSheetId="39" hidden="1">'[16]Employment Data Sectors (wages)'!$B$8173:$B$8184</definedName>
    <definedName name="_12__123Graph_BCHART_2" localSheetId="40" hidden="1">'[16]Employment Data Sectors (wages)'!$B$8173:$B$8184</definedName>
    <definedName name="_12__123Graph_BCHART_2" hidden="1">'[17]Employment Data Sectors (wages)'!$B$8173:$B$8184</definedName>
    <definedName name="_12__123Graph_BCHART_3" localSheetId="55" hidden="1">'[19]Employment Data Sectors (wages)'!$B$11:$B$8185</definedName>
    <definedName name="_12__123Graph_BCHART_3" localSheetId="71" hidden="1">'[20]Employment Data Sectors (wages)'!$B$11:$B$8185</definedName>
    <definedName name="_12__123Graph_BCHART_3" localSheetId="72" hidden="1">'[20]Employment Data Sectors (wages)'!$B$11:$B$8185</definedName>
    <definedName name="_12__123Graph_BCHART_3" localSheetId="73" hidden="1">'[20]Employment Data Sectors (wages)'!$B$11:$B$8185</definedName>
    <definedName name="_12__123Graph_BCHART_3" localSheetId="74" hidden="1">'[20]Employment Data Sectors (wages)'!$B$11:$B$8185</definedName>
    <definedName name="_12__123Graph_BCHART_3" localSheetId="79" hidden="1">'[19]Employment Data Sectors (wages)'!$B$11:$B$8185</definedName>
    <definedName name="_12__123Graph_BCHART_3" localSheetId="115" hidden="1">'[20]Employment Data Sectors (wages)'!$B$11:$B$8185</definedName>
    <definedName name="_12__123Graph_BCHART_3" localSheetId="10" hidden="1">'[20]Employment Data Sectors (wages)'!$B$11:$B$8185</definedName>
    <definedName name="_12__123Graph_BCHART_3" localSheetId="23" hidden="1">'[20]Employment Data Sectors (wages)'!$B$11:$B$8185</definedName>
    <definedName name="_12__123Graph_BCHART_3" localSheetId="34" hidden="1">'[20]Employment Data Sectors (wages)'!$B$11:$B$8185</definedName>
    <definedName name="_12__123Graph_BCHART_3" localSheetId="35" hidden="1">'[20]Employment Data Sectors (wages)'!$B$11:$B$8185</definedName>
    <definedName name="_12__123Graph_BCHART_3" localSheetId="36" hidden="1">'[20]Employment Data Sectors (wages)'!$B$11:$B$8185</definedName>
    <definedName name="_12__123Graph_BCHART_3" localSheetId="37" hidden="1">'[20]Employment Data Sectors (wages)'!$B$11:$B$8185</definedName>
    <definedName name="_12__123Graph_BCHART_3" localSheetId="38" hidden="1">'[20]Employment Data Sectors (wages)'!$B$11:$B$8185</definedName>
    <definedName name="_12__123Graph_BCHART_3" hidden="1">'[20]Employment Data Sectors (wages)'!$B$11:$B$8185</definedName>
    <definedName name="_120__123Graph_CCHART_4" hidden="1">'[14]Employment Data Sectors (wages)'!$C$12:$C$23</definedName>
    <definedName name="_123__123Graph_CCHART_7" localSheetId="70" hidden="1">'[21]Employment Data Sectors (wages)'!$Y$14:$Y$25</definedName>
    <definedName name="_123__123Graph_CCHART_7" localSheetId="71" hidden="1">'[21]Employment Data Sectors (wages)'!$Y$14:$Y$25</definedName>
    <definedName name="_123__123Graph_CCHART_7" localSheetId="72" hidden="1">'[21]Employment Data Sectors (wages)'!$Y$14:$Y$25</definedName>
    <definedName name="_123__123Graph_CCHART_7" localSheetId="73" hidden="1">'[21]Employment Data Sectors (wages)'!$Y$14:$Y$25</definedName>
    <definedName name="_123__123Graph_CCHART_7" localSheetId="74" hidden="1">'[21]Employment Data Sectors (wages)'!$Y$14:$Y$25</definedName>
    <definedName name="_123__123Graph_CCHART_7" localSheetId="79" hidden="1">'[14]Employment Data Sectors (wages)'!$Y$14:$Y$25</definedName>
    <definedName name="_123__123Graph_CCHART_7" localSheetId="80" hidden="1">'[21]Employment Data Sectors (wages)'!$Y$14:$Y$25</definedName>
    <definedName name="_123__123Graph_CCHART_7" localSheetId="81" hidden="1">'[21]Employment Data Sectors (wages)'!$Y$14:$Y$25</definedName>
    <definedName name="_123__123Graph_CCHART_7" localSheetId="101" hidden="1">'[21]Employment Data Sectors (wages)'!$Y$14:$Y$25</definedName>
    <definedName name="_123__123Graph_CCHART_7" localSheetId="108" hidden="1">'[21]Employment Data Sectors (wages)'!$Y$14:$Y$25</definedName>
    <definedName name="_123__123Graph_CCHART_7" localSheetId="115" hidden="1">'[21]Employment Data Sectors (wages)'!$Y$14:$Y$25</definedName>
    <definedName name="_123__123Graph_CCHART_7" localSheetId="7" hidden="1">'[21]Employment Data Sectors (wages)'!$Y$14:$Y$25</definedName>
    <definedName name="_123__123Graph_CCHART_7" localSheetId="8" hidden="1">'[21]Employment Data Sectors (wages)'!$Y$14:$Y$25</definedName>
    <definedName name="_123__123Graph_CCHART_7" localSheetId="9" hidden="1">'[21]Employment Data Sectors (wages)'!$Y$14:$Y$25</definedName>
    <definedName name="_123__123Graph_CCHART_7" localSheetId="10" hidden="1">'[21]Employment Data Sectors (wages)'!$Y$14:$Y$25</definedName>
    <definedName name="_123__123Graph_CCHART_7" localSheetId="19" hidden="1">'[21]Employment Data Sectors (wages)'!$Y$14:$Y$25</definedName>
    <definedName name="_123__123Graph_CCHART_7" localSheetId="21" hidden="1">'[21]Employment Data Sectors (wages)'!$Y$14:$Y$25</definedName>
    <definedName name="_123__123Graph_CCHART_7" localSheetId="23" hidden="1">'[21]Employment Data Sectors (wages)'!$Y$14:$Y$25</definedName>
    <definedName name="_123__123Graph_CCHART_7" localSheetId="24" hidden="1">'[21]Employment Data Sectors (wages)'!$Y$14:$Y$25</definedName>
    <definedName name="_123__123Graph_CCHART_7" localSheetId="25" hidden="1">'[21]Employment Data Sectors (wages)'!$Y$14:$Y$25</definedName>
    <definedName name="_123__123Graph_CCHART_7" localSheetId="27" hidden="1">'[21]Employment Data Sectors (wages)'!$Y$14:$Y$25</definedName>
    <definedName name="_123__123Graph_CCHART_7" localSheetId="30" hidden="1">'[21]Employment Data Sectors (wages)'!$Y$14:$Y$25</definedName>
    <definedName name="_123__123Graph_CCHART_7" localSheetId="33" hidden="1">'[21]Employment Data Sectors (wages)'!$Y$14:$Y$25</definedName>
    <definedName name="_123__123Graph_CCHART_7" localSheetId="34" hidden="1">'[21]Employment Data Sectors (wages)'!$Y$14:$Y$25</definedName>
    <definedName name="_123__123Graph_CCHART_7" localSheetId="35" hidden="1">'[21]Employment Data Sectors (wages)'!$Y$14:$Y$25</definedName>
    <definedName name="_123__123Graph_CCHART_7" localSheetId="36" hidden="1">'[21]Employment Data Sectors (wages)'!$Y$14:$Y$25</definedName>
    <definedName name="_123__123Graph_CCHART_7" localSheetId="37" hidden="1">'[21]Employment Data Sectors (wages)'!$Y$14:$Y$25</definedName>
    <definedName name="_123__123Graph_CCHART_7" localSheetId="38" hidden="1">'[21]Employment Data Sectors (wages)'!$Y$14:$Y$25</definedName>
    <definedName name="_123__123Graph_CCHART_7" localSheetId="39" hidden="1">'[21]Employment Data Sectors (wages)'!$Y$14:$Y$25</definedName>
    <definedName name="_123__123Graph_CCHART_7" localSheetId="40" hidden="1">'[21]Employment Data Sectors (wages)'!$Y$14:$Y$25</definedName>
    <definedName name="_123__123Graph_CCHART_7" hidden="1">'[21]Employment Data Sectors (wages)'!$Y$14:$Y$25</definedName>
    <definedName name="_123Graph_AB" localSheetId="49" hidden="1">#REF!</definedName>
    <definedName name="_123Graph_AB" localSheetId="50" hidden="1">#REF!</definedName>
    <definedName name="_123Graph_AB" localSheetId="51" hidden="1">#REF!</definedName>
    <definedName name="_123Graph_AB" localSheetId="53" hidden="1">#REF!</definedName>
    <definedName name="_123Graph_AB" localSheetId="54" hidden="1">#REF!</definedName>
    <definedName name="_123Graph_AB" localSheetId="55" hidden="1">#REF!</definedName>
    <definedName name="_123Graph_AB" localSheetId="56" hidden="1">#REF!</definedName>
    <definedName name="_123Graph_AB" localSheetId="57" hidden="1">#REF!</definedName>
    <definedName name="_123Graph_AB" localSheetId="58" hidden="1">#REF!</definedName>
    <definedName name="_123Graph_AB" localSheetId="59" hidden="1">#REF!</definedName>
    <definedName name="_123Graph_AB" localSheetId="62" hidden="1">#REF!</definedName>
    <definedName name="_123Graph_AB" localSheetId="70" hidden="1">#REF!</definedName>
    <definedName name="_123Graph_AB" localSheetId="71" hidden="1">#REF!</definedName>
    <definedName name="_123Graph_AB" localSheetId="72" hidden="1">#REF!</definedName>
    <definedName name="_123Graph_AB" localSheetId="73" hidden="1">#REF!</definedName>
    <definedName name="_123Graph_AB" localSheetId="74" hidden="1">#REF!</definedName>
    <definedName name="_123Graph_AB" localSheetId="75" hidden="1">#REF!</definedName>
    <definedName name="_123Graph_AB" localSheetId="76" hidden="1">#REF!</definedName>
    <definedName name="_123Graph_AB" localSheetId="79" hidden="1">#REF!</definedName>
    <definedName name="_123Graph_AB" localSheetId="80" hidden="1">#REF!</definedName>
    <definedName name="_123Graph_AB" localSheetId="81" hidden="1">#REF!</definedName>
    <definedName name="_123Graph_AB" localSheetId="83" hidden="1">#REF!</definedName>
    <definedName name="_123Graph_AB" localSheetId="87" hidden="1">#REF!</definedName>
    <definedName name="_123Graph_AB" localSheetId="95" hidden="1">#REF!</definedName>
    <definedName name="_123Graph_AB" localSheetId="97" hidden="1">#REF!</definedName>
    <definedName name="_123Graph_AB" localSheetId="98" hidden="1">#REF!</definedName>
    <definedName name="_123Graph_AB" localSheetId="99" hidden="1">#REF!</definedName>
    <definedName name="_123Graph_AB" localSheetId="100" hidden="1">#REF!</definedName>
    <definedName name="_123Graph_AB" localSheetId="101" hidden="1">#REF!</definedName>
    <definedName name="_123Graph_AB" localSheetId="108" hidden="1">#REF!</definedName>
    <definedName name="_123Graph_AB" localSheetId="115" hidden="1">#REF!</definedName>
    <definedName name="_123Graph_AB" localSheetId="5" hidden="1">#REF!</definedName>
    <definedName name="_123Graph_AB" localSheetId="6" hidden="1">#REF!</definedName>
    <definedName name="_123Graph_AB" localSheetId="7" hidden="1">#REF!</definedName>
    <definedName name="_123Graph_AB" localSheetId="8" hidden="1">#REF!</definedName>
    <definedName name="_123Graph_AB" localSheetId="9" hidden="1">#REF!</definedName>
    <definedName name="_123Graph_AB" localSheetId="10" hidden="1">#REF!</definedName>
    <definedName name="_123Graph_AB" localSheetId="14" hidden="1">#REF!</definedName>
    <definedName name="_123Graph_AB" localSheetId="15" hidden="1">#REF!</definedName>
    <definedName name="_123Graph_AB" localSheetId="16" hidden="1">#REF!</definedName>
    <definedName name="_123Graph_AB" localSheetId="17" hidden="1">#REF!</definedName>
    <definedName name="_123Graph_AB" localSheetId="19" hidden="1">#REF!</definedName>
    <definedName name="_123Graph_AB" localSheetId="21" hidden="1">#REF!</definedName>
    <definedName name="_123Graph_AB" localSheetId="23" hidden="1">#REF!</definedName>
    <definedName name="_123Graph_AB" localSheetId="24" hidden="1">#REF!</definedName>
    <definedName name="_123Graph_AB" localSheetId="25" hidden="1">#REF!</definedName>
    <definedName name="_123Graph_AB" localSheetId="27" hidden="1">#REF!</definedName>
    <definedName name="_123Graph_AB" localSheetId="30" hidden="1">#REF!</definedName>
    <definedName name="_123Graph_AB" localSheetId="33" hidden="1">#REF!</definedName>
    <definedName name="_123Graph_AB" localSheetId="34" hidden="1">#REF!</definedName>
    <definedName name="_123Graph_AB" localSheetId="35" hidden="1">#REF!</definedName>
    <definedName name="_123Graph_AB" localSheetId="36" hidden="1">#REF!</definedName>
    <definedName name="_123Graph_AB" localSheetId="37" hidden="1">#REF!</definedName>
    <definedName name="_123Graph_AB" localSheetId="38" hidden="1">#REF!</definedName>
    <definedName name="_123Graph_AB" localSheetId="39" hidden="1">#REF!</definedName>
    <definedName name="_123Graph_AB" localSheetId="40" hidden="1">#REF!</definedName>
    <definedName name="_123Graph_AB" localSheetId="44" hidden="1">#REF!</definedName>
    <definedName name="_123Graph_AB" hidden="1">#REF!</definedName>
    <definedName name="_123Graph_B" localSheetId="49" hidden="1">#REF!</definedName>
    <definedName name="_123Graph_B" localSheetId="50" hidden="1">#REF!</definedName>
    <definedName name="_123Graph_B" localSheetId="51" hidden="1">#REF!</definedName>
    <definedName name="_123Graph_B" localSheetId="53" hidden="1">#REF!</definedName>
    <definedName name="_123Graph_B" localSheetId="54" hidden="1">#REF!</definedName>
    <definedName name="_123Graph_B" localSheetId="55" hidden="1">#REF!</definedName>
    <definedName name="_123Graph_B" localSheetId="56" hidden="1">#REF!</definedName>
    <definedName name="_123Graph_B" localSheetId="57" hidden="1">#REF!</definedName>
    <definedName name="_123Graph_B" localSheetId="58" hidden="1">#REF!</definedName>
    <definedName name="_123Graph_B" localSheetId="59" hidden="1">#REF!</definedName>
    <definedName name="_123Graph_B" localSheetId="62" hidden="1">#REF!</definedName>
    <definedName name="_123Graph_B" localSheetId="70" hidden="1">#REF!</definedName>
    <definedName name="_123Graph_B" localSheetId="71" hidden="1">#REF!</definedName>
    <definedName name="_123Graph_B" localSheetId="72" hidden="1">#REF!</definedName>
    <definedName name="_123Graph_B" localSheetId="73" hidden="1">#REF!</definedName>
    <definedName name="_123Graph_B" localSheetId="74" hidden="1">#REF!</definedName>
    <definedName name="_123Graph_B" localSheetId="75" hidden="1">#REF!</definedName>
    <definedName name="_123Graph_B" localSheetId="76" hidden="1">#REF!</definedName>
    <definedName name="_123Graph_B" localSheetId="79" hidden="1">#REF!</definedName>
    <definedName name="_123Graph_B" localSheetId="80" hidden="1">#REF!</definedName>
    <definedName name="_123Graph_B" localSheetId="81" hidden="1">#REF!</definedName>
    <definedName name="_123Graph_B" localSheetId="83" hidden="1">#REF!</definedName>
    <definedName name="_123Graph_B" localSheetId="87" hidden="1">#REF!</definedName>
    <definedName name="_123Graph_B" localSheetId="95" hidden="1">#REF!</definedName>
    <definedName name="_123Graph_B" localSheetId="97" hidden="1">#REF!</definedName>
    <definedName name="_123Graph_B" localSheetId="98" hidden="1">#REF!</definedName>
    <definedName name="_123Graph_B" localSheetId="99" hidden="1">#REF!</definedName>
    <definedName name="_123Graph_B" localSheetId="100" hidden="1">#REF!</definedName>
    <definedName name="_123Graph_B" localSheetId="101" hidden="1">#REF!</definedName>
    <definedName name="_123Graph_B" localSheetId="108" hidden="1">#REF!</definedName>
    <definedName name="_123Graph_B" localSheetId="115" hidden="1">#REF!</definedName>
    <definedName name="_123Graph_B" localSheetId="5" hidden="1">#REF!</definedName>
    <definedName name="_123Graph_B" localSheetId="6" hidden="1">#REF!</definedName>
    <definedName name="_123Graph_B" localSheetId="7" hidden="1">#REF!</definedName>
    <definedName name="_123Graph_B" localSheetId="8" hidden="1">#REF!</definedName>
    <definedName name="_123Graph_B" localSheetId="9" hidden="1">#REF!</definedName>
    <definedName name="_123Graph_B" localSheetId="10" hidden="1">#REF!</definedName>
    <definedName name="_123Graph_B" localSheetId="14" hidden="1">#REF!</definedName>
    <definedName name="_123Graph_B" localSheetId="15" hidden="1">#REF!</definedName>
    <definedName name="_123Graph_B" localSheetId="16" hidden="1">#REF!</definedName>
    <definedName name="_123Graph_B" localSheetId="17" hidden="1">#REF!</definedName>
    <definedName name="_123Graph_B" localSheetId="19" hidden="1">#REF!</definedName>
    <definedName name="_123Graph_B" localSheetId="21" hidden="1">#REF!</definedName>
    <definedName name="_123Graph_B" localSheetId="23" hidden="1">#REF!</definedName>
    <definedName name="_123Graph_B" localSheetId="24" hidden="1">#REF!</definedName>
    <definedName name="_123Graph_B" localSheetId="25" hidden="1">#REF!</definedName>
    <definedName name="_123Graph_B" localSheetId="27" hidden="1">#REF!</definedName>
    <definedName name="_123Graph_B" localSheetId="30" hidden="1">#REF!</definedName>
    <definedName name="_123Graph_B" localSheetId="33" hidden="1">#REF!</definedName>
    <definedName name="_123Graph_B" localSheetId="34" hidden="1">#REF!</definedName>
    <definedName name="_123Graph_B" localSheetId="35" hidden="1">#REF!</definedName>
    <definedName name="_123Graph_B" localSheetId="36" hidden="1">#REF!</definedName>
    <definedName name="_123Graph_B" localSheetId="37" hidden="1">#REF!</definedName>
    <definedName name="_123Graph_B" localSheetId="38" hidden="1">#REF!</definedName>
    <definedName name="_123Graph_B" localSheetId="39" hidden="1">#REF!</definedName>
    <definedName name="_123Graph_B" localSheetId="40" hidden="1">#REF!</definedName>
    <definedName name="_123Graph_B" localSheetId="44" hidden="1">#REF!</definedName>
    <definedName name="_123Graph_B" hidden="1">#REF!</definedName>
    <definedName name="_123Graph_DB" localSheetId="49" hidden="1">#REF!</definedName>
    <definedName name="_123Graph_DB" localSheetId="50" hidden="1">#REF!</definedName>
    <definedName name="_123Graph_DB" localSheetId="51" hidden="1">#REF!</definedName>
    <definedName name="_123Graph_DB" localSheetId="53" hidden="1">#REF!</definedName>
    <definedName name="_123Graph_DB" localSheetId="54" hidden="1">#REF!</definedName>
    <definedName name="_123Graph_DB" localSheetId="55" hidden="1">#REF!</definedName>
    <definedName name="_123Graph_DB" localSheetId="56" hidden="1">#REF!</definedName>
    <definedName name="_123Graph_DB" localSheetId="57" hidden="1">#REF!</definedName>
    <definedName name="_123Graph_DB" localSheetId="58" hidden="1">#REF!</definedName>
    <definedName name="_123Graph_DB" localSheetId="59" hidden="1">#REF!</definedName>
    <definedName name="_123Graph_DB" localSheetId="62" hidden="1">#REF!</definedName>
    <definedName name="_123Graph_DB" localSheetId="70" hidden="1">#REF!</definedName>
    <definedName name="_123Graph_DB" localSheetId="71" hidden="1">#REF!</definedName>
    <definedName name="_123Graph_DB" localSheetId="72" hidden="1">#REF!</definedName>
    <definedName name="_123Graph_DB" localSheetId="73" hidden="1">#REF!</definedName>
    <definedName name="_123Graph_DB" localSheetId="74" hidden="1">#REF!</definedName>
    <definedName name="_123Graph_DB" localSheetId="75" hidden="1">#REF!</definedName>
    <definedName name="_123Graph_DB" localSheetId="76" hidden="1">#REF!</definedName>
    <definedName name="_123Graph_DB" localSheetId="79" hidden="1">#REF!</definedName>
    <definedName name="_123Graph_DB" localSheetId="80" hidden="1">#REF!</definedName>
    <definedName name="_123Graph_DB" localSheetId="81" hidden="1">#REF!</definedName>
    <definedName name="_123Graph_DB" localSheetId="83" hidden="1">#REF!</definedName>
    <definedName name="_123Graph_DB" localSheetId="87" hidden="1">#REF!</definedName>
    <definedName name="_123Graph_DB" localSheetId="95" hidden="1">#REF!</definedName>
    <definedName name="_123Graph_DB" localSheetId="97" hidden="1">#REF!</definedName>
    <definedName name="_123Graph_DB" localSheetId="98" hidden="1">#REF!</definedName>
    <definedName name="_123Graph_DB" localSheetId="99" hidden="1">#REF!</definedName>
    <definedName name="_123Graph_DB" localSheetId="100" hidden="1">#REF!</definedName>
    <definedName name="_123Graph_DB" localSheetId="101" hidden="1">#REF!</definedName>
    <definedName name="_123Graph_DB" localSheetId="108" hidden="1">#REF!</definedName>
    <definedName name="_123Graph_DB" localSheetId="115" hidden="1">#REF!</definedName>
    <definedName name="_123Graph_DB" localSheetId="5" hidden="1">#REF!</definedName>
    <definedName name="_123Graph_DB" localSheetId="6" hidden="1">#REF!</definedName>
    <definedName name="_123Graph_DB" localSheetId="7" hidden="1">#REF!</definedName>
    <definedName name="_123Graph_DB" localSheetId="8" hidden="1">#REF!</definedName>
    <definedName name="_123Graph_DB" localSheetId="9" hidden="1">#REF!</definedName>
    <definedName name="_123Graph_DB" localSheetId="10" hidden="1">#REF!</definedName>
    <definedName name="_123Graph_DB" localSheetId="14" hidden="1">#REF!</definedName>
    <definedName name="_123Graph_DB" localSheetId="15" hidden="1">#REF!</definedName>
    <definedName name="_123Graph_DB" localSheetId="16" hidden="1">#REF!</definedName>
    <definedName name="_123Graph_DB" localSheetId="17" hidden="1">#REF!</definedName>
    <definedName name="_123Graph_DB" localSheetId="19" hidden="1">#REF!</definedName>
    <definedName name="_123Graph_DB" localSheetId="21" hidden="1">#REF!</definedName>
    <definedName name="_123Graph_DB" localSheetId="23" hidden="1">#REF!</definedName>
    <definedName name="_123Graph_DB" localSheetId="24" hidden="1">#REF!</definedName>
    <definedName name="_123Graph_DB" localSheetId="25" hidden="1">#REF!</definedName>
    <definedName name="_123Graph_DB" localSheetId="27" hidden="1">#REF!</definedName>
    <definedName name="_123Graph_DB" localSheetId="30" hidden="1">#REF!</definedName>
    <definedName name="_123Graph_DB" localSheetId="33" hidden="1">#REF!</definedName>
    <definedName name="_123Graph_DB" localSheetId="34" hidden="1">#REF!</definedName>
    <definedName name="_123Graph_DB" localSheetId="35" hidden="1">#REF!</definedName>
    <definedName name="_123Graph_DB" localSheetId="36" hidden="1">#REF!</definedName>
    <definedName name="_123Graph_DB" localSheetId="37" hidden="1">#REF!</definedName>
    <definedName name="_123Graph_DB" localSheetId="38" hidden="1">#REF!</definedName>
    <definedName name="_123Graph_DB" localSheetId="39" hidden="1">#REF!</definedName>
    <definedName name="_123Graph_DB" localSheetId="40" hidden="1">#REF!</definedName>
    <definedName name="_123Graph_DB" localSheetId="44" hidden="1">#REF!</definedName>
    <definedName name="_123Graph_DB" hidden="1">#REF!</definedName>
    <definedName name="_123Graph_EB" localSheetId="49" hidden="1">#REF!</definedName>
    <definedName name="_123Graph_EB" localSheetId="50" hidden="1">#REF!</definedName>
    <definedName name="_123Graph_EB" localSheetId="51" hidden="1">#REF!</definedName>
    <definedName name="_123Graph_EB" localSheetId="53" hidden="1">#REF!</definedName>
    <definedName name="_123Graph_EB" localSheetId="54" hidden="1">#REF!</definedName>
    <definedName name="_123Graph_EB" localSheetId="55" hidden="1">#REF!</definedName>
    <definedName name="_123Graph_EB" localSheetId="56" hidden="1">#REF!</definedName>
    <definedName name="_123Graph_EB" localSheetId="57" hidden="1">#REF!</definedName>
    <definedName name="_123Graph_EB" localSheetId="58" hidden="1">#REF!</definedName>
    <definedName name="_123Graph_EB" localSheetId="59" hidden="1">#REF!</definedName>
    <definedName name="_123Graph_EB" localSheetId="62" hidden="1">#REF!</definedName>
    <definedName name="_123Graph_EB" localSheetId="70" hidden="1">#REF!</definedName>
    <definedName name="_123Graph_EB" localSheetId="71" hidden="1">#REF!</definedName>
    <definedName name="_123Graph_EB" localSheetId="72" hidden="1">#REF!</definedName>
    <definedName name="_123Graph_EB" localSheetId="73" hidden="1">#REF!</definedName>
    <definedName name="_123Graph_EB" localSheetId="74" hidden="1">#REF!</definedName>
    <definedName name="_123Graph_EB" localSheetId="75" hidden="1">#REF!</definedName>
    <definedName name="_123Graph_EB" localSheetId="76" hidden="1">#REF!</definedName>
    <definedName name="_123Graph_EB" localSheetId="79" hidden="1">#REF!</definedName>
    <definedName name="_123Graph_EB" localSheetId="80" hidden="1">#REF!</definedName>
    <definedName name="_123Graph_EB" localSheetId="81" hidden="1">#REF!</definedName>
    <definedName name="_123Graph_EB" localSheetId="83" hidden="1">#REF!</definedName>
    <definedName name="_123Graph_EB" localSheetId="87" hidden="1">#REF!</definedName>
    <definedName name="_123Graph_EB" localSheetId="95" hidden="1">#REF!</definedName>
    <definedName name="_123Graph_EB" localSheetId="97" hidden="1">#REF!</definedName>
    <definedName name="_123Graph_EB" localSheetId="98" hidden="1">#REF!</definedName>
    <definedName name="_123Graph_EB" localSheetId="99" hidden="1">#REF!</definedName>
    <definedName name="_123Graph_EB" localSheetId="100" hidden="1">#REF!</definedName>
    <definedName name="_123Graph_EB" localSheetId="101" hidden="1">#REF!</definedName>
    <definedName name="_123Graph_EB" localSheetId="108" hidden="1">#REF!</definedName>
    <definedName name="_123Graph_EB" localSheetId="115" hidden="1">#REF!</definedName>
    <definedName name="_123Graph_EB" localSheetId="5" hidden="1">#REF!</definedName>
    <definedName name="_123Graph_EB" localSheetId="6" hidden="1">#REF!</definedName>
    <definedName name="_123Graph_EB" localSheetId="7" hidden="1">#REF!</definedName>
    <definedName name="_123Graph_EB" localSheetId="8" hidden="1">#REF!</definedName>
    <definedName name="_123Graph_EB" localSheetId="9" hidden="1">#REF!</definedName>
    <definedName name="_123Graph_EB" localSheetId="10" hidden="1">#REF!</definedName>
    <definedName name="_123Graph_EB" localSheetId="14" hidden="1">#REF!</definedName>
    <definedName name="_123Graph_EB" localSheetId="15" hidden="1">#REF!</definedName>
    <definedName name="_123Graph_EB" localSheetId="16" hidden="1">#REF!</definedName>
    <definedName name="_123Graph_EB" localSheetId="17" hidden="1">#REF!</definedName>
    <definedName name="_123Graph_EB" localSheetId="19" hidden="1">#REF!</definedName>
    <definedName name="_123Graph_EB" localSheetId="21" hidden="1">#REF!</definedName>
    <definedName name="_123Graph_EB" localSheetId="23" hidden="1">#REF!</definedName>
    <definedName name="_123Graph_EB" localSheetId="24" hidden="1">#REF!</definedName>
    <definedName name="_123Graph_EB" localSheetId="25" hidden="1">#REF!</definedName>
    <definedName name="_123Graph_EB" localSheetId="27" hidden="1">#REF!</definedName>
    <definedName name="_123Graph_EB" localSheetId="30" hidden="1">#REF!</definedName>
    <definedName name="_123Graph_EB" localSheetId="33" hidden="1">#REF!</definedName>
    <definedName name="_123Graph_EB" localSheetId="34" hidden="1">#REF!</definedName>
    <definedName name="_123Graph_EB" localSheetId="35" hidden="1">#REF!</definedName>
    <definedName name="_123Graph_EB" localSheetId="36" hidden="1">#REF!</definedName>
    <definedName name="_123Graph_EB" localSheetId="37" hidden="1">#REF!</definedName>
    <definedName name="_123Graph_EB" localSheetId="38" hidden="1">#REF!</definedName>
    <definedName name="_123Graph_EB" localSheetId="39" hidden="1">#REF!</definedName>
    <definedName name="_123Graph_EB" localSheetId="40" hidden="1">#REF!</definedName>
    <definedName name="_123Graph_EB" localSheetId="44" hidden="1">#REF!</definedName>
    <definedName name="_123Graph_EB" hidden="1">#REF!</definedName>
    <definedName name="_123Graph_FB" localSheetId="49" hidden="1">#REF!</definedName>
    <definedName name="_123Graph_FB" localSheetId="50" hidden="1">#REF!</definedName>
    <definedName name="_123Graph_FB" localSheetId="51" hidden="1">#REF!</definedName>
    <definedName name="_123Graph_FB" localSheetId="53" hidden="1">#REF!</definedName>
    <definedName name="_123Graph_FB" localSheetId="54" hidden="1">#REF!</definedName>
    <definedName name="_123Graph_FB" localSheetId="55" hidden="1">#REF!</definedName>
    <definedName name="_123Graph_FB" localSheetId="56" hidden="1">#REF!</definedName>
    <definedName name="_123Graph_FB" localSheetId="57" hidden="1">#REF!</definedName>
    <definedName name="_123Graph_FB" localSheetId="58" hidden="1">#REF!</definedName>
    <definedName name="_123Graph_FB" localSheetId="59" hidden="1">#REF!</definedName>
    <definedName name="_123Graph_FB" localSheetId="62" hidden="1">#REF!</definedName>
    <definedName name="_123Graph_FB" localSheetId="70" hidden="1">#REF!</definedName>
    <definedName name="_123Graph_FB" localSheetId="71" hidden="1">#REF!</definedName>
    <definedName name="_123Graph_FB" localSheetId="72" hidden="1">#REF!</definedName>
    <definedName name="_123Graph_FB" localSheetId="73" hidden="1">#REF!</definedName>
    <definedName name="_123Graph_FB" localSheetId="74" hidden="1">#REF!</definedName>
    <definedName name="_123Graph_FB" localSheetId="75" hidden="1">#REF!</definedName>
    <definedName name="_123Graph_FB" localSheetId="76" hidden="1">#REF!</definedName>
    <definedName name="_123Graph_FB" localSheetId="79" hidden="1">#REF!</definedName>
    <definedName name="_123Graph_FB" localSheetId="80" hidden="1">#REF!</definedName>
    <definedName name="_123Graph_FB" localSheetId="81" hidden="1">#REF!</definedName>
    <definedName name="_123Graph_FB" localSheetId="83" hidden="1">#REF!</definedName>
    <definedName name="_123Graph_FB" localSheetId="87" hidden="1">#REF!</definedName>
    <definedName name="_123Graph_FB" localSheetId="95" hidden="1">#REF!</definedName>
    <definedName name="_123Graph_FB" localSheetId="97" hidden="1">#REF!</definedName>
    <definedName name="_123Graph_FB" localSheetId="98" hidden="1">#REF!</definedName>
    <definedName name="_123Graph_FB" localSheetId="99" hidden="1">#REF!</definedName>
    <definedName name="_123Graph_FB" localSheetId="100" hidden="1">#REF!</definedName>
    <definedName name="_123Graph_FB" localSheetId="101" hidden="1">#REF!</definedName>
    <definedName name="_123Graph_FB" localSheetId="108" hidden="1">#REF!</definedName>
    <definedName name="_123Graph_FB" localSheetId="115" hidden="1">#REF!</definedName>
    <definedName name="_123Graph_FB" localSheetId="5" hidden="1">#REF!</definedName>
    <definedName name="_123Graph_FB" localSheetId="6" hidden="1">#REF!</definedName>
    <definedName name="_123Graph_FB" localSheetId="7" hidden="1">#REF!</definedName>
    <definedName name="_123Graph_FB" localSheetId="8" hidden="1">#REF!</definedName>
    <definedName name="_123Graph_FB" localSheetId="9" hidden="1">#REF!</definedName>
    <definedName name="_123Graph_FB" localSheetId="10" hidden="1">#REF!</definedName>
    <definedName name="_123Graph_FB" localSheetId="14" hidden="1">#REF!</definedName>
    <definedName name="_123Graph_FB" localSheetId="15" hidden="1">#REF!</definedName>
    <definedName name="_123Graph_FB" localSheetId="16" hidden="1">#REF!</definedName>
    <definedName name="_123Graph_FB" localSheetId="17" hidden="1">#REF!</definedName>
    <definedName name="_123Graph_FB" localSheetId="19" hidden="1">#REF!</definedName>
    <definedName name="_123Graph_FB" localSheetId="21" hidden="1">#REF!</definedName>
    <definedName name="_123Graph_FB" localSheetId="23" hidden="1">#REF!</definedName>
    <definedName name="_123Graph_FB" localSheetId="24" hidden="1">#REF!</definedName>
    <definedName name="_123Graph_FB" localSheetId="25" hidden="1">#REF!</definedName>
    <definedName name="_123Graph_FB" localSheetId="27" hidden="1">#REF!</definedName>
    <definedName name="_123Graph_FB" localSheetId="30" hidden="1">#REF!</definedName>
    <definedName name="_123Graph_FB" localSheetId="33" hidden="1">#REF!</definedName>
    <definedName name="_123Graph_FB" localSheetId="34" hidden="1">#REF!</definedName>
    <definedName name="_123Graph_FB" localSheetId="35" hidden="1">#REF!</definedName>
    <definedName name="_123Graph_FB" localSheetId="36" hidden="1">#REF!</definedName>
    <definedName name="_123Graph_FB" localSheetId="37" hidden="1">#REF!</definedName>
    <definedName name="_123Graph_FB" localSheetId="38" hidden="1">#REF!</definedName>
    <definedName name="_123Graph_FB" localSheetId="39" hidden="1">#REF!</definedName>
    <definedName name="_123Graph_FB" localSheetId="40" hidden="1">#REF!</definedName>
    <definedName name="_123Graph_FB" localSheetId="44" hidden="1">#REF!</definedName>
    <definedName name="_123Graph_FB" hidden="1">#REF!</definedName>
    <definedName name="_125__123Graph_CCHART_5" hidden="1">'[14]Employment Data Sectors (wages)'!$C$24:$C$35</definedName>
    <definedName name="_128__123Graph_CCHART_8" localSheetId="70" hidden="1">'[21]Employment Data Sectors (wages)'!$W$14:$W$25</definedName>
    <definedName name="_128__123Graph_CCHART_8" localSheetId="71" hidden="1">'[21]Employment Data Sectors (wages)'!$W$14:$W$25</definedName>
    <definedName name="_128__123Graph_CCHART_8" localSheetId="72" hidden="1">'[21]Employment Data Sectors (wages)'!$W$14:$W$25</definedName>
    <definedName name="_128__123Graph_CCHART_8" localSheetId="73" hidden="1">'[21]Employment Data Sectors (wages)'!$W$14:$W$25</definedName>
    <definedName name="_128__123Graph_CCHART_8" localSheetId="74" hidden="1">'[21]Employment Data Sectors (wages)'!$W$14:$W$25</definedName>
    <definedName name="_128__123Graph_CCHART_8" localSheetId="79" hidden="1">'[14]Employment Data Sectors (wages)'!$W$14:$W$25</definedName>
    <definedName name="_128__123Graph_CCHART_8" localSheetId="80" hidden="1">'[21]Employment Data Sectors (wages)'!$W$14:$W$25</definedName>
    <definedName name="_128__123Graph_CCHART_8" localSheetId="81" hidden="1">'[21]Employment Data Sectors (wages)'!$W$14:$W$25</definedName>
    <definedName name="_128__123Graph_CCHART_8" localSheetId="101" hidden="1">'[21]Employment Data Sectors (wages)'!$W$14:$W$25</definedName>
    <definedName name="_128__123Graph_CCHART_8" localSheetId="108" hidden="1">'[21]Employment Data Sectors (wages)'!$W$14:$W$25</definedName>
    <definedName name="_128__123Graph_CCHART_8" localSheetId="115" hidden="1">'[21]Employment Data Sectors (wages)'!$W$14:$W$25</definedName>
    <definedName name="_128__123Graph_CCHART_8" localSheetId="7" hidden="1">'[21]Employment Data Sectors (wages)'!$W$14:$W$25</definedName>
    <definedName name="_128__123Graph_CCHART_8" localSheetId="8" hidden="1">'[21]Employment Data Sectors (wages)'!$W$14:$W$25</definedName>
    <definedName name="_128__123Graph_CCHART_8" localSheetId="9" hidden="1">'[21]Employment Data Sectors (wages)'!$W$14:$W$25</definedName>
    <definedName name="_128__123Graph_CCHART_8" localSheetId="10" hidden="1">'[21]Employment Data Sectors (wages)'!$W$14:$W$25</definedName>
    <definedName name="_128__123Graph_CCHART_8" localSheetId="19" hidden="1">'[21]Employment Data Sectors (wages)'!$W$14:$W$25</definedName>
    <definedName name="_128__123Graph_CCHART_8" localSheetId="21" hidden="1">'[21]Employment Data Sectors (wages)'!$W$14:$W$25</definedName>
    <definedName name="_128__123Graph_CCHART_8" localSheetId="23" hidden="1">'[21]Employment Data Sectors (wages)'!$W$14:$W$25</definedName>
    <definedName name="_128__123Graph_CCHART_8" localSheetId="24" hidden="1">'[21]Employment Data Sectors (wages)'!$W$14:$W$25</definedName>
    <definedName name="_128__123Graph_CCHART_8" localSheetId="25" hidden="1">'[21]Employment Data Sectors (wages)'!$W$14:$W$25</definedName>
    <definedName name="_128__123Graph_CCHART_8" localSheetId="27" hidden="1">'[21]Employment Data Sectors (wages)'!$W$14:$W$25</definedName>
    <definedName name="_128__123Graph_CCHART_8" localSheetId="30" hidden="1">'[21]Employment Data Sectors (wages)'!$W$14:$W$25</definedName>
    <definedName name="_128__123Graph_CCHART_8" localSheetId="33" hidden="1">'[21]Employment Data Sectors (wages)'!$W$14:$W$25</definedName>
    <definedName name="_128__123Graph_CCHART_8" localSheetId="34" hidden="1">'[21]Employment Data Sectors (wages)'!$W$14:$W$25</definedName>
    <definedName name="_128__123Graph_CCHART_8" localSheetId="35" hidden="1">'[21]Employment Data Sectors (wages)'!$W$14:$W$25</definedName>
    <definedName name="_128__123Graph_CCHART_8" localSheetId="36" hidden="1">'[21]Employment Data Sectors (wages)'!$W$14:$W$25</definedName>
    <definedName name="_128__123Graph_CCHART_8" localSheetId="37" hidden="1">'[21]Employment Data Sectors (wages)'!$W$14:$W$25</definedName>
    <definedName name="_128__123Graph_CCHART_8" localSheetId="38" hidden="1">'[21]Employment Data Sectors (wages)'!$W$14:$W$25</definedName>
    <definedName name="_128__123Graph_CCHART_8" localSheetId="39" hidden="1">'[21]Employment Data Sectors (wages)'!$W$14:$W$25</definedName>
    <definedName name="_128__123Graph_CCHART_8" localSheetId="40" hidden="1">'[21]Employment Data Sectors (wages)'!$W$14:$W$25</definedName>
    <definedName name="_128__123Graph_CCHART_8" hidden="1">'[21]Employment Data Sectors (wages)'!$W$14:$W$25</definedName>
    <definedName name="_13__123Graph_ACHART_1" localSheetId="70" hidden="1">'[21]Employment Data Sectors (wages)'!$A$8173:$A$8184</definedName>
    <definedName name="_13__123Graph_ACHART_1" localSheetId="71" hidden="1">'[21]Employment Data Sectors (wages)'!$A$8173:$A$8184</definedName>
    <definedName name="_13__123Graph_ACHART_1" localSheetId="72" hidden="1">'[21]Employment Data Sectors (wages)'!$A$8173:$A$8184</definedName>
    <definedName name="_13__123Graph_ACHART_1" localSheetId="73" hidden="1">'[21]Employment Data Sectors (wages)'!$A$8173:$A$8184</definedName>
    <definedName name="_13__123Graph_ACHART_1" localSheetId="74" hidden="1">'[21]Employment Data Sectors (wages)'!$A$8173:$A$8184</definedName>
    <definedName name="_13__123Graph_ACHART_1" localSheetId="79" hidden="1">'[14]Employment Data Sectors (wages)'!$A$8173:$A$8184</definedName>
    <definedName name="_13__123Graph_ACHART_1" localSheetId="80" hidden="1">'[21]Employment Data Sectors (wages)'!$A$8173:$A$8184</definedName>
    <definedName name="_13__123Graph_ACHART_1" localSheetId="81" hidden="1">'[21]Employment Data Sectors (wages)'!$A$8173:$A$8184</definedName>
    <definedName name="_13__123Graph_ACHART_1" localSheetId="101" hidden="1">'[21]Employment Data Sectors (wages)'!$A$8173:$A$8184</definedName>
    <definedName name="_13__123Graph_ACHART_1" localSheetId="108" hidden="1">'[21]Employment Data Sectors (wages)'!$A$8173:$A$8184</definedName>
    <definedName name="_13__123Graph_ACHART_1" localSheetId="115" hidden="1">'[21]Employment Data Sectors (wages)'!$A$8173:$A$8184</definedName>
    <definedName name="_13__123Graph_ACHART_1" localSheetId="7" hidden="1">'[21]Employment Data Sectors (wages)'!$A$8173:$A$8184</definedName>
    <definedName name="_13__123Graph_ACHART_1" localSheetId="8" hidden="1">'[21]Employment Data Sectors (wages)'!$A$8173:$A$8184</definedName>
    <definedName name="_13__123Graph_ACHART_1" localSheetId="9" hidden="1">'[21]Employment Data Sectors (wages)'!$A$8173:$A$8184</definedName>
    <definedName name="_13__123Graph_ACHART_1" localSheetId="10" hidden="1">'[21]Employment Data Sectors (wages)'!$A$8173:$A$8184</definedName>
    <definedName name="_13__123Graph_ACHART_1" localSheetId="19" hidden="1">'[21]Employment Data Sectors (wages)'!$A$8173:$A$8184</definedName>
    <definedName name="_13__123Graph_ACHART_1" localSheetId="21" hidden="1">'[21]Employment Data Sectors (wages)'!$A$8173:$A$8184</definedName>
    <definedName name="_13__123Graph_ACHART_1" localSheetId="23" hidden="1">'[21]Employment Data Sectors (wages)'!$A$8173:$A$8184</definedName>
    <definedName name="_13__123Graph_ACHART_1" localSheetId="24" hidden="1">'[21]Employment Data Sectors (wages)'!$A$8173:$A$8184</definedName>
    <definedName name="_13__123Graph_ACHART_1" localSheetId="25" hidden="1">'[21]Employment Data Sectors (wages)'!$A$8173:$A$8184</definedName>
    <definedName name="_13__123Graph_ACHART_1" localSheetId="27" hidden="1">'[21]Employment Data Sectors (wages)'!$A$8173:$A$8184</definedName>
    <definedName name="_13__123Graph_ACHART_1" localSheetId="30" hidden="1">'[21]Employment Data Sectors (wages)'!$A$8173:$A$8184</definedName>
    <definedName name="_13__123Graph_ACHART_1" localSheetId="33" hidden="1">'[21]Employment Data Sectors (wages)'!$A$8173:$A$8184</definedName>
    <definedName name="_13__123Graph_ACHART_1" localSheetId="34" hidden="1">'[21]Employment Data Sectors (wages)'!$A$8173:$A$8184</definedName>
    <definedName name="_13__123Graph_ACHART_1" localSheetId="35" hidden="1">'[21]Employment Data Sectors (wages)'!$A$8173:$A$8184</definedName>
    <definedName name="_13__123Graph_ACHART_1" localSheetId="36" hidden="1">'[21]Employment Data Sectors (wages)'!$A$8173:$A$8184</definedName>
    <definedName name="_13__123Graph_ACHART_1" localSheetId="37" hidden="1">'[21]Employment Data Sectors (wages)'!$A$8173:$A$8184</definedName>
    <definedName name="_13__123Graph_ACHART_1" localSheetId="38" hidden="1">'[21]Employment Data Sectors (wages)'!$A$8173:$A$8184</definedName>
    <definedName name="_13__123Graph_ACHART_1" localSheetId="39" hidden="1">'[21]Employment Data Sectors (wages)'!$A$8173:$A$8184</definedName>
    <definedName name="_13__123Graph_ACHART_1" localSheetId="40" hidden="1">'[21]Employment Data Sectors (wages)'!$A$8173:$A$8184</definedName>
    <definedName name="_13__123Graph_ACHART_1" hidden="1">'[21]Employment Data Sectors (wages)'!$A$8173:$A$8184</definedName>
    <definedName name="_13__123Graph_ACHART_2" hidden="1">'[14]Employment Data Sectors (wages)'!$A$8173:$A$8184</definedName>
    <definedName name="_13__123Graph_BCHART_3" localSheetId="55" hidden="1">'[16]Employment Data Sectors (wages)'!$B$11:$B$8185</definedName>
    <definedName name="_13__123Graph_BCHART_3" localSheetId="70" hidden="1">'[16]Employment Data Sectors (wages)'!$B$11:$B$8185</definedName>
    <definedName name="_13__123Graph_BCHART_3" localSheetId="71" hidden="1">'[17]Employment Data Sectors (wages)'!$B$11:$B$8185</definedName>
    <definedName name="_13__123Graph_BCHART_3" localSheetId="72" hidden="1">'[17]Employment Data Sectors (wages)'!$B$11:$B$8185</definedName>
    <definedName name="_13__123Graph_BCHART_3" localSheetId="73" hidden="1">'[17]Employment Data Sectors (wages)'!$B$11:$B$8185</definedName>
    <definedName name="_13__123Graph_BCHART_3" localSheetId="74" hidden="1">'[17]Employment Data Sectors (wages)'!$B$11:$B$8185</definedName>
    <definedName name="_13__123Graph_BCHART_3" localSheetId="79" hidden="1">'[18]Employment Data Sectors (wages)'!$B$11:$B$8185</definedName>
    <definedName name="_13__123Graph_BCHART_3" localSheetId="80" hidden="1">'[16]Employment Data Sectors (wages)'!$B$11:$B$8185</definedName>
    <definedName name="_13__123Graph_BCHART_3" localSheetId="81" hidden="1">'[16]Employment Data Sectors (wages)'!$B$11:$B$8185</definedName>
    <definedName name="_13__123Graph_BCHART_3" localSheetId="101" hidden="1">'[16]Employment Data Sectors (wages)'!$B$11:$B$8185</definedName>
    <definedName name="_13__123Graph_BCHART_3" localSheetId="108" hidden="1">'[16]Employment Data Sectors (wages)'!$B$11:$B$8185</definedName>
    <definedName name="_13__123Graph_BCHART_3" localSheetId="115" hidden="1">'[17]Employment Data Sectors (wages)'!$B$11:$B$8185</definedName>
    <definedName name="_13__123Graph_BCHART_3" localSheetId="7" hidden="1">'[16]Employment Data Sectors (wages)'!$B$11:$B$8185</definedName>
    <definedName name="_13__123Graph_BCHART_3" localSheetId="8" hidden="1">'[16]Employment Data Sectors (wages)'!$B$11:$B$8185</definedName>
    <definedName name="_13__123Graph_BCHART_3" localSheetId="9" hidden="1">'[16]Employment Data Sectors (wages)'!$B$11:$B$8185</definedName>
    <definedName name="_13__123Graph_BCHART_3" localSheetId="10" hidden="1">'[17]Employment Data Sectors (wages)'!$B$11:$B$8185</definedName>
    <definedName name="_13__123Graph_BCHART_3" localSheetId="19" hidden="1">'[16]Employment Data Sectors (wages)'!$B$11:$B$8185</definedName>
    <definedName name="_13__123Graph_BCHART_3" localSheetId="21" hidden="1">'[16]Employment Data Sectors (wages)'!$B$11:$B$8185</definedName>
    <definedName name="_13__123Graph_BCHART_3" localSheetId="23" hidden="1">'[16]Employment Data Sectors (wages)'!$B$11:$B$8185</definedName>
    <definedName name="_13__123Graph_BCHART_3" localSheetId="24" hidden="1">'[16]Employment Data Sectors (wages)'!$B$11:$B$8185</definedName>
    <definedName name="_13__123Graph_BCHART_3" localSheetId="25" hidden="1">'[16]Employment Data Sectors (wages)'!$B$11:$B$8185</definedName>
    <definedName name="_13__123Graph_BCHART_3" localSheetId="27" hidden="1">'[16]Employment Data Sectors (wages)'!$B$11:$B$8185</definedName>
    <definedName name="_13__123Graph_BCHART_3" localSheetId="30" hidden="1">'[16]Employment Data Sectors (wages)'!$B$11:$B$8185</definedName>
    <definedName name="_13__123Graph_BCHART_3" localSheetId="33" hidden="1">'[16]Employment Data Sectors (wages)'!$B$11:$B$8185</definedName>
    <definedName name="_13__123Graph_BCHART_3" localSheetId="34" hidden="1">'[17]Employment Data Sectors (wages)'!$B$11:$B$8185</definedName>
    <definedName name="_13__123Graph_BCHART_3" localSheetId="35" hidden="1">'[17]Employment Data Sectors (wages)'!$B$11:$B$8185</definedName>
    <definedName name="_13__123Graph_BCHART_3" localSheetId="36" hidden="1">'[17]Employment Data Sectors (wages)'!$B$11:$B$8185</definedName>
    <definedName name="_13__123Graph_BCHART_3" localSheetId="37" hidden="1">'[17]Employment Data Sectors (wages)'!$B$11:$B$8185</definedName>
    <definedName name="_13__123Graph_BCHART_3" localSheetId="38" hidden="1">'[17]Employment Data Sectors (wages)'!$B$11:$B$8185</definedName>
    <definedName name="_13__123Graph_BCHART_3" localSheetId="39" hidden="1">'[16]Employment Data Sectors (wages)'!$B$11:$B$8185</definedName>
    <definedName name="_13__123Graph_BCHART_3" localSheetId="40" hidden="1">'[16]Employment Data Sectors (wages)'!$B$11:$B$8185</definedName>
    <definedName name="_13__123Graph_BCHART_3" hidden="1">'[17]Employment Data Sectors (wages)'!$B$11:$B$8185</definedName>
    <definedName name="_13__123Graph_BCHART_4" localSheetId="55" hidden="1">'[19]Employment Data Sectors (wages)'!$B$12:$B$23</definedName>
    <definedName name="_13__123Graph_BCHART_4" localSheetId="71" hidden="1">'[20]Employment Data Sectors (wages)'!$B$12:$B$23</definedName>
    <definedName name="_13__123Graph_BCHART_4" localSheetId="72" hidden="1">'[20]Employment Data Sectors (wages)'!$B$12:$B$23</definedName>
    <definedName name="_13__123Graph_BCHART_4" localSheetId="73" hidden="1">'[20]Employment Data Sectors (wages)'!$B$12:$B$23</definedName>
    <definedName name="_13__123Graph_BCHART_4" localSheetId="74" hidden="1">'[20]Employment Data Sectors (wages)'!$B$12:$B$23</definedName>
    <definedName name="_13__123Graph_BCHART_4" localSheetId="79" hidden="1">'[19]Employment Data Sectors (wages)'!$B$12:$B$23</definedName>
    <definedName name="_13__123Graph_BCHART_4" localSheetId="115" hidden="1">'[20]Employment Data Sectors (wages)'!$B$12:$B$23</definedName>
    <definedName name="_13__123Graph_BCHART_4" localSheetId="10" hidden="1">'[20]Employment Data Sectors (wages)'!$B$12:$B$23</definedName>
    <definedName name="_13__123Graph_BCHART_4" localSheetId="23" hidden="1">'[20]Employment Data Sectors (wages)'!$B$12:$B$23</definedName>
    <definedName name="_13__123Graph_BCHART_4" localSheetId="34" hidden="1">'[20]Employment Data Sectors (wages)'!$B$12:$B$23</definedName>
    <definedName name="_13__123Graph_BCHART_4" localSheetId="35" hidden="1">'[20]Employment Data Sectors (wages)'!$B$12:$B$23</definedName>
    <definedName name="_13__123Graph_BCHART_4" localSheetId="36" hidden="1">'[20]Employment Data Sectors (wages)'!$B$12:$B$23</definedName>
    <definedName name="_13__123Graph_BCHART_4" localSheetId="37" hidden="1">'[20]Employment Data Sectors (wages)'!$B$12:$B$23</definedName>
    <definedName name="_13__123Graph_BCHART_4" localSheetId="38" hidden="1">'[20]Employment Data Sectors (wages)'!$B$12:$B$23</definedName>
    <definedName name="_13__123Graph_BCHART_4" hidden="1">'[20]Employment Data Sectors (wages)'!$B$12:$B$23</definedName>
    <definedName name="_130__123Graph_CCHART_6" hidden="1">'[14]Employment Data Sectors (wages)'!$U$49:$U$8103</definedName>
    <definedName name="_132Graph_CB" localSheetId="49" hidden="1">#REF!</definedName>
    <definedName name="_132Graph_CB" localSheetId="50" hidden="1">#REF!</definedName>
    <definedName name="_132Graph_CB" localSheetId="51" hidden="1">#REF!</definedName>
    <definedName name="_132Graph_CB" localSheetId="53" hidden="1">#REF!</definedName>
    <definedName name="_132Graph_CB" localSheetId="54" hidden="1">#REF!</definedName>
    <definedName name="_132Graph_CB" localSheetId="55" hidden="1">#REF!</definedName>
    <definedName name="_132Graph_CB" localSheetId="56" hidden="1">#REF!</definedName>
    <definedName name="_132Graph_CB" localSheetId="57" hidden="1">#REF!</definedName>
    <definedName name="_132Graph_CB" localSheetId="58" hidden="1">#REF!</definedName>
    <definedName name="_132Graph_CB" localSheetId="59" hidden="1">#REF!</definedName>
    <definedName name="_132Graph_CB" localSheetId="62" hidden="1">#REF!</definedName>
    <definedName name="_132Graph_CB" localSheetId="70" hidden="1">#REF!</definedName>
    <definedName name="_132Graph_CB" localSheetId="71" hidden="1">#REF!</definedName>
    <definedName name="_132Graph_CB" localSheetId="72" hidden="1">#REF!</definedName>
    <definedName name="_132Graph_CB" localSheetId="73" hidden="1">#REF!</definedName>
    <definedName name="_132Graph_CB" localSheetId="74" hidden="1">#REF!</definedName>
    <definedName name="_132Graph_CB" localSheetId="75" hidden="1">#REF!</definedName>
    <definedName name="_132Graph_CB" localSheetId="76" hidden="1">#REF!</definedName>
    <definedName name="_132Graph_CB" localSheetId="79" hidden="1">#REF!</definedName>
    <definedName name="_132Graph_CB" localSheetId="80" hidden="1">#REF!</definedName>
    <definedName name="_132Graph_CB" localSheetId="81" hidden="1">#REF!</definedName>
    <definedName name="_132Graph_CB" localSheetId="83" hidden="1">#REF!</definedName>
    <definedName name="_132Graph_CB" localSheetId="87" hidden="1">#REF!</definedName>
    <definedName name="_132Graph_CB" localSheetId="95" hidden="1">#REF!</definedName>
    <definedName name="_132Graph_CB" localSheetId="97" hidden="1">#REF!</definedName>
    <definedName name="_132Graph_CB" localSheetId="98" hidden="1">#REF!</definedName>
    <definedName name="_132Graph_CB" localSheetId="99" hidden="1">#REF!</definedName>
    <definedName name="_132Graph_CB" localSheetId="100" hidden="1">#REF!</definedName>
    <definedName name="_132Graph_CB" localSheetId="101" hidden="1">#REF!</definedName>
    <definedName name="_132Graph_CB" localSheetId="108" hidden="1">#REF!</definedName>
    <definedName name="_132Graph_CB" localSheetId="115" hidden="1">#REF!</definedName>
    <definedName name="_132Graph_CB" localSheetId="5" hidden="1">#REF!</definedName>
    <definedName name="_132Graph_CB" localSheetId="6" hidden="1">#REF!</definedName>
    <definedName name="_132Graph_CB" localSheetId="7" hidden="1">#REF!</definedName>
    <definedName name="_132Graph_CB" localSheetId="8" hidden="1">#REF!</definedName>
    <definedName name="_132Graph_CB" localSheetId="9" hidden="1">#REF!</definedName>
    <definedName name="_132Graph_CB" localSheetId="10" hidden="1">#REF!</definedName>
    <definedName name="_132Graph_CB" localSheetId="14" hidden="1">#REF!</definedName>
    <definedName name="_132Graph_CB" localSheetId="15" hidden="1">#REF!</definedName>
    <definedName name="_132Graph_CB" localSheetId="16" hidden="1">#REF!</definedName>
    <definedName name="_132Graph_CB" localSheetId="17" hidden="1">#REF!</definedName>
    <definedName name="_132Graph_CB" localSheetId="19" hidden="1">#REF!</definedName>
    <definedName name="_132Graph_CB" localSheetId="21" hidden="1">#REF!</definedName>
    <definedName name="_132Graph_CB" localSheetId="23" hidden="1">#REF!</definedName>
    <definedName name="_132Graph_CB" localSheetId="24" hidden="1">#REF!</definedName>
    <definedName name="_132Graph_CB" localSheetId="25" hidden="1">#REF!</definedName>
    <definedName name="_132Graph_CB" localSheetId="27" hidden="1">#REF!</definedName>
    <definedName name="_132Graph_CB" localSheetId="30" hidden="1">#REF!</definedName>
    <definedName name="_132Graph_CB" localSheetId="33" hidden="1">#REF!</definedName>
    <definedName name="_132Graph_CB" localSheetId="34" hidden="1">#REF!</definedName>
    <definedName name="_132Graph_CB" localSheetId="35" hidden="1">#REF!</definedName>
    <definedName name="_132Graph_CB" localSheetId="36" hidden="1">#REF!</definedName>
    <definedName name="_132Graph_CB" localSheetId="37" hidden="1">#REF!</definedName>
    <definedName name="_132Graph_CB" localSheetId="38" hidden="1">#REF!</definedName>
    <definedName name="_132Graph_CB" localSheetId="39" hidden="1">#REF!</definedName>
    <definedName name="_132Graph_CB" localSheetId="40" hidden="1">#REF!</definedName>
    <definedName name="_132Graph_CB" localSheetId="44" hidden="1">#REF!</definedName>
    <definedName name="_132Graph_CB" hidden="1">#REF!</definedName>
    <definedName name="_133__123Graph_DCHART_7" localSheetId="70" hidden="1">'[21]Employment Data Sectors (wages)'!$Y$26:$Y$37</definedName>
    <definedName name="_133__123Graph_DCHART_7" localSheetId="71" hidden="1">'[21]Employment Data Sectors (wages)'!$Y$26:$Y$37</definedName>
    <definedName name="_133__123Graph_DCHART_7" localSheetId="72" hidden="1">'[21]Employment Data Sectors (wages)'!$Y$26:$Y$37</definedName>
    <definedName name="_133__123Graph_DCHART_7" localSheetId="73" hidden="1">'[21]Employment Data Sectors (wages)'!$Y$26:$Y$37</definedName>
    <definedName name="_133__123Graph_DCHART_7" localSheetId="74" hidden="1">'[21]Employment Data Sectors (wages)'!$Y$26:$Y$37</definedName>
    <definedName name="_133__123Graph_DCHART_7" localSheetId="79" hidden="1">'[14]Employment Data Sectors (wages)'!$Y$26:$Y$37</definedName>
    <definedName name="_133__123Graph_DCHART_7" localSheetId="80" hidden="1">'[21]Employment Data Sectors (wages)'!$Y$26:$Y$37</definedName>
    <definedName name="_133__123Graph_DCHART_7" localSheetId="81" hidden="1">'[21]Employment Data Sectors (wages)'!$Y$26:$Y$37</definedName>
    <definedName name="_133__123Graph_DCHART_7" localSheetId="101" hidden="1">'[21]Employment Data Sectors (wages)'!$Y$26:$Y$37</definedName>
    <definedName name="_133__123Graph_DCHART_7" localSheetId="108" hidden="1">'[21]Employment Data Sectors (wages)'!$Y$26:$Y$37</definedName>
    <definedName name="_133__123Graph_DCHART_7" localSheetId="115" hidden="1">'[21]Employment Data Sectors (wages)'!$Y$26:$Y$37</definedName>
    <definedName name="_133__123Graph_DCHART_7" localSheetId="7" hidden="1">'[21]Employment Data Sectors (wages)'!$Y$26:$Y$37</definedName>
    <definedName name="_133__123Graph_DCHART_7" localSheetId="8" hidden="1">'[21]Employment Data Sectors (wages)'!$Y$26:$Y$37</definedName>
    <definedName name="_133__123Graph_DCHART_7" localSheetId="9" hidden="1">'[21]Employment Data Sectors (wages)'!$Y$26:$Y$37</definedName>
    <definedName name="_133__123Graph_DCHART_7" localSheetId="10" hidden="1">'[21]Employment Data Sectors (wages)'!$Y$26:$Y$37</definedName>
    <definedName name="_133__123Graph_DCHART_7" localSheetId="19" hidden="1">'[21]Employment Data Sectors (wages)'!$Y$26:$Y$37</definedName>
    <definedName name="_133__123Graph_DCHART_7" localSheetId="21" hidden="1">'[21]Employment Data Sectors (wages)'!$Y$26:$Y$37</definedName>
    <definedName name="_133__123Graph_DCHART_7" localSheetId="23" hidden="1">'[21]Employment Data Sectors (wages)'!$Y$26:$Y$37</definedName>
    <definedName name="_133__123Graph_DCHART_7" localSheetId="24" hidden="1">'[21]Employment Data Sectors (wages)'!$Y$26:$Y$37</definedName>
    <definedName name="_133__123Graph_DCHART_7" localSheetId="25" hidden="1">'[21]Employment Data Sectors (wages)'!$Y$26:$Y$37</definedName>
    <definedName name="_133__123Graph_DCHART_7" localSheetId="27" hidden="1">'[21]Employment Data Sectors (wages)'!$Y$26:$Y$37</definedName>
    <definedName name="_133__123Graph_DCHART_7" localSheetId="30" hidden="1">'[21]Employment Data Sectors (wages)'!$Y$26:$Y$37</definedName>
    <definedName name="_133__123Graph_DCHART_7" localSheetId="33" hidden="1">'[21]Employment Data Sectors (wages)'!$Y$26:$Y$37</definedName>
    <definedName name="_133__123Graph_DCHART_7" localSheetId="34" hidden="1">'[21]Employment Data Sectors (wages)'!$Y$26:$Y$37</definedName>
    <definedName name="_133__123Graph_DCHART_7" localSheetId="35" hidden="1">'[21]Employment Data Sectors (wages)'!$Y$26:$Y$37</definedName>
    <definedName name="_133__123Graph_DCHART_7" localSheetId="36" hidden="1">'[21]Employment Data Sectors (wages)'!$Y$26:$Y$37</definedName>
    <definedName name="_133__123Graph_DCHART_7" localSheetId="37" hidden="1">'[21]Employment Data Sectors (wages)'!$Y$26:$Y$37</definedName>
    <definedName name="_133__123Graph_DCHART_7" localSheetId="38" hidden="1">'[21]Employment Data Sectors (wages)'!$Y$26:$Y$37</definedName>
    <definedName name="_133__123Graph_DCHART_7" localSheetId="39" hidden="1">'[21]Employment Data Sectors (wages)'!$Y$26:$Y$37</definedName>
    <definedName name="_133__123Graph_DCHART_7" localSheetId="40" hidden="1">'[21]Employment Data Sectors (wages)'!$Y$26:$Y$37</definedName>
    <definedName name="_133__123Graph_DCHART_7" hidden="1">'[21]Employment Data Sectors (wages)'!$Y$26:$Y$37</definedName>
    <definedName name="_135__123Graph_CCHART_7" hidden="1">'[14]Employment Data Sectors (wages)'!$Y$14:$Y$25</definedName>
    <definedName name="_138__123Graph_DCHART_8" localSheetId="70" hidden="1">'[21]Employment Data Sectors (wages)'!$W$26:$W$37</definedName>
    <definedName name="_138__123Graph_DCHART_8" localSheetId="71" hidden="1">'[21]Employment Data Sectors (wages)'!$W$26:$W$37</definedName>
    <definedName name="_138__123Graph_DCHART_8" localSheetId="72" hidden="1">'[21]Employment Data Sectors (wages)'!$W$26:$W$37</definedName>
    <definedName name="_138__123Graph_DCHART_8" localSheetId="73" hidden="1">'[21]Employment Data Sectors (wages)'!$W$26:$W$37</definedName>
    <definedName name="_138__123Graph_DCHART_8" localSheetId="74" hidden="1">'[21]Employment Data Sectors (wages)'!$W$26:$W$37</definedName>
    <definedName name="_138__123Graph_DCHART_8" localSheetId="79" hidden="1">'[14]Employment Data Sectors (wages)'!$W$26:$W$37</definedName>
    <definedName name="_138__123Graph_DCHART_8" localSheetId="80" hidden="1">'[21]Employment Data Sectors (wages)'!$W$26:$W$37</definedName>
    <definedName name="_138__123Graph_DCHART_8" localSheetId="81" hidden="1">'[21]Employment Data Sectors (wages)'!$W$26:$W$37</definedName>
    <definedName name="_138__123Graph_DCHART_8" localSheetId="101" hidden="1">'[21]Employment Data Sectors (wages)'!$W$26:$W$37</definedName>
    <definedName name="_138__123Graph_DCHART_8" localSheetId="108" hidden="1">'[21]Employment Data Sectors (wages)'!$W$26:$W$37</definedName>
    <definedName name="_138__123Graph_DCHART_8" localSheetId="115" hidden="1">'[21]Employment Data Sectors (wages)'!$W$26:$W$37</definedName>
    <definedName name="_138__123Graph_DCHART_8" localSheetId="7" hidden="1">'[21]Employment Data Sectors (wages)'!$W$26:$W$37</definedName>
    <definedName name="_138__123Graph_DCHART_8" localSheetId="8" hidden="1">'[21]Employment Data Sectors (wages)'!$W$26:$W$37</definedName>
    <definedName name="_138__123Graph_DCHART_8" localSheetId="9" hidden="1">'[21]Employment Data Sectors (wages)'!$W$26:$W$37</definedName>
    <definedName name="_138__123Graph_DCHART_8" localSheetId="10" hidden="1">'[21]Employment Data Sectors (wages)'!$W$26:$W$37</definedName>
    <definedName name="_138__123Graph_DCHART_8" localSheetId="19" hidden="1">'[21]Employment Data Sectors (wages)'!$W$26:$W$37</definedName>
    <definedName name="_138__123Graph_DCHART_8" localSheetId="21" hidden="1">'[21]Employment Data Sectors (wages)'!$W$26:$W$37</definedName>
    <definedName name="_138__123Graph_DCHART_8" localSheetId="23" hidden="1">'[21]Employment Data Sectors (wages)'!$W$26:$W$37</definedName>
    <definedName name="_138__123Graph_DCHART_8" localSheetId="24" hidden="1">'[21]Employment Data Sectors (wages)'!$W$26:$W$37</definedName>
    <definedName name="_138__123Graph_DCHART_8" localSheetId="25" hidden="1">'[21]Employment Data Sectors (wages)'!$W$26:$W$37</definedName>
    <definedName name="_138__123Graph_DCHART_8" localSheetId="27" hidden="1">'[21]Employment Data Sectors (wages)'!$W$26:$W$37</definedName>
    <definedName name="_138__123Graph_DCHART_8" localSheetId="30" hidden="1">'[21]Employment Data Sectors (wages)'!$W$26:$W$37</definedName>
    <definedName name="_138__123Graph_DCHART_8" localSheetId="33" hidden="1">'[21]Employment Data Sectors (wages)'!$W$26:$W$37</definedName>
    <definedName name="_138__123Graph_DCHART_8" localSheetId="34" hidden="1">'[21]Employment Data Sectors (wages)'!$W$26:$W$37</definedName>
    <definedName name="_138__123Graph_DCHART_8" localSheetId="35" hidden="1">'[21]Employment Data Sectors (wages)'!$W$26:$W$37</definedName>
    <definedName name="_138__123Graph_DCHART_8" localSheetId="36" hidden="1">'[21]Employment Data Sectors (wages)'!$W$26:$W$37</definedName>
    <definedName name="_138__123Graph_DCHART_8" localSheetId="37" hidden="1">'[21]Employment Data Sectors (wages)'!$W$26:$W$37</definedName>
    <definedName name="_138__123Graph_DCHART_8" localSheetId="38" hidden="1">'[21]Employment Data Sectors (wages)'!$W$26:$W$37</definedName>
    <definedName name="_138__123Graph_DCHART_8" localSheetId="39" hidden="1">'[21]Employment Data Sectors (wages)'!$W$26:$W$37</definedName>
    <definedName name="_138__123Graph_DCHART_8" localSheetId="40" hidden="1">'[21]Employment Data Sectors (wages)'!$W$26:$W$37</definedName>
    <definedName name="_138__123Graph_DCHART_8" hidden="1">'[21]Employment Data Sectors (wages)'!$W$26:$W$37</definedName>
    <definedName name="_14__123Graph_ACHART_4" hidden="1">'[15]Employment Data Sectors (wages)'!$A$12:$A$23</definedName>
    <definedName name="_14__123Graph_BCHART_4" localSheetId="55" hidden="1">'[16]Employment Data Sectors (wages)'!$B$12:$B$23</definedName>
    <definedName name="_14__123Graph_BCHART_4" localSheetId="70" hidden="1">'[16]Employment Data Sectors (wages)'!$B$12:$B$23</definedName>
    <definedName name="_14__123Graph_BCHART_4" localSheetId="71" hidden="1">'[17]Employment Data Sectors (wages)'!$B$12:$B$23</definedName>
    <definedName name="_14__123Graph_BCHART_4" localSheetId="72" hidden="1">'[17]Employment Data Sectors (wages)'!$B$12:$B$23</definedName>
    <definedName name="_14__123Graph_BCHART_4" localSheetId="73" hidden="1">'[17]Employment Data Sectors (wages)'!$B$12:$B$23</definedName>
    <definedName name="_14__123Graph_BCHART_4" localSheetId="74" hidden="1">'[17]Employment Data Sectors (wages)'!$B$12:$B$23</definedName>
    <definedName name="_14__123Graph_BCHART_4" localSheetId="79" hidden="1">'[18]Employment Data Sectors (wages)'!$B$12:$B$23</definedName>
    <definedName name="_14__123Graph_BCHART_4" localSheetId="80" hidden="1">'[16]Employment Data Sectors (wages)'!$B$12:$B$23</definedName>
    <definedName name="_14__123Graph_BCHART_4" localSheetId="81" hidden="1">'[16]Employment Data Sectors (wages)'!$B$12:$B$23</definedName>
    <definedName name="_14__123Graph_BCHART_4" localSheetId="101" hidden="1">'[16]Employment Data Sectors (wages)'!$B$12:$B$23</definedName>
    <definedName name="_14__123Graph_BCHART_4" localSheetId="108" hidden="1">'[16]Employment Data Sectors (wages)'!$B$12:$B$23</definedName>
    <definedName name="_14__123Graph_BCHART_4" localSheetId="115" hidden="1">'[17]Employment Data Sectors (wages)'!$B$12:$B$23</definedName>
    <definedName name="_14__123Graph_BCHART_4" localSheetId="7" hidden="1">'[16]Employment Data Sectors (wages)'!$B$12:$B$23</definedName>
    <definedName name="_14__123Graph_BCHART_4" localSheetId="8" hidden="1">'[16]Employment Data Sectors (wages)'!$B$12:$B$23</definedName>
    <definedName name="_14__123Graph_BCHART_4" localSheetId="9" hidden="1">'[16]Employment Data Sectors (wages)'!$B$12:$B$23</definedName>
    <definedName name="_14__123Graph_BCHART_4" localSheetId="10" hidden="1">'[17]Employment Data Sectors (wages)'!$B$12:$B$23</definedName>
    <definedName name="_14__123Graph_BCHART_4" localSheetId="19" hidden="1">'[16]Employment Data Sectors (wages)'!$B$12:$B$23</definedName>
    <definedName name="_14__123Graph_BCHART_4" localSheetId="21" hidden="1">'[16]Employment Data Sectors (wages)'!$B$12:$B$23</definedName>
    <definedName name="_14__123Graph_BCHART_4" localSheetId="23" hidden="1">'[16]Employment Data Sectors (wages)'!$B$12:$B$23</definedName>
    <definedName name="_14__123Graph_BCHART_4" localSheetId="24" hidden="1">'[16]Employment Data Sectors (wages)'!$B$12:$B$23</definedName>
    <definedName name="_14__123Graph_BCHART_4" localSheetId="25" hidden="1">'[16]Employment Data Sectors (wages)'!$B$12:$B$23</definedName>
    <definedName name="_14__123Graph_BCHART_4" localSheetId="27" hidden="1">'[16]Employment Data Sectors (wages)'!$B$12:$B$23</definedName>
    <definedName name="_14__123Graph_BCHART_4" localSheetId="30" hidden="1">'[16]Employment Data Sectors (wages)'!$B$12:$B$23</definedName>
    <definedName name="_14__123Graph_BCHART_4" localSheetId="33" hidden="1">'[16]Employment Data Sectors (wages)'!$B$12:$B$23</definedName>
    <definedName name="_14__123Graph_BCHART_4" localSheetId="34" hidden="1">'[17]Employment Data Sectors (wages)'!$B$12:$B$23</definedName>
    <definedName name="_14__123Graph_BCHART_4" localSheetId="35" hidden="1">'[17]Employment Data Sectors (wages)'!$B$12:$B$23</definedName>
    <definedName name="_14__123Graph_BCHART_4" localSheetId="36" hidden="1">'[17]Employment Data Sectors (wages)'!$B$12:$B$23</definedName>
    <definedName name="_14__123Graph_BCHART_4" localSheetId="37" hidden="1">'[17]Employment Data Sectors (wages)'!$B$12:$B$23</definedName>
    <definedName name="_14__123Graph_BCHART_4" localSheetId="38" hidden="1">'[17]Employment Data Sectors (wages)'!$B$12:$B$23</definedName>
    <definedName name="_14__123Graph_BCHART_4" localSheetId="39" hidden="1">'[16]Employment Data Sectors (wages)'!$B$12:$B$23</definedName>
    <definedName name="_14__123Graph_BCHART_4" localSheetId="40" hidden="1">'[16]Employment Data Sectors (wages)'!$B$12:$B$23</definedName>
    <definedName name="_14__123Graph_BCHART_4" hidden="1">'[17]Employment Data Sectors (wages)'!$B$12:$B$23</definedName>
    <definedName name="_14__123Graph_BCHART_5" localSheetId="55" hidden="1">'[19]Employment Data Sectors (wages)'!$B$24:$B$35</definedName>
    <definedName name="_14__123Graph_BCHART_5" localSheetId="71" hidden="1">'[20]Employment Data Sectors (wages)'!$B$24:$B$35</definedName>
    <definedName name="_14__123Graph_BCHART_5" localSheetId="72" hidden="1">'[20]Employment Data Sectors (wages)'!$B$24:$B$35</definedName>
    <definedName name="_14__123Graph_BCHART_5" localSheetId="73" hidden="1">'[20]Employment Data Sectors (wages)'!$B$24:$B$35</definedName>
    <definedName name="_14__123Graph_BCHART_5" localSheetId="74" hidden="1">'[20]Employment Data Sectors (wages)'!$B$24:$B$35</definedName>
    <definedName name="_14__123Graph_BCHART_5" localSheetId="79" hidden="1">'[19]Employment Data Sectors (wages)'!$B$24:$B$35</definedName>
    <definedName name="_14__123Graph_BCHART_5" localSheetId="115" hidden="1">'[20]Employment Data Sectors (wages)'!$B$24:$B$35</definedName>
    <definedName name="_14__123Graph_BCHART_5" localSheetId="10" hidden="1">'[20]Employment Data Sectors (wages)'!$B$24:$B$35</definedName>
    <definedName name="_14__123Graph_BCHART_5" localSheetId="23" hidden="1">'[20]Employment Data Sectors (wages)'!$B$24:$B$35</definedName>
    <definedName name="_14__123Graph_BCHART_5" localSheetId="34" hidden="1">'[20]Employment Data Sectors (wages)'!$B$24:$B$35</definedName>
    <definedName name="_14__123Graph_BCHART_5" localSheetId="35" hidden="1">'[20]Employment Data Sectors (wages)'!$B$24:$B$35</definedName>
    <definedName name="_14__123Graph_BCHART_5" localSheetId="36" hidden="1">'[20]Employment Data Sectors (wages)'!$B$24:$B$35</definedName>
    <definedName name="_14__123Graph_BCHART_5" localSheetId="37" hidden="1">'[20]Employment Data Sectors (wages)'!$B$24:$B$35</definedName>
    <definedName name="_14__123Graph_BCHART_5" localSheetId="38" hidden="1">'[20]Employment Data Sectors (wages)'!$B$24:$B$35</definedName>
    <definedName name="_14__123Graph_BCHART_5" hidden="1">'[20]Employment Data Sectors (wages)'!$B$24:$B$35</definedName>
    <definedName name="_140__123Graph_CCHART_8" hidden="1">'[14]Employment Data Sectors (wages)'!$W$14:$W$25</definedName>
    <definedName name="_143__123Graph_ECHART_7" localSheetId="70" hidden="1">'[21]Employment Data Sectors (wages)'!$Y$38:$Y$49</definedName>
    <definedName name="_143__123Graph_ECHART_7" localSheetId="71" hidden="1">'[21]Employment Data Sectors (wages)'!$Y$38:$Y$49</definedName>
    <definedName name="_143__123Graph_ECHART_7" localSheetId="72" hidden="1">'[21]Employment Data Sectors (wages)'!$Y$38:$Y$49</definedName>
    <definedName name="_143__123Graph_ECHART_7" localSheetId="73" hidden="1">'[21]Employment Data Sectors (wages)'!$Y$38:$Y$49</definedName>
    <definedName name="_143__123Graph_ECHART_7" localSheetId="74" hidden="1">'[21]Employment Data Sectors (wages)'!$Y$38:$Y$49</definedName>
    <definedName name="_143__123Graph_ECHART_7" localSheetId="79" hidden="1">'[14]Employment Data Sectors (wages)'!$Y$38:$Y$49</definedName>
    <definedName name="_143__123Graph_ECHART_7" localSheetId="80" hidden="1">'[21]Employment Data Sectors (wages)'!$Y$38:$Y$49</definedName>
    <definedName name="_143__123Graph_ECHART_7" localSheetId="81" hidden="1">'[21]Employment Data Sectors (wages)'!$Y$38:$Y$49</definedName>
    <definedName name="_143__123Graph_ECHART_7" localSheetId="101" hidden="1">'[21]Employment Data Sectors (wages)'!$Y$38:$Y$49</definedName>
    <definedName name="_143__123Graph_ECHART_7" localSheetId="108" hidden="1">'[21]Employment Data Sectors (wages)'!$Y$38:$Y$49</definedName>
    <definedName name="_143__123Graph_ECHART_7" localSheetId="115" hidden="1">'[21]Employment Data Sectors (wages)'!$Y$38:$Y$49</definedName>
    <definedName name="_143__123Graph_ECHART_7" localSheetId="7" hidden="1">'[21]Employment Data Sectors (wages)'!$Y$38:$Y$49</definedName>
    <definedName name="_143__123Graph_ECHART_7" localSheetId="8" hidden="1">'[21]Employment Data Sectors (wages)'!$Y$38:$Y$49</definedName>
    <definedName name="_143__123Graph_ECHART_7" localSheetId="9" hidden="1">'[21]Employment Data Sectors (wages)'!$Y$38:$Y$49</definedName>
    <definedName name="_143__123Graph_ECHART_7" localSheetId="10" hidden="1">'[21]Employment Data Sectors (wages)'!$Y$38:$Y$49</definedName>
    <definedName name="_143__123Graph_ECHART_7" localSheetId="19" hidden="1">'[21]Employment Data Sectors (wages)'!$Y$38:$Y$49</definedName>
    <definedName name="_143__123Graph_ECHART_7" localSheetId="21" hidden="1">'[21]Employment Data Sectors (wages)'!$Y$38:$Y$49</definedName>
    <definedName name="_143__123Graph_ECHART_7" localSheetId="23" hidden="1">'[21]Employment Data Sectors (wages)'!$Y$38:$Y$49</definedName>
    <definedName name="_143__123Graph_ECHART_7" localSheetId="24" hidden="1">'[21]Employment Data Sectors (wages)'!$Y$38:$Y$49</definedName>
    <definedName name="_143__123Graph_ECHART_7" localSheetId="25" hidden="1">'[21]Employment Data Sectors (wages)'!$Y$38:$Y$49</definedName>
    <definedName name="_143__123Graph_ECHART_7" localSheetId="27" hidden="1">'[21]Employment Data Sectors (wages)'!$Y$38:$Y$49</definedName>
    <definedName name="_143__123Graph_ECHART_7" localSheetId="30" hidden="1">'[21]Employment Data Sectors (wages)'!$Y$38:$Y$49</definedName>
    <definedName name="_143__123Graph_ECHART_7" localSheetId="33" hidden="1">'[21]Employment Data Sectors (wages)'!$Y$38:$Y$49</definedName>
    <definedName name="_143__123Graph_ECHART_7" localSheetId="34" hidden="1">'[21]Employment Data Sectors (wages)'!$Y$38:$Y$49</definedName>
    <definedName name="_143__123Graph_ECHART_7" localSheetId="35" hidden="1">'[21]Employment Data Sectors (wages)'!$Y$38:$Y$49</definedName>
    <definedName name="_143__123Graph_ECHART_7" localSheetId="36" hidden="1">'[21]Employment Data Sectors (wages)'!$Y$38:$Y$49</definedName>
    <definedName name="_143__123Graph_ECHART_7" localSheetId="37" hidden="1">'[21]Employment Data Sectors (wages)'!$Y$38:$Y$49</definedName>
    <definedName name="_143__123Graph_ECHART_7" localSheetId="38" hidden="1">'[21]Employment Data Sectors (wages)'!$Y$38:$Y$49</definedName>
    <definedName name="_143__123Graph_ECHART_7" localSheetId="39" hidden="1">'[21]Employment Data Sectors (wages)'!$Y$38:$Y$49</definedName>
    <definedName name="_143__123Graph_ECHART_7" localSheetId="40" hidden="1">'[21]Employment Data Sectors (wages)'!$Y$38:$Y$49</definedName>
    <definedName name="_143__123Graph_ECHART_7" hidden="1">'[21]Employment Data Sectors (wages)'!$Y$38:$Y$49</definedName>
    <definedName name="_145__123Graph_DCHART_7" hidden="1">'[14]Employment Data Sectors (wages)'!$Y$26:$Y$37</definedName>
    <definedName name="_148__123Graph_ECHART_8" localSheetId="70" hidden="1">'[21]Employment Data Sectors (wages)'!$H$86:$H$99</definedName>
    <definedName name="_148__123Graph_ECHART_8" localSheetId="71" hidden="1">'[21]Employment Data Sectors (wages)'!$H$86:$H$99</definedName>
    <definedName name="_148__123Graph_ECHART_8" localSheetId="72" hidden="1">'[21]Employment Data Sectors (wages)'!$H$86:$H$99</definedName>
    <definedName name="_148__123Graph_ECHART_8" localSheetId="73" hidden="1">'[21]Employment Data Sectors (wages)'!$H$86:$H$99</definedName>
    <definedName name="_148__123Graph_ECHART_8" localSheetId="74" hidden="1">'[21]Employment Data Sectors (wages)'!$H$86:$H$99</definedName>
    <definedName name="_148__123Graph_ECHART_8" localSheetId="79" hidden="1">'[14]Employment Data Sectors (wages)'!$H$86:$H$99</definedName>
    <definedName name="_148__123Graph_ECHART_8" localSheetId="80" hidden="1">'[21]Employment Data Sectors (wages)'!$H$86:$H$99</definedName>
    <definedName name="_148__123Graph_ECHART_8" localSheetId="81" hidden="1">'[21]Employment Data Sectors (wages)'!$H$86:$H$99</definedName>
    <definedName name="_148__123Graph_ECHART_8" localSheetId="101" hidden="1">'[21]Employment Data Sectors (wages)'!$H$86:$H$99</definedName>
    <definedName name="_148__123Graph_ECHART_8" localSheetId="108" hidden="1">'[21]Employment Data Sectors (wages)'!$H$86:$H$99</definedName>
    <definedName name="_148__123Graph_ECHART_8" localSheetId="115" hidden="1">'[21]Employment Data Sectors (wages)'!$H$86:$H$99</definedName>
    <definedName name="_148__123Graph_ECHART_8" localSheetId="7" hidden="1">'[21]Employment Data Sectors (wages)'!$H$86:$H$99</definedName>
    <definedName name="_148__123Graph_ECHART_8" localSheetId="8" hidden="1">'[21]Employment Data Sectors (wages)'!$H$86:$H$99</definedName>
    <definedName name="_148__123Graph_ECHART_8" localSheetId="9" hidden="1">'[21]Employment Data Sectors (wages)'!$H$86:$H$99</definedName>
    <definedName name="_148__123Graph_ECHART_8" localSheetId="10" hidden="1">'[21]Employment Data Sectors (wages)'!$H$86:$H$99</definedName>
    <definedName name="_148__123Graph_ECHART_8" localSheetId="19" hidden="1">'[21]Employment Data Sectors (wages)'!$H$86:$H$99</definedName>
    <definedName name="_148__123Graph_ECHART_8" localSheetId="21" hidden="1">'[21]Employment Data Sectors (wages)'!$H$86:$H$99</definedName>
    <definedName name="_148__123Graph_ECHART_8" localSheetId="23" hidden="1">'[21]Employment Data Sectors (wages)'!$H$86:$H$99</definedName>
    <definedName name="_148__123Graph_ECHART_8" localSheetId="24" hidden="1">'[21]Employment Data Sectors (wages)'!$H$86:$H$99</definedName>
    <definedName name="_148__123Graph_ECHART_8" localSheetId="25" hidden="1">'[21]Employment Data Sectors (wages)'!$H$86:$H$99</definedName>
    <definedName name="_148__123Graph_ECHART_8" localSheetId="27" hidden="1">'[21]Employment Data Sectors (wages)'!$H$86:$H$99</definedName>
    <definedName name="_148__123Graph_ECHART_8" localSheetId="30" hidden="1">'[21]Employment Data Sectors (wages)'!$H$86:$H$99</definedName>
    <definedName name="_148__123Graph_ECHART_8" localSheetId="33" hidden="1">'[21]Employment Data Sectors (wages)'!$H$86:$H$99</definedName>
    <definedName name="_148__123Graph_ECHART_8" localSheetId="34" hidden="1">'[21]Employment Data Sectors (wages)'!$H$86:$H$99</definedName>
    <definedName name="_148__123Graph_ECHART_8" localSheetId="35" hidden="1">'[21]Employment Data Sectors (wages)'!$H$86:$H$99</definedName>
    <definedName name="_148__123Graph_ECHART_8" localSheetId="36" hidden="1">'[21]Employment Data Sectors (wages)'!$H$86:$H$99</definedName>
    <definedName name="_148__123Graph_ECHART_8" localSheetId="37" hidden="1">'[21]Employment Data Sectors (wages)'!$H$86:$H$99</definedName>
    <definedName name="_148__123Graph_ECHART_8" localSheetId="38" hidden="1">'[21]Employment Data Sectors (wages)'!$H$86:$H$99</definedName>
    <definedName name="_148__123Graph_ECHART_8" localSheetId="39" hidden="1">'[21]Employment Data Sectors (wages)'!$H$86:$H$99</definedName>
    <definedName name="_148__123Graph_ECHART_8" localSheetId="40" hidden="1">'[21]Employment Data Sectors (wages)'!$H$86:$H$99</definedName>
    <definedName name="_148__123Graph_ECHART_8" hidden="1">'[21]Employment Data Sectors (wages)'!$H$86:$H$99</definedName>
    <definedName name="_15__123Graph_ACHART_3" localSheetId="70" hidden="1">'[22]Employment Data Sectors (wages)'!$A$11:$A$8185</definedName>
    <definedName name="_15__123Graph_ACHART_3" localSheetId="71" hidden="1">'[22]Employment Data Sectors (wages)'!$A$11:$A$8185</definedName>
    <definedName name="_15__123Graph_ACHART_3" localSheetId="72" hidden="1">'[22]Employment Data Sectors (wages)'!$A$11:$A$8185</definedName>
    <definedName name="_15__123Graph_ACHART_3" localSheetId="73" hidden="1">'[22]Employment Data Sectors (wages)'!$A$11:$A$8185</definedName>
    <definedName name="_15__123Graph_ACHART_3" localSheetId="74" hidden="1">'[22]Employment Data Sectors (wages)'!$A$11:$A$8185</definedName>
    <definedName name="_15__123Graph_ACHART_3" localSheetId="79" hidden="1">'[14]Employment Data Sectors (wages)'!$A$11:$A$8185</definedName>
    <definedName name="_15__123Graph_ACHART_3" localSheetId="80" hidden="1">'[22]Employment Data Sectors (wages)'!$A$11:$A$8185</definedName>
    <definedName name="_15__123Graph_ACHART_3" localSheetId="81" hidden="1">'[22]Employment Data Sectors (wages)'!$A$11:$A$8185</definedName>
    <definedName name="_15__123Graph_ACHART_3" localSheetId="101" hidden="1">'[22]Employment Data Sectors (wages)'!$A$11:$A$8185</definedName>
    <definedName name="_15__123Graph_ACHART_3" localSheetId="108" hidden="1">'[22]Employment Data Sectors (wages)'!$A$11:$A$8185</definedName>
    <definedName name="_15__123Graph_ACHART_3" localSheetId="115" hidden="1">'[22]Employment Data Sectors (wages)'!$A$11:$A$8185</definedName>
    <definedName name="_15__123Graph_ACHART_3" localSheetId="7" hidden="1">'[22]Employment Data Sectors (wages)'!$A$11:$A$8185</definedName>
    <definedName name="_15__123Graph_ACHART_3" localSheetId="8" hidden="1">'[22]Employment Data Sectors (wages)'!$A$11:$A$8185</definedName>
    <definedName name="_15__123Graph_ACHART_3" localSheetId="9" hidden="1">'[22]Employment Data Sectors (wages)'!$A$11:$A$8185</definedName>
    <definedName name="_15__123Graph_ACHART_3" localSheetId="10" hidden="1">'[22]Employment Data Sectors (wages)'!$A$11:$A$8185</definedName>
    <definedName name="_15__123Graph_ACHART_3" localSheetId="19" hidden="1">'[22]Employment Data Sectors (wages)'!$A$11:$A$8185</definedName>
    <definedName name="_15__123Graph_ACHART_3" localSheetId="21" hidden="1">'[22]Employment Data Sectors (wages)'!$A$11:$A$8185</definedName>
    <definedName name="_15__123Graph_ACHART_3" localSheetId="23" hidden="1">'[22]Employment Data Sectors (wages)'!$A$11:$A$8185</definedName>
    <definedName name="_15__123Graph_ACHART_3" localSheetId="24" hidden="1">'[22]Employment Data Sectors (wages)'!$A$11:$A$8185</definedName>
    <definedName name="_15__123Graph_ACHART_3" localSheetId="25" hidden="1">'[14]Employment Data Sectors (wages)'!$A$11:$A$8185</definedName>
    <definedName name="_15__123Graph_ACHART_3" localSheetId="27" hidden="1">'[22]Employment Data Sectors (wages)'!$A$11:$A$8185</definedName>
    <definedName name="_15__123Graph_ACHART_3" localSheetId="30" hidden="1">'[22]Employment Data Sectors (wages)'!$A$11:$A$8185</definedName>
    <definedName name="_15__123Graph_ACHART_3" localSheetId="33" hidden="1">'[22]Employment Data Sectors (wages)'!$A$11:$A$8185</definedName>
    <definedName name="_15__123Graph_ACHART_3" localSheetId="34" hidden="1">'[22]Employment Data Sectors (wages)'!$A$11:$A$8185</definedName>
    <definedName name="_15__123Graph_ACHART_3" localSheetId="35" hidden="1">'[22]Employment Data Sectors (wages)'!$A$11:$A$8185</definedName>
    <definedName name="_15__123Graph_ACHART_3" localSheetId="36" hidden="1">'[22]Employment Data Sectors (wages)'!$A$11:$A$8185</definedName>
    <definedName name="_15__123Graph_ACHART_3" localSheetId="37" hidden="1">'[22]Employment Data Sectors (wages)'!$A$11:$A$8185</definedName>
    <definedName name="_15__123Graph_ACHART_3" localSheetId="38" hidden="1">'[22]Employment Data Sectors (wages)'!$A$11:$A$8185</definedName>
    <definedName name="_15__123Graph_ACHART_3" localSheetId="39" hidden="1">'[22]Employment Data Sectors (wages)'!$A$11:$A$8185</definedName>
    <definedName name="_15__123Graph_ACHART_3" localSheetId="40" hidden="1">'[22]Employment Data Sectors (wages)'!$A$11:$A$8185</definedName>
    <definedName name="_15__123Graph_ACHART_3" hidden="1">'[22]Employment Data Sectors (wages)'!$A$11:$A$8185</definedName>
    <definedName name="_15__123Graph_BCHART_5" localSheetId="55" hidden="1">'[16]Employment Data Sectors (wages)'!$B$24:$B$35</definedName>
    <definedName name="_15__123Graph_BCHART_5" localSheetId="70" hidden="1">'[16]Employment Data Sectors (wages)'!$B$24:$B$35</definedName>
    <definedName name="_15__123Graph_BCHART_5" localSheetId="71" hidden="1">'[17]Employment Data Sectors (wages)'!$B$24:$B$35</definedName>
    <definedName name="_15__123Graph_BCHART_5" localSheetId="72" hidden="1">'[17]Employment Data Sectors (wages)'!$B$24:$B$35</definedName>
    <definedName name="_15__123Graph_BCHART_5" localSheetId="73" hidden="1">'[17]Employment Data Sectors (wages)'!$B$24:$B$35</definedName>
    <definedName name="_15__123Graph_BCHART_5" localSheetId="74" hidden="1">'[17]Employment Data Sectors (wages)'!$B$24:$B$35</definedName>
    <definedName name="_15__123Graph_BCHART_5" localSheetId="79" hidden="1">'[18]Employment Data Sectors (wages)'!$B$24:$B$35</definedName>
    <definedName name="_15__123Graph_BCHART_5" localSheetId="80" hidden="1">'[16]Employment Data Sectors (wages)'!$B$24:$B$35</definedName>
    <definedName name="_15__123Graph_BCHART_5" localSheetId="81" hidden="1">'[16]Employment Data Sectors (wages)'!$B$24:$B$35</definedName>
    <definedName name="_15__123Graph_BCHART_5" localSheetId="101" hidden="1">'[16]Employment Data Sectors (wages)'!$B$24:$B$35</definedName>
    <definedName name="_15__123Graph_BCHART_5" localSheetId="108" hidden="1">'[16]Employment Data Sectors (wages)'!$B$24:$B$35</definedName>
    <definedName name="_15__123Graph_BCHART_5" localSheetId="115" hidden="1">'[17]Employment Data Sectors (wages)'!$B$24:$B$35</definedName>
    <definedName name="_15__123Graph_BCHART_5" localSheetId="7" hidden="1">'[16]Employment Data Sectors (wages)'!$B$24:$B$35</definedName>
    <definedName name="_15__123Graph_BCHART_5" localSheetId="8" hidden="1">'[16]Employment Data Sectors (wages)'!$B$24:$B$35</definedName>
    <definedName name="_15__123Graph_BCHART_5" localSheetId="9" hidden="1">'[16]Employment Data Sectors (wages)'!$B$24:$B$35</definedName>
    <definedName name="_15__123Graph_BCHART_5" localSheetId="10" hidden="1">'[17]Employment Data Sectors (wages)'!$B$24:$B$35</definedName>
    <definedName name="_15__123Graph_BCHART_5" localSheetId="19" hidden="1">'[16]Employment Data Sectors (wages)'!$B$24:$B$35</definedName>
    <definedName name="_15__123Graph_BCHART_5" localSheetId="21" hidden="1">'[16]Employment Data Sectors (wages)'!$B$24:$B$35</definedName>
    <definedName name="_15__123Graph_BCHART_5" localSheetId="23" hidden="1">'[16]Employment Data Sectors (wages)'!$B$24:$B$35</definedName>
    <definedName name="_15__123Graph_BCHART_5" localSheetId="24" hidden="1">'[16]Employment Data Sectors (wages)'!$B$24:$B$35</definedName>
    <definedName name="_15__123Graph_BCHART_5" localSheetId="25" hidden="1">'[16]Employment Data Sectors (wages)'!$B$24:$B$35</definedName>
    <definedName name="_15__123Graph_BCHART_5" localSheetId="27" hidden="1">'[16]Employment Data Sectors (wages)'!$B$24:$B$35</definedName>
    <definedName name="_15__123Graph_BCHART_5" localSheetId="30" hidden="1">'[16]Employment Data Sectors (wages)'!$B$24:$B$35</definedName>
    <definedName name="_15__123Graph_BCHART_5" localSheetId="33" hidden="1">'[16]Employment Data Sectors (wages)'!$B$24:$B$35</definedName>
    <definedName name="_15__123Graph_BCHART_5" localSheetId="34" hidden="1">'[17]Employment Data Sectors (wages)'!$B$24:$B$35</definedName>
    <definedName name="_15__123Graph_BCHART_5" localSheetId="35" hidden="1">'[17]Employment Data Sectors (wages)'!$B$24:$B$35</definedName>
    <definedName name="_15__123Graph_BCHART_5" localSheetId="36" hidden="1">'[17]Employment Data Sectors (wages)'!$B$24:$B$35</definedName>
    <definedName name="_15__123Graph_BCHART_5" localSheetId="37" hidden="1">'[17]Employment Data Sectors (wages)'!$B$24:$B$35</definedName>
    <definedName name="_15__123Graph_BCHART_5" localSheetId="38" hidden="1">'[17]Employment Data Sectors (wages)'!$B$24:$B$35</definedName>
    <definedName name="_15__123Graph_BCHART_5" localSheetId="39" hidden="1">'[16]Employment Data Sectors (wages)'!$B$24:$B$35</definedName>
    <definedName name="_15__123Graph_BCHART_5" localSheetId="40" hidden="1">'[16]Employment Data Sectors (wages)'!$B$24:$B$35</definedName>
    <definedName name="_15__123Graph_BCHART_5" hidden="1">'[17]Employment Data Sectors (wages)'!$B$24:$B$35</definedName>
    <definedName name="_15__123Graph_BCHART_6" localSheetId="55" hidden="1">'[19]Employment Data Sectors (wages)'!$AS$49:$AS$8103</definedName>
    <definedName name="_15__123Graph_BCHART_6" localSheetId="71" hidden="1">'[20]Employment Data Sectors (wages)'!$AS$49:$AS$8103</definedName>
    <definedName name="_15__123Graph_BCHART_6" localSheetId="72" hidden="1">'[20]Employment Data Sectors (wages)'!$AS$49:$AS$8103</definedName>
    <definedName name="_15__123Graph_BCHART_6" localSheetId="73" hidden="1">'[20]Employment Data Sectors (wages)'!$AS$49:$AS$8103</definedName>
    <definedName name="_15__123Graph_BCHART_6" localSheetId="74" hidden="1">'[20]Employment Data Sectors (wages)'!$AS$49:$AS$8103</definedName>
    <definedName name="_15__123Graph_BCHART_6" localSheetId="79" hidden="1">'[19]Employment Data Sectors (wages)'!$AS$49:$AS$8103</definedName>
    <definedName name="_15__123Graph_BCHART_6" localSheetId="115" hidden="1">'[20]Employment Data Sectors (wages)'!$AS$49:$AS$8103</definedName>
    <definedName name="_15__123Graph_BCHART_6" localSheetId="10" hidden="1">'[20]Employment Data Sectors (wages)'!$AS$49:$AS$8103</definedName>
    <definedName name="_15__123Graph_BCHART_6" localSheetId="23" hidden="1">'[20]Employment Data Sectors (wages)'!$AS$49:$AS$8103</definedName>
    <definedName name="_15__123Graph_BCHART_6" localSheetId="34" hidden="1">'[20]Employment Data Sectors (wages)'!$AS$49:$AS$8103</definedName>
    <definedName name="_15__123Graph_BCHART_6" localSheetId="35" hidden="1">'[20]Employment Data Sectors (wages)'!$AS$49:$AS$8103</definedName>
    <definedName name="_15__123Graph_BCHART_6" localSheetId="36" hidden="1">'[20]Employment Data Sectors (wages)'!$AS$49:$AS$8103</definedName>
    <definedName name="_15__123Graph_BCHART_6" localSheetId="37" hidden="1">'[20]Employment Data Sectors (wages)'!$AS$49:$AS$8103</definedName>
    <definedName name="_15__123Graph_BCHART_6" localSheetId="38" hidden="1">'[20]Employment Data Sectors (wages)'!$AS$49:$AS$8103</definedName>
    <definedName name="_15__123Graph_BCHART_6" hidden="1">'[20]Employment Data Sectors (wages)'!$AS$49:$AS$8103</definedName>
    <definedName name="_150__123Graph_DCHART_8" hidden="1">'[14]Employment Data Sectors (wages)'!$W$26:$W$37</definedName>
    <definedName name="_153__123Graph_FCHART_8" localSheetId="70" hidden="1">'[21]Employment Data Sectors (wages)'!$H$6:$H$17</definedName>
    <definedName name="_153__123Graph_FCHART_8" localSheetId="71" hidden="1">'[21]Employment Data Sectors (wages)'!$H$6:$H$17</definedName>
    <definedName name="_153__123Graph_FCHART_8" localSheetId="72" hidden="1">'[21]Employment Data Sectors (wages)'!$H$6:$H$17</definedName>
    <definedName name="_153__123Graph_FCHART_8" localSheetId="73" hidden="1">'[21]Employment Data Sectors (wages)'!$H$6:$H$17</definedName>
    <definedName name="_153__123Graph_FCHART_8" localSheetId="74" hidden="1">'[21]Employment Data Sectors (wages)'!$H$6:$H$17</definedName>
    <definedName name="_153__123Graph_FCHART_8" localSheetId="79" hidden="1">'[14]Employment Data Sectors (wages)'!$H$6:$H$17</definedName>
    <definedName name="_153__123Graph_FCHART_8" localSheetId="80" hidden="1">'[21]Employment Data Sectors (wages)'!$H$6:$H$17</definedName>
    <definedName name="_153__123Graph_FCHART_8" localSheetId="81" hidden="1">'[21]Employment Data Sectors (wages)'!$H$6:$H$17</definedName>
    <definedName name="_153__123Graph_FCHART_8" localSheetId="101" hidden="1">'[21]Employment Data Sectors (wages)'!$H$6:$H$17</definedName>
    <definedName name="_153__123Graph_FCHART_8" localSheetId="108" hidden="1">'[21]Employment Data Sectors (wages)'!$H$6:$H$17</definedName>
    <definedName name="_153__123Graph_FCHART_8" localSheetId="115" hidden="1">'[21]Employment Data Sectors (wages)'!$H$6:$H$17</definedName>
    <definedName name="_153__123Graph_FCHART_8" localSheetId="7" hidden="1">'[21]Employment Data Sectors (wages)'!$H$6:$H$17</definedName>
    <definedName name="_153__123Graph_FCHART_8" localSheetId="8" hidden="1">'[21]Employment Data Sectors (wages)'!$H$6:$H$17</definedName>
    <definedName name="_153__123Graph_FCHART_8" localSheetId="9" hidden="1">'[21]Employment Data Sectors (wages)'!$H$6:$H$17</definedName>
    <definedName name="_153__123Graph_FCHART_8" localSheetId="10" hidden="1">'[21]Employment Data Sectors (wages)'!$H$6:$H$17</definedName>
    <definedName name="_153__123Graph_FCHART_8" localSheetId="19" hidden="1">'[21]Employment Data Sectors (wages)'!$H$6:$H$17</definedName>
    <definedName name="_153__123Graph_FCHART_8" localSheetId="21" hidden="1">'[21]Employment Data Sectors (wages)'!$H$6:$H$17</definedName>
    <definedName name="_153__123Graph_FCHART_8" localSheetId="23" hidden="1">'[21]Employment Data Sectors (wages)'!$H$6:$H$17</definedName>
    <definedName name="_153__123Graph_FCHART_8" localSheetId="24" hidden="1">'[21]Employment Data Sectors (wages)'!$H$6:$H$17</definedName>
    <definedName name="_153__123Graph_FCHART_8" localSheetId="25" hidden="1">'[21]Employment Data Sectors (wages)'!$H$6:$H$17</definedName>
    <definedName name="_153__123Graph_FCHART_8" localSheetId="27" hidden="1">'[21]Employment Data Sectors (wages)'!$H$6:$H$17</definedName>
    <definedName name="_153__123Graph_FCHART_8" localSheetId="30" hidden="1">'[21]Employment Data Sectors (wages)'!$H$6:$H$17</definedName>
    <definedName name="_153__123Graph_FCHART_8" localSheetId="33" hidden="1">'[21]Employment Data Sectors (wages)'!$H$6:$H$17</definedName>
    <definedName name="_153__123Graph_FCHART_8" localSheetId="34" hidden="1">'[21]Employment Data Sectors (wages)'!$H$6:$H$17</definedName>
    <definedName name="_153__123Graph_FCHART_8" localSheetId="35" hidden="1">'[21]Employment Data Sectors (wages)'!$H$6:$H$17</definedName>
    <definedName name="_153__123Graph_FCHART_8" localSheetId="36" hidden="1">'[21]Employment Data Sectors (wages)'!$H$6:$H$17</definedName>
    <definedName name="_153__123Graph_FCHART_8" localSheetId="37" hidden="1">'[21]Employment Data Sectors (wages)'!$H$6:$H$17</definedName>
    <definedName name="_153__123Graph_FCHART_8" localSheetId="38" hidden="1">'[21]Employment Data Sectors (wages)'!$H$6:$H$17</definedName>
    <definedName name="_153__123Graph_FCHART_8" localSheetId="39" hidden="1">'[21]Employment Data Sectors (wages)'!$H$6:$H$17</definedName>
    <definedName name="_153__123Graph_FCHART_8" localSheetId="40" hidden="1">'[21]Employment Data Sectors (wages)'!$H$6:$H$17</definedName>
    <definedName name="_153__123Graph_FCHART_8" hidden="1">'[21]Employment Data Sectors (wages)'!$H$6:$H$17</definedName>
    <definedName name="_155__123Graph_ECHART_7" hidden="1">'[14]Employment Data Sectors (wages)'!$Y$38:$Y$49</definedName>
    <definedName name="_16__123Graph_ACHART_3" hidden="1">'[14]Employment Data Sectors (wages)'!$A$11:$A$8185</definedName>
    <definedName name="_16__123Graph_ACHART_5" hidden="1">'[15]Employment Data Sectors (wages)'!$A$24:$A$35</definedName>
    <definedName name="_16__123Graph_BCHART_6" localSheetId="55" hidden="1">'[16]Employment Data Sectors (wages)'!$AS$49:$AS$8103</definedName>
    <definedName name="_16__123Graph_BCHART_6" localSheetId="70" hidden="1">'[16]Employment Data Sectors (wages)'!$AS$49:$AS$8103</definedName>
    <definedName name="_16__123Graph_BCHART_6" localSheetId="71" hidden="1">'[17]Employment Data Sectors (wages)'!$AS$49:$AS$8103</definedName>
    <definedName name="_16__123Graph_BCHART_6" localSheetId="72" hidden="1">'[17]Employment Data Sectors (wages)'!$AS$49:$AS$8103</definedName>
    <definedName name="_16__123Graph_BCHART_6" localSheetId="73" hidden="1">'[17]Employment Data Sectors (wages)'!$AS$49:$AS$8103</definedName>
    <definedName name="_16__123Graph_BCHART_6" localSheetId="74" hidden="1">'[17]Employment Data Sectors (wages)'!$AS$49:$AS$8103</definedName>
    <definedName name="_16__123Graph_BCHART_6" localSheetId="79" hidden="1">'[18]Employment Data Sectors (wages)'!$AS$49:$AS$8103</definedName>
    <definedName name="_16__123Graph_BCHART_6" localSheetId="80" hidden="1">'[16]Employment Data Sectors (wages)'!$AS$49:$AS$8103</definedName>
    <definedName name="_16__123Graph_BCHART_6" localSheetId="81" hidden="1">'[16]Employment Data Sectors (wages)'!$AS$49:$AS$8103</definedName>
    <definedName name="_16__123Graph_BCHART_6" localSheetId="101" hidden="1">'[16]Employment Data Sectors (wages)'!$AS$49:$AS$8103</definedName>
    <definedName name="_16__123Graph_BCHART_6" localSheetId="108" hidden="1">'[16]Employment Data Sectors (wages)'!$AS$49:$AS$8103</definedName>
    <definedName name="_16__123Graph_BCHART_6" localSheetId="115" hidden="1">'[17]Employment Data Sectors (wages)'!$AS$49:$AS$8103</definedName>
    <definedName name="_16__123Graph_BCHART_6" localSheetId="7" hidden="1">'[16]Employment Data Sectors (wages)'!$AS$49:$AS$8103</definedName>
    <definedName name="_16__123Graph_BCHART_6" localSheetId="8" hidden="1">'[16]Employment Data Sectors (wages)'!$AS$49:$AS$8103</definedName>
    <definedName name="_16__123Graph_BCHART_6" localSheetId="9" hidden="1">'[16]Employment Data Sectors (wages)'!$AS$49:$AS$8103</definedName>
    <definedName name="_16__123Graph_BCHART_6" localSheetId="10" hidden="1">'[17]Employment Data Sectors (wages)'!$AS$49:$AS$8103</definedName>
    <definedName name="_16__123Graph_BCHART_6" localSheetId="19" hidden="1">'[16]Employment Data Sectors (wages)'!$AS$49:$AS$8103</definedName>
    <definedName name="_16__123Graph_BCHART_6" localSheetId="21" hidden="1">'[16]Employment Data Sectors (wages)'!$AS$49:$AS$8103</definedName>
    <definedName name="_16__123Graph_BCHART_6" localSheetId="23" hidden="1">'[16]Employment Data Sectors (wages)'!$AS$49:$AS$8103</definedName>
    <definedName name="_16__123Graph_BCHART_6" localSheetId="24" hidden="1">'[16]Employment Data Sectors (wages)'!$AS$49:$AS$8103</definedName>
    <definedName name="_16__123Graph_BCHART_6" localSheetId="25" hidden="1">'[16]Employment Data Sectors (wages)'!$AS$49:$AS$8103</definedName>
    <definedName name="_16__123Graph_BCHART_6" localSheetId="27" hidden="1">'[16]Employment Data Sectors (wages)'!$AS$49:$AS$8103</definedName>
    <definedName name="_16__123Graph_BCHART_6" localSheetId="30" hidden="1">'[16]Employment Data Sectors (wages)'!$AS$49:$AS$8103</definedName>
    <definedName name="_16__123Graph_BCHART_6" localSheetId="33" hidden="1">'[16]Employment Data Sectors (wages)'!$AS$49:$AS$8103</definedName>
    <definedName name="_16__123Graph_BCHART_6" localSheetId="34" hidden="1">'[17]Employment Data Sectors (wages)'!$AS$49:$AS$8103</definedName>
    <definedName name="_16__123Graph_BCHART_6" localSheetId="35" hidden="1">'[17]Employment Data Sectors (wages)'!$AS$49:$AS$8103</definedName>
    <definedName name="_16__123Graph_BCHART_6" localSheetId="36" hidden="1">'[17]Employment Data Sectors (wages)'!$AS$49:$AS$8103</definedName>
    <definedName name="_16__123Graph_BCHART_6" localSheetId="37" hidden="1">'[17]Employment Data Sectors (wages)'!$AS$49:$AS$8103</definedName>
    <definedName name="_16__123Graph_BCHART_6" localSheetId="38" hidden="1">'[17]Employment Data Sectors (wages)'!$AS$49:$AS$8103</definedName>
    <definedName name="_16__123Graph_BCHART_6" localSheetId="39" hidden="1">'[16]Employment Data Sectors (wages)'!$AS$49:$AS$8103</definedName>
    <definedName name="_16__123Graph_BCHART_6" localSheetId="40" hidden="1">'[16]Employment Data Sectors (wages)'!$AS$49:$AS$8103</definedName>
    <definedName name="_16__123Graph_BCHART_6" hidden="1">'[17]Employment Data Sectors (wages)'!$AS$49:$AS$8103</definedName>
    <definedName name="_16__123Graph_BCHART_7" localSheetId="55" hidden="1">'[19]Employment Data Sectors (wages)'!$Y$13:$Y$8187</definedName>
    <definedName name="_16__123Graph_BCHART_7" localSheetId="71" hidden="1">'[20]Employment Data Sectors (wages)'!$Y$13:$Y$8187</definedName>
    <definedName name="_16__123Graph_BCHART_7" localSheetId="72" hidden="1">'[20]Employment Data Sectors (wages)'!$Y$13:$Y$8187</definedName>
    <definedName name="_16__123Graph_BCHART_7" localSheetId="73" hidden="1">'[20]Employment Data Sectors (wages)'!$Y$13:$Y$8187</definedName>
    <definedName name="_16__123Graph_BCHART_7" localSheetId="74" hidden="1">'[20]Employment Data Sectors (wages)'!$Y$13:$Y$8187</definedName>
    <definedName name="_16__123Graph_BCHART_7" localSheetId="79" hidden="1">'[19]Employment Data Sectors (wages)'!$Y$13:$Y$8187</definedName>
    <definedName name="_16__123Graph_BCHART_7" localSheetId="115" hidden="1">'[20]Employment Data Sectors (wages)'!$Y$13:$Y$8187</definedName>
    <definedName name="_16__123Graph_BCHART_7" localSheetId="10" hidden="1">'[20]Employment Data Sectors (wages)'!$Y$13:$Y$8187</definedName>
    <definedName name="_16__123Graph_BCHART_7" localSheetId="23" hidden="1">'[20]Employment Data Sectors (wages)'!$Y$13:$Y$8187</definedName>
    <definedName name="_16__123Graph_BCHART_7" localSheetId="34" hidden="1">'[20]Employment Data Sectors (wages)'!$Y$13:$Y$8187</definedName>
    <definedName name="_16__123Graph_BCHART_7" localSheetId="35" hidden="1">'[20]Employment Data Sectors (wages)'!$Y$13:$Y$8187</definedName>
    <definedName name="_16__123Graph_BCHART_7" localSheetId="36" hidden="1">'[20]Employment Data Sectors (wages)'!$Y$13:$Y$8187</definedName>
    <definedName name="_16__123Graph_BCHART_7" localSheetId="37" hidden="1">'[20]Employment Data Sectors (wages)'!$Y$13:$Y$8187</definedName>
    <definedName name="_16__123Graph_BCHART_7" localSheetId="38" hidden="1">'[20]Employment Data Sectors (wages)'!$Y$13:$Y$8187</definedName>
    <definedName name="_16__123Graph_BCHART_7" hidden="1">'[20]Employment Data Sectors (wages)'!$Y$13:$Y$8187</definedName>
    <definedName name="_160__123Graph_ECHART_8" hidden="1">'[14]Employment Data Sectors (wages)'!$H$86:$H$99</definedName>
    <definedName name="_165__123Graph_FCHART_8" hidden="1">'[14]Employment Data Sectors (wages)'!$H$6:$H$17</definedName>
    <definedName name="_17__123Graph_BCHART_7" localSheetId="55" hidden="1">'[16]Employment Data Sectors (wages)'!$Y$13:$Y$8187</definedName>
    <definedName name="_17__123Graph_BCHART_7" localSheetId="70" hidden="1">'[16]Employment Data Sectors (wages)'!$Y$13:$Y$8187</definedName>
    <definedName name="_17__123Graph_BCHART_7" localSheetId="71" hidden="1">'[17]Employment Data Sectors (wages)'!$Y$13:$Y$8187</definedName>
    <definedName name="_17__123Graph_BCHART_7" localSheetId="72" hidden="1">'[17]Employment Data Sectors (wages)'!$Y$13:$Y$8187</definedName>
    <definedName name="_17__123Graph_BCHART_7" localSheetId="73" hidden="1">'[17]Employment Data Sectors (wages)'!$Y$13:$Y$8187</definedName>
    <definedName name="_17__123Graph_BCHART_7" localSheetId="74" hidden="1">'[17]Employment Data Sectors (wages)'!$Y$13:$Y$8187</definedName>
    <definedName name="_17__123Graph_BCHART_7" localSheetId="79" hidden="1">'[18]Employment Data Sectors (wages)'!$Y$13:$Y$8187</definedName>
    <definedName name="_17__123Graph_BCHART_7" localSheetId="80" hidden="1">'[16]Employment Data Sectors (wages)'!$Y$13:$Y$8187</definedName>
    <definedName name="_17__123Graph_BCHART_7" localSheetId="81" hidden="1">'[16]Employment Data Sectors (wages)'!$Y$13:$Y$8187</definedName>
    <definedName name="_17__123Graph_BCHART_7" localSheetId="101" hidden="1">'[16]Employment Data Sectors (wages)'!$Y$13:$Y$8187</definedName>
    <definedName name="_17__123Graph_BCHART_7" localSheetId="108" hidden="1">'[16]Employment Data Sectors (wages)'!$Y$13:$Y$8187</definedName>
    <definedName name="_17__123Graph_BCHART_7" localSheetId="115" hidden="1">'[17]Employment Data Sectors (wages)'!$Y$13:$Y$8187</definedName>
    <definedName name="_17__123Graph_BCHART_7" localSheetId="7" hidden="1">'[16]Employment Data Sectors (wages)'!$Y$13:$Y$8187</definedName>
    <definedName name="_17__123Graph_BCHART_7" localSheetId="8" hidden="1">'[16]Employment Data Sectors (wages)'!$Y$13:$Y$8187</definedName>
    <definedName name="_17__123Graph_BCHART_7" localSheetId="9" hidden="1">'[16]Employment Data Sectors (wages)'!$Y$13:$Y$8187</definedName>
    <definedName name="_17__123Graph_BCHART_7" localSheetId="10" hidden="1">'[17]Employment Data Sectors (wages)'!$Y$13:$Y$8187</definedName>
    <definedName name="_17__123Graph_BCHART_7" localSheetId="19" hidden="1">'[16]Employment Data Sectors (wages)'!$Y$13:$Y$8187</definedName>
    <definedName name="_17__123Graph_BCHART_7" localSheetId="21" hidden="1">'[16]Employment Data Sectors (wages)'!$Y$13:$Y$8187</definedName>
    <definedName name="_17__123Graph_BCHART_7" localSheetId="23" hidden="1">'[16]Employment Data Sectors (wages)'!$Y$13:$Y$8187</definedName>
    <definedName name="_17__123Graph_BCHART_7" localSheetId="24" hidden="1">'[16]Employment Data Sectors (wages)'!$Y$13:$Y$8187</definedName>
    <definedName name="_17__123Graph_BCHART_7" localSheetId="25" hidden="1">'[16]Employment Data Sectors (wages)'!$Y$13:$Y$8187</definedName>
    <definedName name="_17__123Graph_BCHART_7" localSheetId="27" hidden="1">'[16]Employment Data Sectors (wages)'!$Y$13:$Y$8187</definedName>
    <definedName name="_17__123Graph_BCHART_7" localSheetId="30" hidden="1">'[16]Employment Data Sectors (wages)'!$Y$13:$Y$8187</definedName>
    <definedName name="_17__123Graph_BCHART_7" localSheetId="33" hidden="1">'[16]Employment Data Sectors (wages)'!$Y$13:$Y$8187</definedName>
    <definedName name="_17__123Graph_BCHART_7" localSheetId="34" hidden="1">'[17]Employment Data Sectors (wages)'!$Y$13:$Y$8187</definedName>
    <definedName name="_17__123Graph_BCHART_7" localSheetId="35" hidden="1">'[17]Employment Data Sectors (wages)'!$Y$13:$Y$8187</definedName>
    <definedName name="_17__123Graph_BCHART_7" localSheetId="36" hidden="1">'[17]Employment Data Sectors (wages)'!$Y$13:$Y$8187</definedName>
    <definedName name="_17__123Graph_BCHART_7" localSheetId="37" hidden="1">'[17]Employment Data Sectors (wages)'!$Y$13:$Y$8187</definedName>
    <definedName name="_17__123Graph_BCHART_7" localSheetId="38" hidden="1">'[17]Employment Data Sectors (wages)'!$Y$13:$Y$8187</definedName>
    <definedName name="_17__123Graph_BCHART_7" localSheetId="39" hidden="1">'[16]Employment Data Sectors (wages)'!$Y$13:$Y$8187</definedName>
    <definedName name="_17__123Graph_BCHART_7" localSheetId="40" hidden="1">'[16]Employment Data Sectors (wages)'!$Y$13:$Y$8187</definedName>
    <definedName name="_17__123Graph_BCHART_7" hidden="1">'[17]Employment Data Sectors (wages)'!$Y$13:$Y$8187</definedName>
    <definedName name="_17__123Graph_BCHART_8" localSheetId="55" hidden="1">'[19]Employment Data Sectors (wages)'!$W$13:$W$8187</definedName>
    <definedName name="_17__123Graph_BCHART_8" localSheetId="71" hidden="1">'[20]Employment Data Sectors (wages)'!$W$13:$W$8187</definedName>
    <definedName name="_17__123Graph_BCHART_8" localSheetId="72" hidden="1">'[20]Employment Data Sectors (wages)'!$W$13:$W$8187</definedName>
    <definedName name="_17__123Graph_BCHART_8" localSheetId="73" hidden="1">'[20]Employment Data Sectors (wages)'!$W$13:$W$8187</definedName>
    <definedName name="_17__123Graph_BCHART_8" localSheetId="74" hidden="1">'[20]Employment Data Sectors (wages)'!$W$13:$W$8187</definedName>
    <definedName name="_17__123Graph_BCHART_8" localSheetId="79" hidden="1">'[19]Employment Data Sectors (wages)'!$W$13:$W$8187</definedName>
    <definedName name="_17__123Graph_BCHART_8" localSheetId="115" hidden="1">'[20]Employment Data Sectors (wages)'!$W$13:$W$8187</definedName>
    <definedName name="_17__123Graph_BCHART_8" localSheetId="10" hidden="1">'[20]Employment Data Sectors (wages)'!$W$13:$W$8187</definedName>
    <definedName name="_17__123Graph_BCHART_8" localSheetId="23" hidden="1">'[20]Employment Data Sectors (wages)'!$W$13:$W$8187</definedName>
    <definedName name="_17__123Graph_BCHART_8" localSheetId="34" hidden="1">'[20]Employment Data Sectors (wages)'!$W$13:$W$8187</definedName>
    <definedName name="_17__123Graph_BCHART_8" localSheetId="35" hidden="1">'[20]Employment Data Sectors (wages)'!$W$13:$W$8187</definedName>
    <definedName name="_17__123Graph_BCHART_8" localSheetId="36" hidden="1">'[20]Employment Data Sectors (wages)'!$W$13:$W$8187</definedName>
    <definedName name="_17__123Graph_BCHART_8" localSheetId="37" hidden="1">'[20]Employment Data Sectors (wages)'!$W$13:$W$8187</definedName>
    <definedName name="_17__123Graph_BCHART_8" localSheetId="38" hidden="1">'[20]Employment Data Sectors (wages)'!$W$13:$W$8187</definedName>
    <definedName name="_17__123Graph_BCHART_8" hidden="1">'[20]Employment Data Sectors (wages)'!$W$13:$W$8187</definedName>
    <definedName name="_18__123Graph_ACHART_2" localSheetId="70" hidden="1">'[21]Employment Data Sectors (wages)'!$A$8173:$A$8184</definedName>
    <definedName name="_18__123Graph_ACHART_2" localSheetId="71" hidden="1">'[21]Employment Data Sectors (wages)'!$A$8173:$A$8184</definedName>
    <definedName name="_18__123Graph_ACHART_2" localSheetId="72" hidden="1">'[21]Employment Data Sectors (wages)'!$A$8173:$A$8184</definedName>
    <definedName name="_18__123Graph_ACHART_2" localSheetId="73" hidden="1">'[21]Employment Data Sectors (wages)'!$A$8173:$A$8184</definedName>
    <definedName name="_18__123Graph_ACHART_2" localSheetId="74" hidden="1">'[21]Employment Data Sectors (wages)'!$A$8173:$A$8184</definedName>
    <definedName name="_18__123Graph_ACHART_2" localSheetId="79" hidden="1">'[14]Employment Data Sectors (wages)'!$A$8173:$A$8184</definedName>
    <definedName name="_18__123Graph_ACHART_2" localSheetId="80" hidden="1">'[21]Employment Data Sectors (wages)'!$A$8173:$A$8184</definedName>
    <definedName name="_18__123Graph_ACHART_2" localSheetId="81" hidden="1">'[21]Employment Data Sectors (wages)'!$A$8173:$A$8184</definedName>
    <definedName name="_18__123Graph_ACHART_2" localSheetId="101" hidden="1">'[21]Employment Data Sectors (wages)'!$A$8173:$A$8184</definedName>
    <definedName name="_18__123Graph_ACHART_2" localSheetId="108" hidden="1">'[21]Employment Data Sectors (wages)'!$A$8173:$A$8184</definedName>
    <definedName name="_18__123Graph_ACHART_2" localSheetId="115" hidden="1">'[21]Employment Data Sectors (wages)'!$A$8173:$A$8184</definedName>
    <definedName name="_18__123Graph_ACHART_2" localSheetId="7" hidden="1">'[21]Employment Data Sectors (wages)'!$A$8173:$A$8184</definedName>
    <definedName name="_18__123Graph_ACHART_2" localSheetId="8" hidden="1">'[21]Employment Data Sectors (wages)'!$A$8173:$A$8184</definedName>
    <definedName name="_18__123Graph_ACHART_2" localSheetId="9" hidden="1">'[21]Employment Data Sectors (wages)'!$A$8173:$A$8184</definedName>
    <definedName name="_18__123Graph_ACHART_2" localSheetId="10" hidden="1">'[21]Employment Data Sectors (wages)'!$A$8173:$A$8184</definedName>
    <definedName name="_18__123Graph_ACHART_2" localSheetId="19" hidden="1">'[21]Employment Data Sectors (wages)'!$A$8173:$A$8184</definedName>
    <definedName name="_18__123Graph_ACHART_2" localSheetId="21" hidden="1">'[21]Employment Data Sectors (wages)'!$A$8173:$A$8184</definedName>
    <definedName name="_18__123Graph_ACHART_2" localSheetId="23" hidden="1">'[21]Employment Data Sectors (wages)'!$A$8173:$A$8184</definedName>
    <definedName name="_18__123Graph_ACHART_2" localSheetId="24" hidden="1">'[21]Employment Data Sectors (wages)'!$A$8173:$A$8184</definedName>
    <definedName name="_18__123Graph_ACHART_2" localSheetId="25" hidden="1">'[21]Employment Data Sectors (wages)'!$A$8173:$A$8184</definedName>
    <definedName name="_18__123Graph_ACHART_2" localSheetId="27" hidden="1">'[21]Employment Data Sectors (wages)'!$A$8173:$A$8184</definedName>
    <definedName name="_18__123Graph_ACHART_2" localSheetId="30" hidden="1">'[21]Employment Data Sectors (wages)'!$A$8173:$A$8184</definedName>
    <definedName name="_18__123Graph_ACHART_2" localSheetId="33" hidden="1">'[21]Employment Data Sectors (wages)'!$A$8173:$A$8184</definedName>
    <definedName name="_18__123Graph_ACHART_2" localSheetId="34" hidden="1">'[21]Employment Data Sectors (wages)'!$A$8173:$A$8184</definedName>
    <definedName name="_18__123Graph_ACHART_2" localSheetId="35" hidden="1">'[21]Employment Data Sectors (wages)'!$A$8173:$A$8184</definedName>
    <definedName name="_18__123Graph_ACHART_2" localSheetId="36" hidden="1">'[21]Employment Data Sectors (wages)'!$A$8173:$A$8184</definedName>
    <definedName name="_18__123Graph_ACHART_2" localSheetId="37" hidden="1">'[21]Employment Data Sectors (wages)'!$A$8173:$A$8184</definedName>
    <definedName name="_18__123Graph_ACHART_2" localSheetId="38" hidden="1">'[21]Employment Data Sectors (wages)'!$A$8173:$A$8184</definedName>
    <definedName name="_18__123Graph_ACHART_2" localSheetId="39" hidden="1">'[21]Employment Data Sectors (wages)'!$A$8173:$A$8184</definedName>
    <definedName name="_18__123Graph_ACHART_2" localSheetId="40" hidden="1">'[21]Employment Data Sectors (wages)'!$A$8173:$A$8184</definedName>
    <definedName name="_18__123Graph_ACHART_2" hidden="1">'[21]Employment Data Sectors (wages)'!$A$8173:$A$8184</definedName>
    <definedName name="_18__123Graph_ACHART_4" localSheetId="70" hidden="1">'[22]Employment Data Sectors (wages)'!$A$12:$A$23</definedName>
    <definedName name="_18__123Graph_ACHART_4" localSheetId="71" hidden="1">'[22]Employment Data Sectors (wages)'!$A$12:$A$23</definedName>
    <definedName name="_18__123Graph_ACHART_4" localSheetId="72" hidden="1">'[22]Employment Data Sectors (wages)'!$A$12:$A$23</definedName>
    <definedName name="_18__123Graph_ACHART_4" localSheetId="73" hidden="1">'[22]Employment Data Sectors (wages)'!$A$12:$A$23</definedName>
    <definedName name="_18__123Graph_ACHART_4" localSheetId="74" hidden="1">'[22]Employment Data Sectors (wages)'!$A$12:$A$23</definedName>
    <definedName name="_18__123Graph_ACHART_4" localSheetId="79" hidden="1">'[14]Employment Data Sectors (wages)'!$A$12:$A$23</definedName>
    <definedName name="_18__123Graph_ACHART_4" localSheetId="80" hidden="1">'[22]Employment Data Sectors (wages)'!$A$12:$A$23</definedName>
    <definedName name="_18__123Graph_ACHART_4" localSheetId="81" hidden="1">'[22]Employment Data Sectors (wages)'!$A$12:$A$23</definedName>
    <definedName name="_18__123Graph_ACHART_4" localSheetId="101" hidden="1">'[22]Employment Data Sectors (wages)'!$A$12:$A$23</definedName>
    <definedName name="_18__123Graph_ACHART_4" localSheetId="108" hidden="1">'[22]Employment Data Sectors (wages)'!$A$12:$A$23</definedName>
    <definedName name="_18__123Graph_ACHART_4" localSheetId="115" hidden="1">'[22]Employment Data Sectors (wages)'!$A$12:$A$23</definedName>
    <definedName name="_18__123Graph_ACHART_4" localSheetId="7" hidden="1">'[22]Employment Data Sectors (wages)'!$A$12:$A$23</definedName>
    <definedName name="_18__123Graph_ACHART_4" localSheetId="8" hidden="1">'[22]Employment Data Sectors (wages)'!$A$12:$A$23</definedName>
    <definedName name="_18__123Graph_ACHART_4" localSheetId="9" hidden="1">'[22]Employment Data Sectors (wages)'!$A$12:$A$23</definedName>
    <definedName name="_18__123Graph_ACHART_4" localSheetId="10" hidden="1">'[22]Employment Data Sectors (wages)'!$A$12:$A$23</definedName>
    <definedName name="_18__123Graph_ACHART_4" localSheetId="19" hidden="1">'[22]Employment Data Sectors (wages)'!$A$12:$A$23</definedName>
    <definedName name="_18__123Graph_ACHART_4" localSheetId="21" hidden="1">'[22]Employment Data Sectors (wages)'!$A$12:$A$23</definedName>
    <definedName name="_18__123Graph_ACHART_4" localSheetId="23" hidden="1">'[22]Employment Data Sectors (wages)'!$A$12:$A$23</definedName>
    <definedName name="_18__123Graph_ACHART_4" localSheetId="24" hidden="1">'[22]Employment Data Sectors (wages)'!$A$12:$A$23</definedName>
    <definedName name="_18__123Graph_ACHART_4" localSheetId="25" hidden="1">'[14]Employment Data Sectors (wages)'!$A$12:$A$23</definedName>
    <definedName name="_18__123Graph_ACHART_4" localSheetId="27" hidden="1">'[22]Employment Data Sectors (wages)'!$A$12:$A$23</definedName>
    <definedName name="_18__123Graph_ACHART_4" localSheetId="30" hidden="1">'[22]Employment Data Sectors (wages)'!$A$12:$A$23</definedName>
    <definedName name="_18__123Graph_ACHART_4" localSheetId="33" hidden="1">'[22]Employment Data Sectors (wages)'!$A$12:$A$23</definedName>
    <definedName name="_18__123Graph_ACHART_4" localSheetId="34" hidden="1">'[22]Employment Data Sectors (wages)'!$A$12:$A$23</definedName>
    <definedName name="_18__123Graph_ACHART_4" localSheetId="35" hidden="1">'[22]Employment Data Sectors (wages)'!$A$12:$A$23</definedName>
    <definedName name="_18__123Graph_ACHART_4" localSheetId="36" hidden="1">'[22]Employment Data Sectors (wages)'!$A$12:$A$23</definedName>
    <definedName name="_18__123Graph_ACHART_4" localSheetId="37" hidden="1">'[22]Employment Data Sectors (wages)'!$A$12:$A$23</definedName>
    <definedName name="_18__123Graph_ACHART_4" localSheetId="38" hidden="1">'[22]Employment Data Sectors (wages)'!$A$12:$A$23</definedName>
    <definedName name="_18__123Graph_ACHART_4" localSheetId="39" hidden="1">'[22]Employment Data Sectors (wages)'!$A$12:$A$23</definedName>
    <definedName name="_18__123Graph_ACHART_4" localSheetId="40" hidden="1">'[22]Employment Data Sectors (wages)'!$A$12:$A$23</definedName>
    <definedName name="_18__123Graph_ACHART_4" hidden="1">'[22]Employment Data Sectors (wages)'!$A$12:$A$23</definedName>
    <definedName name="_18__123Graph_ACHART_6" hidden="1">'[15]Employment Data Sectors (wages)'!$Y$49:$Y$8103</definedName>
    <definedName name="_18__123Graph_BCHART_8" localSheetId="55" hidden="1">'[16]Employment Data Sectors (wages)'!$W$13:$W$8187</definedName>
    <definedName name="_18__123Graph_BCHART_8" localSheetId="70" hidden="1">'[16]Employment Data Sectors (wages)'!$W$13:$W$8187</definedName>
    <definedName name="_18__123Graph_BCHART_8" localSheetId="71" hidden="1">'[17]Employment Data Sectors (wages)'!$W$13:$W$8187</definedName>
    <definedName name="_18__123Graph_BCHART_8" localSheetId="72" hidden="1">'[17]Employment Data Sectors (wages)'!$W$13:$W$8187</definedName>
    <definedName name="_18__123Graph_BCHART_8" localSheetId="73" hidden="1">'[17]Employment Data Sectors (wages)'!$W$13:$W$8187</definedName>
    <definedName name="_18__123Graph_BCHART_8" localSheetId="74" hidden="1">'[17]Employment Data Sectors (wages)'!$W$13:$W$8187</definedName>
    <definedName name="_18__123Graph_BCHART_8" localSheetId="79" hidden="1">'[18]Employment Data Sectors (wages)'!$W$13:$W$8187</definedName>
    <definedName name="_18__123Graph_BCHART_8" localSheetId="80" hidden="1">'[16]Employment Data Sectors (wages)'!$W$13:$W$8187</definedName>
    <definedName name="_18__123Graph_BCHART_8" localSheetId="81" hidden="1">'[16]Employment Data Sectors (wages)'!$W$13:$W$8187</definedName>
    <definedName name="_18__123Graph_BCHART_8" localSheetId="101" hidden="1">'[16]Employment Data Sectors (wages)'!$W$13:$W$8187</definedName>
    <definedName name="_18__123Graph_BCHART_8" localSheetId="108" hidden="1">'[16]Employment Data Sectors (wages)'!$W$13:$W$8187</definedName>
    <definedName name="_18__123Graph_BCHART_8" localSheetId="115" hidden="1">'[17]Employment Data Sectors (wages)'!$W$13:$W$8187</definedName>
    <definedName name="_18__123Graph_BCHART_8" localSheetId="7" hidden="1">'[16]Employment Data Sectors (wages)'!$W$13:$W$8187</definedName>
    <definedName name="_18__123Graph_BCHART_8" localSheetId="8" hidden="1">'[16]Employment Data Sectors (wages)'!$W$13:$W$8187</definedName>
    <definedName name="_18__123Graph_BCHART_8" localSheetId="9" hidden="1">'[16]Employment Data Sectors (wages)'!$W$13:$W$8187</definedName>
    <definedName name="_18__123Graph_BCHART_8" localSheetId="10" hidden="1">'[17]Employment Data Sectors (wages)'!$W$13:$W$8187</definedName>
    <definedName name="_18__123Graph_BCHART_8" localSheetId="19" hidden="1">'[16]Employment Data Sectors (wages)'!$W$13:$W$8187</definedName>
    <definedName name="_18__123Graph_BCHART_8" localSheetId="21" hidden="1">'[16]Employment Data Sectors (wages)'!$W$13:$W$8187</definedName>
    <definedName name="_18__123Graph_BCHART_8" localSheetId="23" hidden="1">'[16]Employment Data Sectors (wages)'!$W$13:$W$8187</definedName>
    <definedName name="_18__123Graph_BCHART_8" localSheetId="24" hidden="1">'[16]Employment Data Sectors (wages)'!$W$13:$W$8187</definedName>
    <definedName name="_18__123Graph_BCHART_8" localSheetId="25" hidden="1">'[16]Employment Data Sectors (wages)'!$W$13:$W$8187</definedName>
    <definedName name="_18__123Graph_BCHART_8" localSheetId="27" hidden="1">'[16]Employment Data Sectors (wages)'!$W$13:$W$8187</definedName>
    <definedName name="_18__123Graph_BCHART_8" localSheetId="30" hidden="1">'[16]Employment Data Sectors (wages)'!$W$13:$W$8187</definedName>
    <definedName name="_18__123Graph_BCHART_8" localSheetId="33" hidden="1">'[16]Employment Data Sectors (wages)'!$W$13:$W$8187</definedName>
    <definedName name="_18__123Graph_BCHART_8" localSheetId="34" hidden="1">'[17]Employment Data Sectors (wages)'!$W$13:$W$8187</definedName>
    <definedName name="_18__123Graph_BCHART_8" localSheetId="35" hidden="1">'[17]Employment Data Sectors (wages)'!$W$13:$W$8187</definedName>
    <definedName name="_18__123Graph_BCHART_8" localSheetId="36" hidden="1">'[17]Employment Data Sectors (wages)'!$W$13:$W$8187</definedName>
    <definedName name="_18__123Graph_BCHART_8" localSheetId="37" hidden="1">'[17]Employment Data Sectors (wages)'!$W$13:$W$8187</definedName>
    <definedName name="_18__123Graph_BCHART_8" localSheetId="38" hidden="1">'[17]Employment Data Sectors (wages)'!$W$13:$W$8187</definedName>
    <definedName name="_18__123Graph_BCHART_8" localSheetId="39" hidden="1">'[16]Employment Data Sectors (wages)'!$W$13:$W$8187</definedName>
    <definedName name="_18__123Graph_BCHART_8" localSheetId="40" hidden="1">'[16]Employment Data Sectors (wages)'!$W$13:$W$8187</definedName>
    <definedName name="_18__123Graph_BCHART_8" hidden="1">'[17]Employment Data Sectors (wages)'!$W$13:$W$8187</definedName>
    <definedName name="_18__123Graph_CCHART_1" localSheetId="55" hidden="1">'[19]Employment Data Sectors (wages)'!$C$8173:$C$8184</definedName>
    <definedName name="_18__123Graph_CCHART_1" localSheetId="71" hidden="1">'[20]Employment Data Sectors (wages)'!$C$8173:$C$8184</definedName>
    <definedName name="_18__123Graph_CCHART_1" localSheetId="72" hidden="1">'[20]Employment Data Sectors (wages)'!$C$8173:$C$8184</definedName>
    <definedName name="_18__123Graph_CCHART_1" localSheetId="73" hidden="1">'[20]Employment Data Sectors (wages)'!$C$8173:$C$8184</definedName>
    <definedName name="_18__123Graph_CCHART_1" localSheetId="74" hidden="1">'[20]Employment Data Sectors (wages)'!$C$8173:$C$8184</definedName>
    <definedName name="_18__123Graph_CCHART_1" localSheetId="79" hidden="1">'[19]Employment Data Sectors (wages)'!$C$8173:$C$8184</definedName>
    <definedName name="_18__123Graph_CCHART_1" localSheetId="115" hidden="1">'[20]Employment Data Sectors (wages)'!$C$8173:$C$8184</definedName>
    <definedName name="_18__123Graph_CCHART_1" localSheetId="10" hidden="1">'[20]Employment Data Sectors (wages)'!$C$8173:$C$8184</definedName>
    <definedName name="_18__123Graph_CCHART_1" localSheetId="23" hidden="1">'[20]Employment Data Sectors (wages)'!$C$8173:$C$8184</definedName>
    <definedName name="_18__123Graph_CCHART_1" localSheetId="34" hidden="1">'[20]Employment Data Sectors (wages)'!$C$8173:$C$8184</definedName>
    <definedName name="_18__123Graph_CCHART_1" localSheetId="35" hidden="1">'[20]Employment Data Sectors (wages)'!$C$8173:$C$8184</definedName>
    <definedName name="_18__123Graph_CCHART_1" localSheetId="36" hidden="1">'[20]Employment Data Sectors (wages)'!$C$8173:$C$8184</definedName>
    <definedName name="_18__123Graph_CCHART_1" localSheetId="37" hidden="1">'[20]Employment Data Sectors (wages)'!$C$8173:$C$8184</definedName>
    <definedName name="_18__123Graph_CCHART_1" localSheetId="38" hidden="1">'[20]Employment Data Sectors (wages)'!$C$8173:$C$8184</definedName>
    <definedName name="_18__123Graph_CCHART_1" hidden="1">'[20]Employment Data Sectors (wages)'!$C$8173:$C$8184</definedName>
    <definedName name="_19__123Graph_ACHART_4" hidden="1">'[14]Employment Data Sectors (wages)'!$A$12:$A$23</definedName>
    <definedName name="_19__123Graph_CCHART_1" localSheetId="55" hidden="1">'[16]Employment Data Sectors (wages)'!$C$8173:$C$8184</definedName>
    <definedName name="_19__123Graph_CCHART_1" localSheetId="70" hidden="1">'[16]Employment Data Sectors (wages)'!$C$8173:$C$8184</definedName>
    <definedName name="_19__123Graph_CCHART_1" localSheetId="71" hidden="1">'[17]Employment Data Sectors (wages)'!$C$8173:$C$8184</definedName>
    <definedName name="_19__123Graph_CCHART_1" localSheetId="72" hidden="1">'[17]Employment Data Sectors (wages)'!$C$8173:$C$8184</definedName>
    <definedName name="_19__123Graph_CCHART_1" localSheetId="73" hidden="1">'[17]Employment Data Sectors (wages)'!$C$8173:$C$8184</definedName>
    <definedName name="_19__123Graph_CCHART_1" localSheetId="74" hidden="1">'[17]Employment Data Sectors (wages)'!$C$8173:$C$8184</definedName>
    <definedName name="_19__123Graph_CCHART_1" localSheetId="79" hidden="1">'[18]Employment Data Sectors (wages)'!$C$8173:$C$8184</definedName>
    <definedName name="_19__123Graph_CCHART_1" localSheetId="80" hidden="1">'[16]Employment Data Sectors (wages)'!$C$8173:$C$8184</definedName>
    <definedName name="_19__123Graph_CCHART_1" localSheetId="81" hidden="1">'[16]Employment Data Sectors (wages)'!$C$8173:$C$8184</definedName>
    <definedName name="_19__123Graph_CCHART_1" localSheetId="101" hidden="1">'[16]Employment Data Sectors (wages)'!$C$8173:$C$8184</definedName>
    <definedName name="_19__123Graph_CCHART_1" localSheetId="108" hidden="1">'[16]Employment Data Sectors (wages)'!$C$8173:$C$8184</definedName>
    <definedName name="_19__123Graph_CCHART_1" localSheetId="115" hidden="1">'[17]Employment Data Sectors (wages)'!$C$8173:$C$8184</definedName>
    <definedName name="_19__123Graph_CCHART_1" localSheetId="7" hidden="1">'[16]Employment Data Sectors (wages)'!$C$8173:$C$8184</definedName>
    <definedName name="_19__123Graph_CCHART_1" localSheetId="8" hidden="1">'[16]Employment Data Sectors (wages)'!$C$8173:$C$8184</definedName>
    <definedName name="_19__123Graph_CCHART_1" localSheetId="9" hidden="1">'[16]Employment Data Sectors (wages)'!$C$8173:$C$8184</definedName>
    <definedName name="_19__123Graph_CCHART_1" localSheetId="10" hidden="1">'[17]Employment Data Sectors (wages)'!$C$8173:$C$8184</definedName>
    <definedName name="_19__123Graph_CCHART_1" localSheetId="19" hidden="1">'[16]Employment Data Sectors (wages)'!$C$8173:$C$8184</definedName>
    <definedName name="_19__123Graph_CCHART_1" localSheetId="21" hidden="1">'[16]Employment Data Sectors (wages)'!$C$8173:$C$8184</definedName>
    <definedName name="_19__123Graph_CCHART_1" localSheetId="23" hidden="1">'[16]Employment Data Sectors (wages)'!$C$8173:$C$8184</definedName>
    <definedName name="_19__123Graph_CCHART_1" localSheetId="24" hidden="1">'[16]Employment Data Sectors (wages)'!$C$8173:$C$8184</definedName>
    <definedName name="_19__123Graph_CCHART_1" localSheetId="25" hidden="1">'[16]Employment Data Sectors (wages)'!$C$8173:$C$8184</definedName>
    <definedName name="_19__123Graph_CCHART_1" localSheetId="27" hidden="1">'[16]Employment Data Sectors (wages)'!$C$8173:$C$8184</definedName>
    <definedName name="_19__123Graph_CCHART_1" localSheetId="30" hidden="1">'[16]Employment Data Sectors (wages)'!$C$8173:$C$8184</definedName>
    <definedName name="_19__123Graph_CCHART_1" localSheetId="33" hidden="1">'[16]Employment Data Sectors (wages)'!$C$8173:$C$8184</definedName>
    <definedName name="_19__123Graph_CCHART_1" localSheetId="34" hidden="1">'[17]Employment Data Sectors (wages)'!$C$8173:$C$8184</definedName>
    <definedName name="_19__123Graph_CCHART_1" localSheetId="35" hidden="1">'[17]Employment Data Sectors (wages)'!$C$8173:$C$8184</definedName>
    <definedName name="_19__123Graph_CCHART_1" localSheetId="36" hidden="1">'[17]Employment Data Sectors (wages)'!$C$8173:$C$8184</definedName>
    <definedName name="_19__123Graph_CCHART_1" localSheetId="37" hidden="1">'[17]Employment Data Sectors (wages)'!$C$8173:$C$8184</definedName>
    <definedName name="_19__123Graph_CCHART_1" localSheetId="38" hidden="1">'[17]Employment Data Sectors (wages)'!$C$8173:$C$8184</definedName>
    <definedName name="_19__123Graph_CCHART_1" localSheetId="39" hidden="1">'[16]Employment Data Sectors (wages)'!$C$8173:$C$8184</definedName>
    <definedName name="_19__123Graph_CCHART_1" localSheetId="40" hidden="1">'[16]Employment Data Sectors (wages)'!$C$8173:$C$8184</definedName>
    <definedName name="_19__123Graph_CCHART_1" hidden="1">'[17]Employment Data Sectors (wages)'!$C$8173:$C$8184</definedName>
    <definedName name="_19__123Graph_CCHART_2" localSheetId="55" hidden="1">'[19]Employment Data Sectors (wages)'!$C$8173:$C$8184</definedName>
    <definedName name="_19__123Graph_CCHART_2" localSheetId="71" hidden="1">'[20]Employment Data Sectors (wages)'!$C$8173:$C$8184</definedName>
    <definedName name="_19__123Graph_CCHART_2" localSheetId="72" hidden="1">'[20]Employment Data Sectors (wages)'!$C$8173:$C$8184</definedName>
    <definedName name="_19__123Graph_CCHART_2" localSheetId="73" hidden="1">'[20]Employment Data Sectors (wages)'!$C$8173:$C$8184</definedName>
    <definedName name="_19__123Graph_CCHART_2" localSheetId="74" hidden="1">'[20]Employment Data Sectors (wages)'!$C$8173:$C$8184</definedName>
    <definedName name="_19__123Graph_CCHART_2" localSheetId="79" hidden="1">'[19]Employment Data Sectors (wages)'!$C$8173:$C$8184</definedName>
    <definedName name="_19__123Graph_CCHART_2" localSheetId="115" hidden="1">'[20]Employment Data Sectors (wages)'!$C$8173:$C$8184</definedName>
    <definedName name="_19__123Graph_CCHART_2" localSheetId="10" hidden="1">'[20]Employment Data Sectors (wages)'!$C$8173:$C$8184</definedName>
    <definedName name="_19__123Graph_CCHART_2" localSheetId="23" hidden="1">'[20]Employment Data Sectors (wages)'!$C$8173:$C$8184</definedName>
    <definedName name="_19__123Graph_CCHART_2" localSheetId="34" hidden="1">'[20]Employment Data Sectors (wages)'!$C$8173:$C$8184</definedName>
    <definedName name="_19__123Graph_CCHART_2" localSheetId="35" hidden="1">'[20]Employment Data Sectors (wages)'!$C$8173:$C$8184</definedName>
    <definedName name="_19__123Graph_CCHART_2" localSheetId="36" hidden="1">'[20]Employment Data Sectors (wages)'!$C$8173:$C$8184</definedName>
    <definedName name="_19__123Graph_CCHART_2" localSheetId="37" hidden="1">'[20]Employment Data Sectors (wages)'!$C$8173:$C$8184</definedName>
    <definedName name="_19__123Graph_CCHART_2" localSheetId="38" hidden="1">'[20]Employment Data Sectors (wages)'!$C$8173:$C$8184</definedName>
    <definedName name="_19__123Graph_CCHART_2" hidden="1">'[20]Employment Data Sectors (wages)'!$C$8173:$C$8184</definedName>
    <definedName name="_2__123Graph_ACHART_1" localSheetId="55" hidden="1">'[19]Employment Data Sectors (wages)'!$A$8173:$A$8184</definedName>
    <definedName name="_2__123Graph_ACHART_1" localSheetId="71" hidden="1">'[20]Employment Data Sectors (wages)'!$A$8173:$A$8184</definedName>
    <definedName name="_2__123Graph_ACHART_1" localSheetId="72" hidden="1">'[20]Employment Data Sectors (wages)'!$A$8173:$A$8184</definedName>
    <definedName name="_2__123Graph_ACHART_1" localSheetId="73" hidden="1">'[20]Employment Data Sectors (wages)'!$A$8173:$A$8184</definedName>
    <definedName name="_2__123Graph_ACHART_1" localSheetId="74" hidden="1">'[20]Employment Data Sectors (wages)'!$A$8173:$A$8184</definedName>
    <definedName name="_2__123Graph_ACHART_1" localSheetId="79" hidden="1">'[19]Employment Data Sectors (wages)'!$A$8173:$A$8184</definedName>
    <definedName name="_2__123Graph_ACHART_1" localSheetId="115" hidden="1">'[20]Employment Data Sectors (wages)'!$A$8173:$A$8184</definedName>
    <definedName name="_2__123Graph_ACHART_1" localSheetId="10" hidden="1">'[20]Employment Data Sectors (wages)'!$A$8173:$A$8184</definedName>
    <definedName name="_2__123Graph_ACHART_1" localSheetId="23" hidden="1">'[20]Employment Data Sectors (wages)'!$A$8173:$A$8184</definedName>
    <definedName name="_2__123Graph_ACHART_1" localSheetId="34" hidden="1">'[20]Employment Data Sectors (wages)'!$A$8173:$A$8184</definedName>
    <definedName name="_2__123Graph_ACHART_1" localSheetId="35" hidden="1">'[20]Employment Data Sectors (wages)'!$A$8173:$A$8184</definedName>
    <definedName name="_2__123Graph_ACHART_1" localSheetId="36" hidden="1">'[20]Employment Data Sectors (wages)'!$A$8173:$A$8184</definedName>
    <definedName name="_2__123Graph_ACHART_1" localSheetId="37" hidden="1">'[20]Employment Data Sectors (wages)'!$A$8173:$A$8184</definedName>
    <definedName name="_2__123Graph_ACHART_1" localSheetId="38" hidden="1">'[20]Employment Data Sectors (wages)'!$A$8173:$A$8184</definedName>
    <definedName name="_2__123Graph_ACHART_1" hidden="1">'[20]Employment Data Sectors (wages)'!$A$8173:$A$8184</definedName>
    <definedName name="_20__123Graph_ACHART_7" hidden="1">'[15]Employment Data Sectors (wages)'!$Y$8175:$Y$8186</definedName>
    <definedName name="_20__123Graph_CCHART_2" localSheetId="55" hidden="1">'[16]Employment Data Sectors (wages)'!$C$8173:$C$8184</definedName>
    <definedName name="_20__123Graph_CCHART_2" localSheetId="70" hidden="1">'[16]Employment Data Sectors (wages)'!$C$8173:$C$8184</definedName>
    <definedName name="_20__123Graph_CCHART_2" localSheetId="71" hidden="1">'[17]Employment Data Sectors (wages)'!$C$8173:$C$8184</definedName>
    <definedName name="_20__123Graph_CCHART_2" localSheetId="72" hidden="1">'[17]Employment Data Sectors (wages)'!$C$8173:$C$8184</definedName>
    <definedName name="_20__123Graph_CCHART_2" localSheetId="73" hidden="1">'[17]Employment Data Sectors (wages)'!$C$8173:$C$8184</definedName>
    <definedName name="_20__123Graph_CCHART_2" localSheetId="74" hidden="1">'[17]Employment Data Sectors (wages)'!$C$8173:$C$8184</definedName>
    <definedName name="_20__123Graph_CCHART_2" localSheetId="79" hidden="1">'[18]Employment Data Sectors (wages)'!$C$8173:$C$8184</definedName>
    <definedName name="_20__123Graph_CCHART_2" localSheetId="80" hidden="1">'[16]Employment Data Sectors (wages)'!$C$8173:$C$8184</definedName>
    <definedName name="_20__123Graph_CCHART_2" localSheetId="81" hidden="1">'[16]Employment Data Sectors (wages)'!$C$8173:$C$8184</definedName>
    <definedName name="_20__123Graph_CCHART_2" localSheetId="101" hidden="1">'[16]Employment Data Sectors (wages)'!$C$8173:$C$8184</definedName>
    <definedName name="_20__123Graph_CCHART_2" localSheetId="108" hidden="1">'[16]Employment Data Sectors (wages)'!$C$8173:$C$8184</definedName>
    <definedName name="_20__123Graph_CCHART_2" localSheetId="115" hidden="1">'[17]Employment Data Sectors (wages)'!$C$8173:$C$8184</definedName>
    <definedName name="_20__123Graph_CCHART_2" localSheetId="7" hidden="1">'[16]Employment Data Sectors (wages)'!$C$8173:$C$8184</definedName>
    <definedName name="_20__123Graph_CCHART_2" localSheetId="8" hidden="1">'[16]Employment Data Sectors (wages)'!$C$8173:$C$8184</definedName>
    <definedName name="_20__123Graph_CCHART_2" localSheetId="9" hidden="1">'[16]Employment Data Sectors (wages)'!$C$8173:$C$8184</definedName>
    <definedName name="_20__123Graph_CCHART_2" localSheetId="10" hidden="1">'[17]Employment Data Sectors (wages)'!$C$8173:$C$8184</definedName>
    <definedName name="_20__123Graph_CCHART_2" localSheetId="19" hidden="1">'[16]Employment Data Sectors (wages)'!$C$8173:$C$8184</definedName>
    <definedName name="_20__123Graph_CCHART_2" localSheetId="21" hidden="1">'[16]Employment Data Sectors (wages)'!$C$8173:$C$8184</definedName>
    <definedName name="_20__123Graph_CCHART_2" localSheetId="23" hidden="1">'[16]Employment Data Sectors (wages)'!$C$8173:$C$8184</definedName>
    <definedName name="_20__123Graph_CCHART_2" localSheetId="24" hidden="1">'[16]Employment Data Sectors (wages)'!$C$8173:$C$8184</definedName>
    <definedName name="_20__123Graph_CCHART_2" localSheetId="25" hidden="1">'[16]Employment Data Sectors (wages)'!$C$8173:$C$8184</definedName>
    <definedName name="_20__123Graph_CCHART_2" localSheetId="27" hidden="1">'[16]Employment Data Sectors (wages)'!$C$8173:$C$8184</definedName>
    <definedName name="_20__123Graph_CCHART_2" localSheetId="30" hidden="1">'[16]Employment Data Sectors (wages)'!$C$8173:$C$8184</definedName>
    <definedName name="_20__123Graph_CCHART_2" localSheetId="33" hidden="1">'[16]Employment Data Sectors (wages)'!$C$8173:$C$8184</definedName>
    <definedName name="_20__123Graph_CCHART_2" localSheetId="34" hidden="1">'[17]Employment Data Sectors (wages)'!$C$8173:$C$8184</definedName>
    <definedName name="_20__123Graph_CCHART_2" localSheetId="35" hidden="1">'[17]Employment Data Sectors (wages)'!$C$8173:$C$8184</definedName>
    <definedName name="_20__123Graph_CCHART_2" localSheetId="36" hidden="1">'[17]Employment Data Sectors (wages)'!$C$8173:$C$8184</definedName>
    <definedName name="_20__123Graph_CCHART_2" localSheetId="37" hidden="1">'[17]Employment Data Sectors (wages)'!$C$8173:$C$8184</definedName>
    <definedName name="_20__123Graph_CCHART_2" localSheetId="38" hidden="1">'[17]Employment Data Sectors (wages)'!$C$8173:$C$8184</definedName>
    <definedName name="_20__123Graph_CCHART_2" localSheetId="39" hidden="1">'[16]Employment Data Sectors (wages)'!$C$8173:$C$8184</definedName>
    <definedName name="_20__123Graph_CCHART_2" localSheetId="40" hidden="1">'[16]Employment Data Sectors (wages)'!$C$8173:$C$8184</definedName>
    <definedName name="_20__123Graph_CCHART_2" hidden="1">'[17]Employment Data Sectors (wages)'!$C$8173:$C$8184</definedName>
    <definedName name="_20__123Graph_CCHART_3" localSheetId="55" hidden="1">'[19]Employment Data Sectors (wages)'!$C$11:$C$8185</definedName>
    <definedName name="_20__123Graph_CCHART_3" localSheetId="71" hidden="1">'[20]Employment Data Sectors (wages)'!$C$11:$C$8185</definedName>
    <definedName name="_20__123Graph_CCHART_3" localSheetId="72" hidden="1">'[20]Employment Data Sectors (wages)'!$C$11:$C$8185</definedName>
    <definedName name="_20__123Graph_CCHART_3" localSheetId="73" hidden="1">'[20]Employment Data Sectors (wages)'!$C$11:$C$8185</definedName>
    <definedName name="_20__123Graph_CCHART_3" localSheetId="74" hidden="1">'[20]Employment Data Sectors (wages)'!$C$11:$C$8185</definedName>
    <definedName name="_20__123Graph_CCHART_3" localSheetId="79" hidden="1">'[19]Employment Data Sectors (wages)'!$C$11:$C$8185</definedName>
    <definedName name="_20__123Graph_CCHART_3" localSheetId="115" hidden="1">'[20]Employment Data Sectors (wages)'!$C$11:$C$8185</definedName>
    <definedName name="_20__123Graph_CCHART_3" localSheetId="10" hidden="1">'[20]Employment Data Sectors (wages)'!$C$11:$C$8185</definedName>
    <definedName name="_20__123Graph_CCHART_3" localSheetId="23" hidden="1">'[20]Employment Data Sectors (wages)'!$C$11:$C$8185</definedName>
    <definedName name="_20__123Graph_CCHART_3" localSheetId="34" hidden="1">'[20]Employment Data Sectors (wages)'!$C$11:$C$8185</definedName>
    <definedName name="_20__123Graph_CCHART_3" localSheetId="35" hidden="1">'[20]Employment Data Sectors (wages)'!$C$11:$C$8185</definedName>
    <definedName name="_20__123Graph_CCHART_3" localSheetId="36" hidden="1">'[20]Employment Data Sectors (wages)'!$C$11:$C$8185</definedName>
    <definedName name="_20__123Graph_CCHART_3" localSheetId="37" hidden="1">'[20]Employment Data Sectors (wages)'!$C$11:$C$8185</definedName>
    <definedName name="_20__123Graph_CCHART_3" localSheetId="38" hidden="1">'[20]Employment Data Sectors (wages)'!$C$11:$C$8185</definedName>
    <definedName name="_20__123Graph_CCHART_3" hidden="1">'[20]Employment Data Sectors (wages)'!$C$11:$C$8185</definedName>
    <definedName name="_21__123Graph_ACHART_5" localSheetId="70" hidden="1">'[22]Employment Data Sectors (wages)'!$A$24:$A$35</definedName>
    <definedName name="_21__123Graph_ACHART_5" localSheetId="71" hidden="1">'[22]Employment Data Sectors (wages)'!$A$24:$A$35</definedName>
    <definedName name="_21__123Graph_ACHART_5" localSheetId="72" hidden="1">'[22]Employment Data Sectors (wages)'!$A$24:$A$35</definedName>
    <definedName name="_21__123Graph_ACHART_5" localSheetId="73" hidden="1">'[22]Employment Data Sectors (wages)'!$A$24:$A$35</definedName>
    <definedName name="_21__123Graph_ACHART_5" localSheetId="74" hidden="1">'[22]Employment Data Sectors (wages)'!$A$24:$A$35</definedName>
    <definedName name="_21__123Graph_ACHART_5" localSheetId="79" hidden="1">'[14]Employment Data Sectors (wages)'!$A$24:$A$35</definedName>
    <definedName name="_21__123Graph_ACHART_5" localSheetId="80" hidden="1">'[22]Employment Data Sectors (wages)'!$A$24:$A$35</definedName>
    <definedName name="_21__123Graph_ACHART_5" localSheetId="81" hidden="1">'[22]Employment Data Sectors (wages)'!$A$24:$A$35</definedName>
    <definedName name="_21__123Graph_ACHART_5" localSheetId="101" hidden="1">'[22]Employment Data Sectors (wages)'!$A$24:$A$35</definedName>
    <definedName name="_21__123Graph_ACHART_5" localSheetId="108" hidden="1">'[22]Employment Data Sectors (wages)'!$A$24:$A$35</definedName>
    <definedName name="_21__123Graph_ACHART_5" localSheetId="115" hidden="1">'[22]Employment Data Sectors (wages)'!$A$24:$A$35</definedName>
    <definedName name="_21__123Graph_ACHART_5" localSheetId="7" hidden="1">'[22]Employment Data Sectors (wages)'!$A$24:$A$35</definedName>
    <definedName name="_21__123Graph_ACHART_5" localSheetId="8" hidden="1">'[22]Employment Data Sectors (wages)'!$A$24:$A$35</definedName>
    <definedName name="_21__123Graph_ACHART_5" localSheetId="9" hidden="1">'[22]Employment Data Sectors (wages)'!$A$24:$A$35</definedName>
    <definedName name="_21__123Graph_ACHART_5" localSheetId="10" hidden="1">'[22]Employment Data Sectors (wages)'!$A$24:$A$35</definedName>
    <definedName name="_21__123Graph_ACHART_5" localSheetId="19" hidden="1">'[22]Employment Data Sectors (wages)'!$A$24:$A$35</definedName>
    <definedName name="_21__123Graph_ACHART_5" localSheetId="21" hidden="1">'[22]Employment Data Sectors (wages)'!$A$24:$A$35</definedName>
    <definedName name="_21__123Graph_ACHART_5" localSheetId="23" hidden="1">'[22]Employment Data Sectors (wages)'!$A$24:$A$35</definedName>
    <definedName name="_21__123Graph_ACHART_5" localSheetId="24" hidden="1">'[22]Employment Data Sectors (wages)'!$A$24:$A$35</definedName>
    <definedName name="_21__123Graph_ACHART_5" localSheetId="25" hidden="1">'[14]Employment Data Sectors (wages)'!$A$24:$A$35</definedName>
    <definedName name="_21__123Graph_ACHART_5" localSheetId="27" hidden="1">'[22]Employment Data Sectors (wages)'!$A$24:$A$35</definedName>
    <definedName name="_21__123Graph_ACHART_5" localSheetId="30" hidden="1">'[22]Employment Data Sectors (wages)'!$A$24:$A$35</definedName>
    <definedName name="_21__123Graph_ACHART_5" localSheetId="33" hidden="1">'[22]Employment Data Sectors (wages)'!$A$24:$A$35</definedName>
    <definedName name="_21__123Graph_ACHART_5" localSheetId="34" hidden="1">'[22]Employment Data Sectors (wages)'!$A$24:$A$35</definedName>
    <definedName name="_21__123Graph_ACHART_5" localSheetId="35" hidden="1">'[22]Employment Data Sectors (wages)'!$A$24:$A$35</definedName>
    <definedName name="_21__123Graph_ACHART_5" localSheetId="36" hidden="1">'[22]Employment Data Sectors (wages)'!$A$24:$A$35</definedName>
    <definedName name="_21__123Graph_ACHART_5" localSheetId="37" hidden="1">'[22]Employment Data Sectors (wages)'!$A$24:$A$35</definedName>
    <definedName name="_21__123Graph_ACHART_5" localSheetId="38" hidden="1">'[22]Employment Data Sectors (wages)'!$A$24:$A$35</definedName>
    <definedName name="_21__123Graph_ACHART_5" localSheetId="39" hidden="1">'[22]Employment Data Sectors (wages)'!$A$24:$A$35</definedName>
    <definedName name="_21__123Graph_ACHART_5" localSheetId="40" hidden="1">'[22]Employment Data Sectors (wages)'!$A$24:$A$35</definedName>
    <definedName name="_21__123Graph_ACHART_5" hidden="1">'[22]Employment Data Sectors (wages)'!$A$24:$A$35</definedName>
    <definedName name="_21__123Graph_CCHART_3" localSheetId="55" hidden="1">'[16]Employment Data Sectors (wages)'!$C$11:$C$8185</definedName>
    <definedName name="_21__123Graph_CCHART_3" localSheetId="70" hidden="1">'[16]Employment Data Sectors (wages)'!$C$11:$C$8185</definedName>
    <definedName name="_21__123Graph_CCHART_3" localSheetId="71" hidden="1">'[17]Employment Data Sectors (wages)'!$C$11:$C$8185</definedName>
    <definedName name="_21__123Graph_CCHART_3" localSheetId="72" hidden="1">'[17]Employment Data Sectors (wages)'!$C$11:$C$8185</definedName>
    <definedName name="_21__123Graph_CCHART_3" localSheetId="73" hidden="1">'[17]Employment Data Sectors (wages)'!$C$11:$C$8185</definedName>
    <definedName name="_21__123Graph_CCHART_3" localSheetId="74" hidden="1">'[17]Employment Data Sectors (wages)'!$C$11:$C$8185</definedName>
    <definedName name="_21__123Graph_CCHART_3" localSheetId="79" hidden="1">'[18]Employment Data Sectors (wages)'!$C$11:$C$8185</definedName>
    <definedName name="_21__123Graph_CCHART_3" localSheetId="80" hidden="1">'[16]Employment Data Sectors (wages)'!$C$11:$C$8185</definedName>
    <definedName name="_21__123Graph_CCHART_3" localSheetId="81" hidden="1">'[16]Employment Data Sectors (wages)'!$C$11:$C$8185</definedName>
    <definedName name="_21__123Graph_CCHART_3" localSheetId="101" hidden="1">'[16]Employment Data Sectors (wages)'!$C$11:$C$8185</definedName>
    <definedName name="_21__123Graph_CCHART_3" localSheetId="108" hidden="1">'[16]Employment Data Sectors (wages)'!$C$11:$C$8185</definedName>
    <definedName name="_21__123Graph_CCHART_3" localSheetId="115" hidden="1">'[17]Employment Data Sectors (wages)'!$C$11:$C$8185</definedName>
    <definedName name="_21__123Graph_CCHART_3" localSheetId="7" hidden="1">'[16]Employment Data Sectors (wages)'!$C$11:$C$8185</definedName>
    <definedName name="_21__123Graph_CCHART_3" localSheetId="8" hidden="1">'[16]Employment Data Sectors (wages)'!$C$11:$C$8185</definedName>
    <definedName name="_21__123Graph_CCHART_3" localSheetId="9" hidden="1">'[16]Employment Data Sectors (wages)'!$C$11:$C$8185</definedName>
    <definedName name="_21__123Graph_CCHART_3" localSheetId="10" hidden="1">'[17]Employment Data Sectors (wages)'!$C$11:$C$8185</definedName>
    <definedName name="_21__123Graph_CCHART_3" localSheetId="19" hidden="1">'[16]Employment Data Sectors (wages)'!$C$11:$C$8185</definedName>
    <definedName name="_21__123Graph_CCHART_3" localSheetId="21" hidden="1">'[16]Employment Data Sectors (wages)'!$C$11:$C$8185</definedName>
    <definedName name="_21__123Graph_CCHART_3" localSheetId="23" hidden="1">'[16]Employment Data Sectors (wages)'!$C$11:$C$8185</definedName>
    <definedName name="_21__123Graph_CCHART_3" localSheetId="24" hidden="1">'[16]Employment Data Sectors (wages)'!$C$11:$C$8185</definedName>
    <definedName name="_21__123Graph_CCHART_3" localSheetId="25" hidden="1">'[16]Employment Data Sectors (wages)'!$C$11:$C$8185</definedName>
    <definedName name="_21__123Graph_CCHART_3" localSheetId="27" hidden="1">'[16]Employment Data Sectors (wages)'!$C$11:$C$8185</definedName>
    <definedName name="_21__123Graph_CCHART_3" localSheetId="30" hidden="1">'[16]Employment Data Sectors (wages)'!$C$11:$C$8185</definedName>
    <definedName name="_21__123Graph_CCHART_3" localSheetId="33" hidden="1">'[16]Employment Data Sectors (wages)'!$C$11:$C$8185</definedName>
    <definedName name="_21__123Graph_CCHART_3" localSheetId="34" hidden="1">'[17]Employment Data Sectors (wages)'!$C$11:$C$8185</definedName>
    <definedName name="_21__123Graph_CCHART_3" localSheetId="35" hidden="1">'[17]Employment Data Sectors (wages)'!$C$11:$C$8185</definedName>
    <definedName name="_21__123Graph_CCHART_3" localSheetId="36" hidden="1">'[17]Employment Data Sectors (wages)'!$C$11:$C$8185</definedName>
    <definedName name="_21__123Graph_CCHART_3" localSheetId="37" hidden="1">'[17]Employment Data Sectors (wages)'!$C$11:$C$8185</definedName>
    <definedName name="_21__123Graph_CCHART_3" localSheetId="38" hidden="1">'[17]Employment Data Sectors (wages)'!$C$11:$C$8185</definedName>
    <definedName name="_21__123Graph_CCHART_3" localSheetId="39" hidden="1">'[16]Employment Data Sectors (wages)'!$C$11:$C$8185</definedName>
    <definedName name="_21__123Graph_CCHART_3" localSheetId="40" hidden="1">'[16]Employment Data Sectors (wages)'!$C$11:$C$8185</definedName>
    <definedName name="_21__123Graph_CCHART_3" hidden="1">'[17]Employment Data Sectors (wages)'!$C$11:$C$8185</definedName>
    <definedName name="_21__123Graph_CCHART_4" localSheetId="55" hidden="1">'[19]Employment Data Sectors (wages)'!$C$12:$C$23</definedName>
    <definedName name="_21__123Graph_CCHART_4" localSheetId="71" hidden="1">'[20]Employment Data Sectors (wages)'!$C$12:$C$23</definedName>
    <definedName name="_21__123Graph_CCHART_4" localSheetId="72" hidden="1">'[20]Employment Data Sectors (wages)'!$C$12:$C$23</definedName>
    <definedName name="_21__123Graph_CCHART_4" localSheetId="73" hidden="1">'[20]Employment Data Sectors (wages)'!$C$12:$C$23</definedName>
    <definedName name="_21__123Graph_CCHART_4" localSheetId="74" hidden="1">'[20]Employment Data Sectors (wages)'!$C$12:$C$23</definedName>
    <definedName name="_21__123Graph_CCHART_4" localSheetId="79" hidden="1">'[19]Employment Data Sectors (wages)'!$C$12:$C$23</definedName>
    <definedName name="_21__123Graph_CCHART_4" localSheetId="115" hidden="1">'[20]Employment Data Sectors (wages)'!$C$12:$C$23</definedName>
    <definedName name="_21__123Graph_CCHART_4" localSheetId="10" hidden="1">'[20]Employment Data Sectors (wages)'!$C$12:$C$23</definedName>
    <definedName name="_21__123Graph_CCHART_4" localSheetId="23" hidden="1">'[20]Employment Data Sectors (wages)'!$C$12:$C$23</definedName>
    <definedName name="_21__123Graph_CCHART_4" localSheetId="34" hidden="1">'[20]Employment Data Sectors (wages)'!$C$12:$C$23</definedName>
    <definedName name="_21__123Graph_CCHART_4" localSheetId="35" hidden="1">'[20]Employment Data Sectors (wages)'!$C$12:$C$23</definedName>
    <definedName name="_21__123Graph_CCHART_4" localSheetId="36" hidden="1">'[20]Employment Data Sectors (wages)'!$C$12:$C$23</definedName>
    <definedName name="_21__123Graph_CCHART_4" localSheetId="37" hidden="1">'[20]Employment Data Sectors (wages)'!$C$12:$C$23</definedName>
    <definedName name="_21__123Graph_CCHART_4" localSheetId="38" hidden="1">'[20]Employment Data Sectors (wages)'!$C$12:$C$23</definedName>
    <definedName name="_21__123Graph_CCHART_4" hidden="1">'[20]Employment Data Sectors (wages)'!$C$12:$C$23</definedName>
    <definedName name="_22__123Graph_ACHART_5" hidden="1">'[14]Employment Data Sectors (wages)'!$A$24:$A$35</definedName>
    <definedName name="_22__123Graph_ACHART_8" hidden="1">'[15]Employment Data Sectors (wages)'!$W$8175:$W$8186</definedName>
    <definedName name="_22__123Graph_CCHART_4" localSheetId="55" hidden="1">'[16]Employment Data Sectors (wages)'!$C$12:$C$23</definedName>
    <definedName name="_22__123Graph_CCHART_4" localSheetId="70" hidden="1">'[16]Employment Data Sectors (wages)'!$C$12:$C$23</definedName>
    <definedName name="_22__123Graph_CCHART_4" localSheetId="71" hidden="1">'[17]Employment Data Sectors (wages)'!$C$12:$C$23</definedName>
    <definedName name="_22__123Graph_CCHART_4" localSheetId="72" hidden="1">'[17]Employment Data Sectors (wages)'!$C$12:$C$23</definedName>
    <definedName name="_22__123Graph_CCHART_4" localSheetId="73" hidden="1">'[17]Employment Data Sectors (wages)'!$C$12:$C$23</definedName>
    <definedName name="_22__123Graph_CCHART_4" localSheetId="74" hidden="1">'[17]Employment Data Sectors (wages)'!$C$12:$C$23</definedName>
    <definedName name="_22__123Graph_CCHART_4" localSheetId="79" hidden="1">'[18]Employment Data Sectors (wages)'!$C$12:$C$23</definedName>
    <definedName name="_22__123Graph_CCHART_4" localSheetId="80" hidden="1">'[16]Employment Data Sectors (wages)'!$C$12:$C$23</definedName>
    <definedName name="_22__123Graph_CCHART_4" localSheetId="81" hidden="1">'[16]Employment Data Sectors (wages)'!$C$12:$C$23</definedName>
    <definedName name="_22__123Graph_CCHART_4" localSheetId="101" hidden="1">'[16]Employment Data Sectors (wages)'!$C$12:$C$23</definedName>
    <definedName name="_22__123Graph_CCHART_4" localSheetId="108" hidden="1">'[16]Employment Data Sectors (wages)'!$C$12:$C$23</definedName>
    <definedName name="_22__123Graph_CCHART_4" localSheetId="115" hidden="1">'[17]Employment Data Sectors (wages)'!$C$12:$C$23</definedName>
    <definedName name="_22__123Graph_CCHART_4" localSheetId="7" hidden="1">'[16]Employment Data Sectors (wages)'!$C$12:$C$23</definedName>
    <definedName name="_22__123Graph_CCHART_4" localSheetId="8" hidden="1">'[16]Employment Data Sectors (wages)'!$C$12:$C$23</definedName>
    <definedName name="_22__123Graph_CCHART_4" localSheetId="9" hidden="1">'[16]Employment Data Sectors (wages)'!$C$12:$C$23</definedName>
    <definedName name="_22__123Graph_CCHART_4" localSheetId="10" hidden="1">'[17]Employment Data Sectors (wages)'!$C$12:$C$23</definedName>
    <definedName name="_22__123Graph_CCHART_4" localSheetId="19" hidden="1">'[16]Employment Data Sectors (wages)'!$C$12:$C$23</definedName>
    <definedName name="_22__123Graph_CCHART_4" localSheetId="21" hidden="1">'[16]Employment Data Sectors (wages)'!$C$12:$C$23</definedName>
    <definedName name="_22__123Graph_CCHART_4" localSheetId="23" hidden="1">'[16]Employment Data Sectors (wages)'!$C$12:$C$23</definedName>
    <definedName name="_22__123Graph_CCHART_4" localSheetId="24" hidden="1">'[16]Employment Data Sectors (wages)'!$C$12:$C$23</definedName>
    <definedName name="_22__123Graph_CCHART_4" localSheetId="25" hidden="1">'[16]Employment Data Sectors (wages)'!$C$12:$C$23</definedName>
    <definedName name="_22__123Graph_CCHART_4" localSheetId="27" hidden="1">'[16]Employment Data Sectors (wages)'!$C$12:$C$23</definedName>
    <definedName name="_22__123Graph_CCHART_4" localSheetId="30" hidden="1">'[16]Employment Data Sectors (wages)'!$C$12:$C$23</definedName>
    <definedName name="_22__123Graph_CCHART_4" localSheetId="33" hidden="1">'[16]Employment Data Sectors (wages)'!$C$12:$C$23</definedName>
    <definedName name="_22__123Graph_CCHART_4" localSheetId="34" hidden="1">'[17]Employment Data Sectors (wages)'!$C$12:$C$23</definedName>
    <definedName name="_22__123Graph_CCHART_4" localSheetId="35" hidden="1">'[17]Employment Data Sectors (wages)'!$C$12:$C$23</definedName>
    <definedName name="_22__123Graph_CCHART_4" localSheetId="36" hidden="1">'[17]Employment Data Sectors (wages)'!$C$12:$C$23</definedName>
    <definedName name="_22__123Graph_CCHART_4" localSheetId="37" hidden="1">'[17]Employment Data Sectors (wages)'!$C$12:$C$23</definedName>
    <definedName name="_22__123Graph_CCHART_4" localSheetId="38" hidden="1">'[17]Employment Data Sectors (wages)'!$C$12:$C$23</definedName>
    <definedName name="_22__123Graph_CCHART_4" localSheetId="39" hidden="1">'[16]Employment Data Sectors (wages)'!$C$12:$C$23</definedName>
    <definedName name="_22__123Graph_CCHART_4" localSheetId="40" hidden="1">'[16]Employment Data Sectors (wages)'!$C$12:$C$23</definedName>
    <definedName name="_22__123Graph_CCHART_4" hidden="1">'[17]Employment Data Sectors (wages)'!$C$12:$C$23</definedName>
    <definedName name="_22__123Graph_CCHART_5" localSheetId="55" hidden="1">'[19]Employment Data Sectors (wages)'!$C$24:$C$35</definedName>
    <definedName name="_22__123Graph_CCHART_5" localSheetId="71" hidden="1">'[20]Employment Data Sectors (wages)'!$C$24:$C$35</definedName>
    <definedName name="_22__123Graph_CCHART_5" localSheetId="72" hidden="1">'[20]Employment Data Sectors (wages)'!$C$24:$C$35</definedName>
    <definedName name="_22__123Graph_CCHART_5" localSheetId="73" hidden="1">'[20]Employment Data Sectors (wages)'!$C$24:$C$35</definedName>
    <definedName name="_22__123Graph_CCHART_5" localSheetId="74" hidden="1">'[20]Employment Data Sectors (wages)'!$C$24:$C$35</definedName>
    <definedName name="_22__123Graph_CCHART_5" localSheetId="79" hidden="1">'[19]Employment Data Sectors (wages)'!$C$24:$C$35</definedName>
    <definedName name="_22__123Graph_CCHART_5" localSheetId="115" hidden="1">'[20]Employment Data Sectors (wages)'!$C$24:$C$35</definedName>
    <definedName name="_22__123Graph_CCHART_5" localSheetId="10" hidden="1">'[20]Employment Data Sectors (wages)'!$C$24:$C$35</definedName>
    <definedName name="_22__123Graph_CCHART_5" localSheetId="23" hidden="1">'[20]Employment Data Sectors (wages)'!$C$24:$C$35</definedName>
    <definedName name="_22__123Graph_CCHART_5" localSheetId="34" hidden="1">'[20]Employment Data Sectors (wages)'!$C$24:$C$35</definedName>
    <definedName name="_22__123Graph_CCHART_5" localSheetId="35" hidden="1">'[20]Employment Data Sectors (wages)'!$C$24:$C$35</definedName>
    <definedName name="_22__123Graph_CCHART_5" localSheetId="36" hidden="1">'[20]Employment Data Sectors (wages)'!$C$24:$C$35</definedName>
    <definedName name="_22__123Graph_CCHART_5" localSheetId="37" hidden="1">'[20]Employment Data Sectors (wages)'!$C$24:$C$35</definedName>
    <definedName name="_22__123Graph_CCHART_5" localSheetId="38" hidden="1">'[20]Employment Data Sectors (wages)'!$C$24:$C$35</definedName>
    <definedName name="_22__123Graph_CCHART_5" hidden="1">'[20]Employment Data Sectors (wages)'!$C$24:$C$35</definedName>
    <definedName name="_23__123Graph_ACHART_3" localSheetId="70" hidden="1">'[21]Employment Data Sectors (wages)'!$A$11:$A$8185</definedName>
    <definedName name="_23__123Graph_ACHART_3" localSheetId="71" hidden="1">'[21]Employment Data Sectors (wages)'!$A$11:$A$8185</definedName>
    <definedName name="_23__123Graph_ACHART_3" localSheetId="72" hidden="1">'[21]Employment Data Sectors (wages)'!$A$11:$A$8185</definedName>
    <definedName name="_23__123Graph_ACHART_3" localSheetId="73" hidden="1">'[21]Employment Data Sectors (wages)'!$A$11:$A$8185</definedName>
    <definedName name="_23__123Graph_ACHART_3" localSheetId="74" hidden="1">'[21]Employment Data Sectors (wages)'!$A$11:$A$8185</definedName>
    <definedName name="_23__123Graph_ACHART_3" localSheetId="79" hidden="1">'[14]Employment Data Sectors (wages)'!$A$11:$A$8185</definedName>
    <definedName name="_23__123Graph_ACHART_3" localSheetId="80" hidden="1">'[21]Employment Data Sectors (wages)'!$A$11:$A$8185</definedName>
    <definedName name="_23__123Graph_ACHART_3" localSheetId="81" hidden="1">'[21]Employment Data Sectors (wages)'!$A$11:$A$8185</definedName>
    <definedName name="_23__123Graph_ACHART_3" localSheetId="101" hidden="1">'[21]Employment Data Sectors (wages)'!$A$11:$A$8185</definedName>
    <definedName name="_23__123Graph_ACHART_3" localSheetId="108" hidden="1">'[21]Employment Data Sectors (wages)'!$A$11:$A$8185</definedName>
    <definedName name="_23__123Graph_ACHART_3" localSheetId="115" hidden="1">'[21]Employment Data Sectors (wages)'!$A$11:$A$8185</definedName>
    <definedName name="_23__123Graph_ACHART_3" localSheetId="7" hidden="1">'[21]Employment Data Sectors (wages)'!$A$11:$A$8185</definedName>
    <definedName name="_23__123Graph_ACHART_3" localSheetId="8" hidden="1">'[21]Employment Data Sectors (wages)'!$A$11:$A$8185</definedName>
    <definedName name="_23__123Graph_ACHART_3" localSheetId="9" hidden="1">'[21]Employment Data Sectors (wages)'!$A$11:$A$8185</definedName>
    <definedName name="_23__123Graph_ACHART_3" localSheetId="10" hidden="1">'[21]Employment Data Sectors (wages)'!$A$11:$A$8185</definedName>
    <definedName name="_23__123Graph_ACHART_3" localSheetId="19" hidden="1">'[21]Employment Data Sectors (wages)'!$A$11:$A$8185</definedName>
    <definedName name="_23__123Graph_ACHART_3" localSheetId="21" hidden="1">'[21]Employment Data Sectors (wages)'!$A$11:$A$8185</definedName>
    <definedName name="_23__123Graph_ACHART_3" localSheetId="23" hidden="1">'[21]Employment Data Sectors (wages)'!$A$11:$A$8185</definedName>
    <definedName name="_23__123Graph_ACHART_3" localSheetId="24" hidden="1">'[21]Employment Data Sectors (wages)'!$A$11:$A$8185</definedName>
    <definedName name="_23__123Graph_ACHART_3" localSheetId="25" hidden="1">'[21]Employment Data Sectors (wages)'!$A$11:$A$8185</definedName>
    <definedName name="_23__123Graph_ACHART_3" localSheetId="27" hidden="1">'[21]Employment Data Sectors (wages)'!$A$11:$A$8185</definedName>
    <definedName name="_23__123Graph_ACHART_3" localSheetId="30" hidden="1">'[21]Employment Data Sectors (wages)'!$A$11:$A$8185</definedName>
    <definedName name="_23__123Graph_ACHART_3" localSheetId="33" hidden="1">'[21]Employment Data Sectors (wages)'!$A$11:$A$8185</definedName>
    <definedName name="_23__123Graph_ACHART_3" localSheetId="34" hidden="1">'[21]Employment Data Sectors (wages)'!$A$11:$A$8185</definedName>
    <definedName name="_23__123Graph_ACHART_3" localSheetId="35" hidden="1">'[21]Employment Data Sectors (wages)'!$A$11:$A$8185</definedName>
    <definedName name="_23__123Graph_ACHART_3" localSheetId="36" hidden="1">'[21]Employment Data Sectors (wages)'!$A$11:$A$8185</definedName>
    <definedName name="_23__123Graph_ACHART_3" localSheetId="37" hidden="1">'[21]Employment Data Sectors (wages)'!$A$11:$A$8185</definedName>
    <definedName name="_23__123Graph_ACHART_3" localSheetId="38" hidden="1">'[21]Employment Data Sectors (wages)'!$A$11:$A$8185</definedName>
    <definedName name="_23__123Graph_ACHART_3" localSheetId="39" hidden="1">'[21]Employment Data Sectors (wages)'!$A$11:$A$8185</definedName>
    <definedName name="_23__123Graph_ACHART_3" localSheetId="40" hidden="1">'[21]Employment Data Sectors (wages)'!$A$11:$A$8185</definedName>
    <definedName name="_23__123Graph_ACHART_3" hidden="1">'[21]Employment Data Sectors (wages)'!$A$11:$A$8185</definedName>
    <definedName name="_23__123Graph_CCHART_5" localSheetId="55" hidden="1">'[16]Employment Data Sectors (wages)'!$C$24:$C$35</definedName>
    <definedName name="_23__123Graph_CCHART_5" localSheetId="70" hidden="1">'[16]Employment Data Sectors (wages)'!$C$24:$C$35</definedName>
    <definedName name="_23__123Graph_CCHART_5" localSheetId="71" hidden="1">'[17]Employment Data Sectors (wages)'!$C$24:$C$35</definedName>
    <definedName name="_23__123Graph_CCHART_5" localSheetId="72" hidden="1">'[17]Employment Data Sectors (wages)'!$C$24:$C$35</definedName>
    <definedName name="_23__123Graph_CCHART_5" localSheetId="73" hidden="1">'[17]Employment Data Sectors (wages)'!$C$24:$C$35</definedName>
    <definedName name="_23__123Graph_CCHART_5" localSheetId="74" hidden="1">'[17]Employment Data Sectors (wages)'!$C$24:$C$35</definedName>
    <definedName name="_23__123Graph_CCHART_5" localSheetId="79" hidden="1">'[18]Employment Data Sectors (wages)'!$C$24:$C$35</definedName>
    <definedName name="_23__123Graph_CCHART_5" localSheetId="80" hidden="1">'[16]Employment Data Sectors (wages)'!$C$24:$C$35</definedName>
    <definedName name="_23__123Graph_CCHART_5" localSheetId="81" hidden="1">'[16]Employment Data Sectors (wages)'!$C$24:$C$35</definedName>
    <definedName name="_23__123Graph_CCHART_5" localSheetId="101" hidden="1">'[16]Employment Data Sectors (wages)'!$C$24:$C$35</definedName>
    <definedName name="_23__123Graph_CCHART_5" localSheetId="108" hidden="1">'[16]Employment Data Sectors (wages)'!$C$24:$C$35</definedName>
    <definedName name="_23__123Graph_CCHART_5" localSheetId="115" hidden="1">'[17]Employment Data Sectors (wages)'!$C$24:$C$35</definedName>
    <definedName name="_23__123Graph_CCHART_5" localSheetId="7" hidden="1">'[16]Employment Data Sectors (wages)'!$C$24:$C$35</definedName>
    <definedName name="_23__123Graph_CCHART_5" localSheetId="8" hidden="1">'[16]Employment Data Sectors (wages)'!$C$24:$C$35</definedName>
    <definedName name="_23__123Graph_CCHART_5" localSheetId="9" hidden="1">'[16]Employment Data Sectors (wages)'!$C$24:$C$35</definedName>
    <definedName name="_23__123Graph_CCHART_5" localSheetId="10" hidden="1">'[17]Employment Data Sectors (wages)'!$C$24:$C$35</definedName>
    <definedName name="_23__123Graph_CCHART_5" localSheetId="19" hidden="1">'[16]Employment Data Sectors (wages)'!$C$24:$C$35</definedName>
    <definedName name="_23__123Graph_CCHART_5" localSheetId="21" hidden="1">'[16]Employment Data Sectors (wages)'!$C$24:$C$35</definedName>
    <definedName name="_23__123Graph_CCHART_5" localSheetId="23" hidden="1">'[16]Employment Data Sectors (wages)'!$C$24:$C$35</definedName>
    <definedName name="_23__123Graph_CCHART_5" localSheetId="24" hidden="1">'[16]Employment Data Sectors (wages)'!$C$24:$C$35</definedName>
    <definedName name="_23__123Graph_CCHART_5" localSheetId="25" hidden="1">'[16]Employment Data Sectors (wages)'!$C$24:$C$35</definedName>
    <definedName name="_23__123Graph_CCHART_5" localSheetId="27" hidden="1">'[16]Employment Data Sectors (wages)'!$C$24:$C$35</definedName>
    <definedName name="_23__123Graph_CCHART_5" localSheetId="30" hidden="1">'[16]Employment Data Sectors (wages)'!$C$24:$C$35</definedName>
    <definedName name="_23__123Graph_CCHART_5" localSheetId="33" hidden="1">'[16]Employment Data Sectors (wages)'!$C$24:$C$35</definedName>
    <definedName name="_23__123Graph_CCHART_5" localSheetId="34" hidden="1">'[17]Employment Data Sectors (wages)'!$C$24:$C$35</definedName>
    <definedName name="_23__123Graph_CCHART_5" localSheetId="35" hidden="1">'[17]Employment Data Sectors (wages)'!$C$24:$C$35</definedName>
    <definedName name="_23__123Graph_CCHART_5" localSheetId="36" hidden="1">'[17]Employment Data Sectors (wages)'!$C$24:$C$35</definedName>
    <definedName name="_23__123Graph_CCHART_5" localSheetId="37" hidden="1">'[17]Employment Data Sectors (wages)'!$C$24:$C$35</definedName>
    <definedName name="_23__123Graph_CCHART_5" localSheetId="38" hidden="1">'[17]Employment Data Sectors (wages)'!$C$24:$C$35</definedName>
    <definedName name="_23__123Graph_CCHART_5" localSheetId="39" hidden="1">'[16]Employment Data Sectors (wages)'!$C$24:$C$35</definedName>
    <definedName name="_23__123Graph_CCHART_5" localSheetId="40" hidden="1">'[16]Employment Data Sectors (wages)'!$C$24:$C$35</definedName>
    <definedName name="_23__123Graph_CCHART_5" hidden="1">'[17]Employment Data Sectors (wages)'!$C$24:$C$35</definedName>
    <definedName name="_23__123Graph_CCHART_6" localSheetId="55" hidden="1">'[19]Employment Data Sectors (wages)'!$U$49:$U$8103</definedName>
    <definedName name="_23__123Graph_CCHART_6" localSheetId="71" hidden="1">'[20]Employment Data Sectors (wages)'!$U$49:$U$8103</definedName>
    <definedName name="_23__123Graph_CCHART_6" localSheetId="72" hidden="1">'[20]Employment Data Sectors (wages)'!$U$49:$U$8103</definedName>
    <definedName name="_23__123Graph_CCHART_6" localSheetId="73" hidden="1">'[20]Employment Data Sectors (wages)'!$U$49:$U$8103</definedName>
    <definedName name="_23__123Graph_CCHART_6" localSheetId="74" hidden="1">'[20]Employment Data Sectors (wages)'!$U$49:$U$8103</definedName>
    <definedName name="_23__123Graph_CCHART_6" localSheetId="79" hidden="1">'[19]Employment Data Sectors (wages)'!$U$49:$U$8103</definedName>
    <definedName name="_23__123Graph_CCHART_6" localSheetId="115" hidden="1">'[20]Employment Data Sectors (wages)'!$U$49:$U$8103</definedName>
    <definedName name="_23__123Graph_CCHART_6" localSheetId="10" hidden="1">'[20]Employment Data Sectors (wages)'!$U$49:$U$8103</definedName>
    <definedName name="_23__123Graph_CCHART_6" localSheetId="23" hidden="1">'[20]Employment Data Sectors (wages)'!$U$49:$U$8103</definedName>
    <definedName name="_23__123Graph_CCHART_6" localSheetId="34" hidden="1">'[20]Employment Data Sectors (wages)'!$U$49:$U$8103</definedName>
    <definedName name="_23__123Graph_CCHART_6" localSheetId="35" hidden="1">'[20]Employment Data Sectors (wages)'!$U$49:$U$8103</definedName>
    <definedName name="_23__123Graph_CCHART_6" localSheetId="36" hidden="1">'[20]Employment Data Sectors (wages)'!$U$49:$U$8103</definedName>
    <definedName name="_23__123Graph_CCHART_6" localSheetId="37" hidden="1">'[20]Employment Data Sectors (wages)'!$U$49:$U$8103</definedName>
    <definedName name="_23__123Graph_CCHART_6" localSheetId="38" hidden="1">'[20]Employment Data Sectors (wages)'!$U$49:$U$8103</definedName>
    <definedName name="_23__123Graph_CCHART_6" hidden="1">'[20]Employment Data Sectors (wages)'!$U$49:$U$8103</definedName>
    <definedName name="_24__123Graph_ACHART_6" localSheetId="70" hidden="1">'[22]Employment Data Sectors (wages)'!$Y$49:$Y$8103</definedName>
    <definedName name="_24__123Graph_ACHART_6" localSheetId="71" hidden="1">'[22]Employment Data Sectors (wages)'!$Y$49:$Y$8103</definedName>
    <definedName name="_24__123Graph_ACHART_6" localSheetId="72" hidden="1">'[22]Employment Data Sectors (wages)'!$Y$49:$Y$8103</definedName>
    <definedName name="_24__123Graph_ACHART_6" localSheetId="73" hidden="1">'[22]Employment Data Sectors (wages)'!$Y$49:$Y$8103</definedName>
    <definedName name="_24__123Graph_ACHART_6" localSheetId="74" hidden="1">'[22]Employment Data Sectors (wages)'!$Y$49:$Y$8103</definedName>
    <definedName name="_24__123Graph_ACHART_6" localSheetId="79" hidden="1">'[14]Employment Data Sectors (wages)'!$Y$49:$Y$8103</definedName>
    <definedName name="_24__123Graph_ACHART_6" localSheetId="80" hidden="1">'[22]Employment Data Sectors (wages)'!$Y$49:$Y$8103</definedName>
    <definedName name="_24__123Graph_ACHART_6" localSheetId="81" hidden="1">'[22]Employment Data Sectors (wages)'!$Y$49:$Y$8103</definedName>
    <definedName name="_24__123Graph_ACHART_6" localSheetId="101" hidden="1">'[22]Employment Data Sectors (wages)'!$Y$49:$Y$8103</definedName>
    <definedName name="_24__123Graph_ACHART_6" localSheetId="108" hidden="1">'[22]Employment Data Sectors (wages)'!$Y$49:$Y$8103</definedName>
    <definedName name="_24__123Graph_ACHART_6" localSheetId="115" hidden="1">'[22]Employment Data Sectors (wages)'!$Y$49:$Y$8103</definedName>
    <definedName name="_24__123Graph_ACHART_6" localSheetId="7" hidden="1">'[22]Employment Data Sectors (wages)'!$Y$49:$Y$8103</definedName>
    <definedName name="_24__123Graph_ACHART_6" localSheetId="8" hidden="1">'[22]Employment Data Sectors (wages)'!$Y$49:$Y$8103</definedName>
    <definedName name="_24__123Graph_ACHART_6" localSheetId="9" hidden="1">'[22]Employment Data Sectors (wages)'!$Y$49:$Y$8103</definedName>
    <definedName name="_24__123Graph_ACHART_6" localSheetId="10" hidden="1">'[22]Employment Data Sectors (wages)'!$Y$49:$Y$8103</definedName>
    <definedName name="_24__123Graph_ACHART_6" localSheetId="19" hidden="1">'[22]Employment Data Sectors (wages)'!$Y$49:$Y$8103</definedName>
    <definedName name="_24__123Graph_ACHART_6" localSheetId="21" hidden="1">'[22]Employment Data Sectors (wages)'!$Y$49:$Y$8103</definedName>
    <definedName name="_24__123Graph_ACHART_6" localSheetId="23" hidden="1">'[22]Employment Data Sectors (wages)'!$Y$49:$Y$8103</definedName>
    <definedName name="_24__123Graph_ACHART_6" localSheetId="24" hidden="1">'[22]Employment Data Sectors (wages)'!$Y$49:$Y$8103</definedName>
    <definedName name="_24__123Graph_ACHART_6" localSheetId="25" hidden="1">'[14]Employment Data Sectors (wages)'!$Y$49:$Y$8103</definedName>
    <definedName name="_24__123Graph_ACHART_6" localSheetId="27" hidden="1">'[22]Employment Data Sectors (wages)'!$Y$49:$Y$8103</definedName>
    <definedName name="_24__123Graph_ACHART_6" localSheetId="30" hidden="1">'[22]Employment Data Sectors (wages)'!$Y$49:$Y$8103</definedName>
    <definedName name="_24__123Graph_ACHART_6" localSheetId="33" hidden="1">'[22]Employment Data Sectors (wages)'!$Y$49:$Y$8103</definedName>
    <definedName name="_24__123Graph_ACHART_6" localSheetId="34" hidden="1">'[22]Employment Data Sectors (wages)'!$Y$49:$Y$8103</definedName>
    <definedName name="_24__123Graph_ACHART_6" localSheetId="35" hidden="1">'[22]Employment Data Sectors (wages)'!$Y$49:$Y$8103</definedName>
    <definedName name="_24__123Graph_ACHART_6" localSheetId="36" hidden="1">'[22]Employment Data Sectors (wages)'!$Y$49:$Y$8103</definedName>
    <definedName name="_24__123Graph_ACHART_6" localSheetId="37" hidden="1">'[22]Employment Data Sectors (wages)'!$Y$49:$Y$8103</definedName>
    <definedName name="_24__123Graph_ACHART_6" localSheetId="38" hidden="1">'[22]Employment Data Sectors (wages)'!$Y$49:$Y$8103</definedName>
    <definedName name="_24__123Graph_ACHART_6" localSheetId="39" hidden="1">'[22]Employment Data Sectors (wages)'!$Y$49:$Y$8103</definedName>
    <definedName name="_24__123Graph_ACHART_6" localSheetId="40" hidden="1">'[22]Employment Data Sectors (wages)'!$Y$49:$Y$8103</definedName>
    <definedName name="_24__123Graph_ACHART_6" hidden="1">'[22]Employment Data Sectors (wages)'!$Y$49:$Y$8103</definedName>
    <definedName name="_24__123Graph_BCHART_1" hidden="1">'[15]Employment Data Sectors (wages)'!$B$8173:$B$8184</definedName>
    <definedName name="_24__123Graph_CCHART_6" localSheetId="55" hidden="1">'[16]Employment Data Sectors (wages)'!$U$49:$U$8103</definedName>
    <definedName name="_24__123Graph_CCHART_6" localSheetId="70" hidden="1">'[16]Employment Data Sectors (wages)'!$U$49:$U$8103</definedName>
    <definedName name="_24__123Graph_CCHART_6" localSheetId="71" hidden="1">'[17]Employment Data Sectors (wages)'!$U$49:$U$8103</definedName>
    <definedName name="_24__123Graph_CCHART_6" localSheetId="72" hidden="1">'[17]Employment Data Sectors (wages)'!$U$49:$U$8103</definedName>
    <definedName name="_24__123Graph_CCHART_6" localSheetId="73" hidden="1">'[17]Employment Data Sectors (wages)'!$U$49:$U$8103</definedName>
    <definedName name="_24__123Graph_CCHART_6" localSheetId="74" hidden="1">'[17]Employment Data Sectors (wages)'!$U$49:$U$8103</definedName>
    <definedName name="_24__123Graph_CCHART_6" localSheetId="79" hidden="1">'[18]Employment Data Sectors (wages)'!$U$49:$U$8103</definedName>
    <definedName name="_24__123Graph_CCHART_6" localSheetId="80" hidden="1">'[16]Employment Data Sectors (wages)'!$U$49:$U$8103</definedName>
    <definedName name="_24__123Graph_CCHART_6" localSheetId="81" hidden="1">'[16]Employment Data Sectors (wages)'!$U$49:$U$8103</definedName>
    <definedName name="_24__123Graph_CCHART_6" localSheetId="101" hidden="1">'[16]Employment Data Sectors (wages)'!$U$49:$U$8103</definedName>
    <definedName name="_24__123Graph_CCHART_6" localSheetId="108" hidden="1">'[16]Employment Data Sectors (wages)'!$U$49:$U$8103</definedName>
    <definedName name="_24__123Graph_CCHART_6" localSheetId="115" hidden="1">'[17]Employment Data Sectors (wages)'!$U$49:$U$8103</definedName>
    <definedName name="_24__123Graph_CCHART_6" localSheetId="7" hidden="1">'[16]Employment Data Sectors (wages)'!$U$49:$U$8103</definedName>
    <definedName name="_24__123Graph_CCHART_6" localSheetId="8" hidden="1">'[16]Employment Data Sectors (wages)'!$U$49:$U$8103</definedName>
    <definedName name="_24__123Graph_CCHART_6" localSheetId="9" hidden="1">'[16]Employment Data Sectors (wages)'!$U$49:$U$8103</definedName>
    <definedName name="_24__123Graph_CCHART_6" localSheetId="10" hidden="1">'[17]Employment Data Sectors (wages)'!$U$49:$U$8103</definedName>
    <definedName name="_24__123Graph_CCHART_6" localSheetId="19" hidden="1">'[16]Employment Data Sectors (wages)'!$U$49:$U$8103</definedName>
    <definedName name="_24__123Graph_CCHART_6" localSheetId="21" hidden="1">'[16]Employment Data Sectors (wages)'!$U$49:$U$8103</definedName>
    <definedName name="_24__123Graph_CCHART_6" localSheetId="23" hidden="1">'[16]Employment Data Sectors (wages)'!$U$49:$U$8103</definedName>
    <definedName name="_24__123Graph_CCHART_6" localSheetId="24" hidden="1">'[16]Employment Data Sectors (wages)'!$U$49:$U$8103</definedName>
    <definedName name="_24__123Graph_CCHART_6" localSheetId="25" hidden="1">'[16]Employment Data Sectors (wages)'!$U$49:$U$8103</definedName>
    <definedName name="_24__123Graph_CCHART_6" localSheetId="27" hidden="1">'[16]Employment Data Sectors (wages)'!$U$49:$U$8103</definedName>
    <definedName name="_24__123Graph_CCHART_6" localSheetId="30" hidden="1">'[16]Employment Data Sectors (wages)'!$U$49:$U$8103</definedName>
    <definedName name="_24__123Graph_CCHART_6" localSheetId="33" hidden="1">'[16]Employment Data Sectors (wages)'!$U$49:$U$8103</definedName>
    <definedName name="_24__123Graph_CCHART_6" localSheetId="34" hidden="1">'[17]Employment Data Sectors (wages)'!$U$49:$U$8103</definedName>
    <definedName name="_24__123Graph_CCHART_6" localSheetId="35" hidden="1">'[17]Employment Data Sectors (wages)'!$U$49:$U$8103</definedName>
    <definedName name="_24__123Graph_CCHART_6" localSheetId="36" hidden="1">'[17]Employment Data Sectors (wages)'!$U$49:$U$8103</definedName>
    <definedName name="_24__123Graph_CCHART_6" localSheetId="37" hidden="1">'[17]Employment Data Sectors (wages)'!$U$49:$U$8103</definedName>
    <definedName name="_24__123Graph_CCHART_6" localSheetId="38" hidden="1">'[17]Employment Data Sectors (wages)'!$U$49:$U$8103</definedName>
    <definedName name="_24__123Graph_CCHART_6" localSheetId="39" hidden="1">'[16]Employment Data Sectors (wages)'!$U$49:$U$8103</definedName>
    <definedName name="_24__123Graph_CCHART_6" localSheetId="40" hidden="1">'[16]Employment Data Sectors (wages)'!$U$49:$U$8103</definedName>
    <definedName name="_24__123Graph_CCHART_6" hidden="1">'[17]Employment Data Sectors (wages)'!$U$49:$U$8103</definedName>
    <definedName name="_24__123Graph_CCHART_7" localSheetId="55" hidden="1">'[19]Employment Data Sectors (wages)'!$Y$14:$Y$25</definedName>
    <definedName name="_24__123Graph_CCHART_7" localSheetId="71" hidden="1">'[20]Employment Data Sectors (wages)'!$Y$14:$Y$25</definedName>
    <definedName name="_24__123Graph_CCHART_7" localSheetId="72" hidden="1">'[20]Employment Data Sectors (wages)'!$Y$14:$Y$25</definedName>
    <definedName name="_24__123Graph_CCHART_7" localSheetId="73" hidden="1">'[20]Employment Data Sectors (wages)'!$Y$14:$Y$25</definedName>
    <definedName name="_24__123Graph_CCHART_7" localSheetId="74" hidden="1">'[20]Employment Data Sectors (wages)'!$Y$14:$Y$25</definedName>
    <definedName name="_24__123Graph_CCHART_7" localSheetId="79" hidden="1">'[19]Employment Data Sectors (wages)'!$Y$14:$Y$25</definedName>
    <definedName name="_24__123Graph_CCHART_7" localSheetId="115" hidden="1">'[20]Employment Data Sectors (wages)'!$Y$14:$Y$25</definedName>
    <definedName name="_24__123Graph_CCHART_7" localSheetId="10" hidden="1">'[20]Employment Data Sectors (wages)'!$Y$14:$Y$25</definedName>
    <definedName name="_24__123Graph_CCHART_7" localSheetId="23" hidden="1">'[20]Employment Data Sectors (wages)'!$Y$14:$Y$25</definedName>
    <definedName name="_24__123Graph_CCHART_7" localSheetId="34" hidden="1">'[20]Employment Data Sectors (wages)'!$Y$14:$Y$25</definedName>
    <definedName name="_24__123Graph_CCHART_7" localSheetId="35" hidden="1">'[20]Employment Data Sectors (wages)'!$Y$14:$Y$25</definedName>
    <definedName name="_24__123Graph_CCHART_7" localSheetId="36" hidden="1">'[20]Employment Data Sectors (wages)'!$Y$14:$Y$25</definedName>
    <definedName name="_24__123Graph_CCHART_7" localSheetId="37" hidden="1">'[20]Employment Data Sectors (wages)'!$Y$14:$Y$25</definedName>
    <definedName name="_24__123Graph_CCHART_7" localSheetId="38" hidden="1">'[20]Employment Data Sectors (wages)'!$Y$14:$Y$25</definedName>
    <definedName name="_24__123Graph_CCHART_7" hidden="1">'[20]Employment Data Sectors (wages)'!$Y$14:$Y$25</definedName>
    <definedName name="_25__123Graph_ACHART_1" hidden="1">'[14]Employment Data Sectors (wages)'!$A$8173:$A$8184</definedName>
    <definedName name="_25__123Graph_ACHART_6" hidden="1">'[14]Employment Data Sectors (wages)'!$Y$49:$Y$8103</definedName>
    <definedName name="_25__123Graph_CCHART_7" localSheetId="55" hidden="1">'[16]Employment Data Sectors (wages)'!$Y$14:$Y$25</definedName>
    <definedName name="_25__123Graph_CCHART_7" localSheetId="70" hidden="1">'[16]Employment Data Sectors (wages)'!$Y$14:$Y$25</definedName>
    <definedName name="_25__123Graph_CCHART_7" localSheetId="71" hidden="1">'[17]Employment Data Sectors (wages)'!$Y$14:$Y$25</definedName>
    <definedName name="_25__123Graph_CCHART_7" localSheetId="72" hidden="1">'[17]Employment Data Sectors (wages)'!$Y$14:$Y$25</definedName>
    <definedName name="_25__123Graph_CCHART_7" localSheetId="73" hidden="1">'[17]Employment Data Sectors (wages)'!$Y$14:$Y$25</definedName>
    <definedName name="_25__123Graph_CCHART_7" localSheetId="74" hidden="1">'[17]Employment Data Sectors (wages)'!$Y$14:$Y$25</definedName>
    <definedName name="_25__123Graph_CCHART_7" localSheetId="79" hidden="1">'[18]Employment Data Sectors (wages)'!$Y$14:$Y$25</definedName>
    <definedName name="_25__123Graph_CCHART_7" localSheetId="80" hidden="1">'[16]Employment Data Sectors (wages)'!$Y$14:$Y$25</definedName>
    <definedName name="_25__123Graph_CCHART_7" localSheetId="81" hidden="1">'[16]Employment Data Sectors (wages)'!$Y$14:$Y$25</definedName>
    <definedName name="_25__123Graph_CCHART_7" localSheetId="101" hidden="1">'[16]Employment Data Sectors (wages)'!$Y$14:$Y$25</definedName>
    <definedName name="_25__123Graph_CCHART_7" localSheetId="108" hidden="1">'[16]Employment Data Sectors (wages)'!$Y$14:$Y$25</definedName>
    <definedName name="_25__123Graph_CCHART_7" localSheetId="115" hidden="1">'[17]Employment Data Sectors (wages)'!$Y$14:$Y$25</definedName>
    <definedName name="_25__123Graph_CCHART_7" localSheetId="7" hidden="1">'[16]Employment Data Sectors (wages)'!$Y$14:$Y$25</definedName>
    <definedName name="_25__123Graph_CCHART_7" localSheetId="8" hidden="1">'[16]Employment Data Sectors (wages)'!$Y$14:$Y$25</definedName>
    <definedName name="_25__123Graph_CCHART_7" localSheetId="9" hidden="1">'[16]Employment Data Sectors (wages)'!$Y$14:$Y$25</definedName>
    <definedName name="_25__123Graph_CCHART_7" localSheetId="10" hidden="1">'[17]Employment Data Sectors (wages)'!$Y$14:$Y$25</definedName>
    <definedName name="_25__123Graph_CCHART_7" localSheetId="19" hidden="1">'[16]Employment Data Sectors (wages)'!$Y$14:$Y$25</definedName>
    <definedName name="_25__123Graph_CCHART_7" localSheetId="21" hidden="1">'[16]Employment Data Sectors (wages)'!$Y$14:$Y$25</definedName>
    <definedName name="_25__123Graph_CCHART_7" localSheetId="23" hidden="1">'[16]Employment Data Sectors (wages)'!$Y$14:$Y$25</definedName>
    <definedName name="_25__123Graph_CCHART_7" localSheetId="24" hidden="1">'[16]Employment Data Sectors (wages)'!$Y$14:$Y$25</definedName>
    <definedName name="_25__123Graph_CCHART_7" localSheetId="25" hidden="1">'[16]Employment Data Sectors (wages)'!$Y$14:$Y$25</definedName>
    <definedName name="_25__123Graph_CCHART_7" localSheetId="27" hidden="1">'[16]Employment Data Sectors (wages)'!$Y$14:$Y$25</definedName>
    <definedName name="_25__123Graph_CCHART_7" localSheetId="30" hidden="1">'[16]Employment Data Sectors (wages)'!$Y$14:$Y$25</definedName>
    <definedName name="_25__123Graph_CCHART_7" localSheetId="33" hidden="1">'[16]Employment Data Sectors (wages)'!$Y$14:$Y$25</definedName>
    <definedName name="_25__123Graph_CCHART_7" localSheetId="34" hidden="1">'[17]Employment Data Sectors (wages)'!$Y$14:$Y$25</definedName>
    <definedName name="_25__123Graph_CCHART_7" localSheetId="35" hidden="1">'[17]Employment Data Sectors (wages)'!$Y$14:$Y$25</definedName>
    <definedName name="_25__123Graph_CCHART_7" localSheetId="36" hidden="1">'[17]Employment Data Sectors (wages)'!$Y$14:$Y$25</definedName>
    <definedName name="_25__123Graph_CCHART_7" localSheetId="37" hidden="1">'[17]Employment Data Sectors (wages)'!$Y$14:$Y$25</definedName>
    <definedName name="_25__123Graph_CCHART_7" localSheetId="38" hidden="1">'[17]Employment Data Sectors (wages)'!$Y$14:$Y$25</definedName>
    <definedName name="_25__123Graph_CCHART_7" localSheetId="39" hidden="1">'[16]Employment Data Sectors (wages)'!$Y$14:$Y$25</definedName>
    <definedName name="_25__123Graph_CCHART_7" localSheetId="40" hidden="1">'[16]Employment Data Sectors (wages)'!$Y$14:$Y$25</definedName>
    <definedName name="_25__123Graph_CCHART_7" hidden="1">'[17]Employment Data Sectors (wages)'!$Y$14:$Y$25</definedName>
    <definedName name="_25__123Graph_CCHART_8" localSheetId="55" hidden="1">'[19]Employment Data Sectors (wages)'!$W$14:$W$25</definedName>
    <definedName name="_25__123Graph_CCHART_8" localSheetId="71" hidden="1">'[20]Employment Data Sectors (wages)'!$W$14:$W$25</definedName>
    <definedName name="_25__123Graph_CCHART_8" localSheetId="72" hidden="1">'[20]Employment Data Sectors (wages)'!$W$14:$W$25</definedName>
    <definedName name="_25__123Graph_CCHART_8" localSheetId="73" hidden="1">'[20]Employment Data Sectors (wages)'!$W$14:$W$25</definedName>
    <definedName name="_25__123Graph_CCHART_8" localSheetId="74" hidden="1">'[20]Employment Data Sectors (wages)'!$W$14:$W$25</definedName>
    <definedName name="_25__123Graph_CCHART_8" localSheetId="79" hidden="1">'[19]Employment Data Sectors (wages)'!$W$14:$W$25</definedName>
    <definedName name="_25__123Graph_CCHART_8" localSheetId="115" hidden="1">'[20]Employment Data Sectors (wages)'!$W$14:$W$25</definedName>
    <definedName name="_25__123Graph_CCHART_8" localSheetId="10" hidden="1">'[20]Employment Data Sectors (wages)'!$W$14:$W$25</definedName>
    <definedName name="_25__123Graph_CCHART_8" localSheetId="23" hidden="1">'[20]Employment Data Sectors (wages)'!$W$14:$W$25</definedName>
    <definedName name="_25__123Graph_CCHART_8" localSheetId="34" hidden="1">'[20]Employment Data Sectors (wages)'!$W$14:$W$25</definedName>
    <definedName name="_25__123Graph_CCHART_8" localSheetId="35" hidden="1">'[20]Employment Data Sectors (wages)'!$W$14:$W$25</definedName>
    <definedName name="_25__123Graph_CCHART_8" localSheetId="36" hidden="1">'[20]Employment Data Sectors (wages)'!$W$14:$W$25</definedName>
    <definedName name="_25__123Graph_CCHART_8" localSheetId="37" hidden="1">'[20]Employment Data Sectors (wages)'!$W$14:$W$25</definedName>
    <definedName name="_25__123Graph_CCHART_8" localSheetId="38" hidden="1">'[20]Employment Data Sectors (wages)'!$W$14:$W$25</definedName>
    <definedName name="_25__123Graph_CCHART_8" hidden="1">'[20]Employment Data Sectors (wages)'!$W$14:$W$25</definedName>
    <definedName name="_26__123Graph_BCHART_2" hidden="1">'[15]Employment Data Sectors (wages)'!$B$8173:$B$8184</definedName>
    <definedName name="_26__123Graph_CCHART_8" localSheetId="55" hidden="1">'[16]Employment Data Sectors (wages)'!$W$14:$W$25</definedName>
    <definedName name="_26__123Graph_CCHART_8" localSheetId="70" hidden="1">'[16]Employment Data Sectors (wages)'!$W$14:$W$25</definedName>
    <definedName name="_26__123Graph_CCHART_8" localSheetId="71" hidden="1">'[17]Employment Data Sectors (wages)'!$W$14:$W$25</definedName>
    <definedName name="_26__123Graph_CCHART_8" localSheetId="72" hidden="1">'[17]Employment Data Sectors (wages)'!$W$14:$W$25</definedName>
    <definedName name="_26__123Graph_CCHART_8" localSheetId="73" hidden="1">'[17]Employment Data Sectors (wages)'!$W$14:$W$25</definedName>
    <definedName name="_26__123Graph_CCHART_8" localSheetId="74" hidden="1">'[17]Employment Data Sectors (wages)'!$W$14:$W$25</definedName>
    <definedName name="_26__123Graph_CCHART_8" localSheetId="79" hidden="1">'[18]Employment Data Sectors (wages)'!$W$14:$W$25</definedName>
    <definedName name="_26__123Graph_CCHART_8" localSheetId="80" hidden="1">'[16]Employment Data Sectors (wages)'!$W$14:$W$25</definedName>
    <definedName name="_26__123Graph_CCHART_8" localSheetId="81" hidden="1">'[16]Employment Data Sectors (wages)'!$W$14:$W$25</definedName>
    <definedName name="_26__123Graph_CCHART_8" localSheetId="101" hidden="1">'[16]Employment Data Sectors (wages)'!$W$14:$W$25</definedName>
    <definedName name="_26__123Graph_CCHART_8" localSheetId="108" hidden="1">'[16]Employment Data Sectors (wages)'!$W$14:$W$25</definedName>
    <definedName name="_26__123Graph_CCHART_8" localSheetId="115" hidden="1">'[17]Employment Data Sectors (wages)'!$W$14:$W$25</definedName>
    <definedName name="_26__123Graph_CCHART_8" localSheetId="7" hidden="1">'[16]Employment Data Sectors (wages)'!$W$14:$W$25</definedName>
    <definedName name="_26__123Graph_CCHART_8" localSheetId="8" hidden="1">'[16]Employment Data Sectors (wages)'!$W$14:$W$25</definedName>
    <definedName name="_26__123Graph_CCHART_8" localSheetId="9" hidden="1">'[16]Employment Data Sectors (wages)'!$W$14:$W$25</definedName>
    <definedName name="_26__123Graph_CCHART_8" localSheetId="10" hidden="1">'[17]Employment Data Sectors (wages)'!$W$14:$W$25</definedName>
    <definedName name="_26__123Graph_CCHART_8" localSheetId="19" hidden="1">'[16]Employment Data Sectors (wages)'!$W$14:$W$25</definedName>
    <definedName name="_26__123Graph_CCHART_8" localSheetId="21" hidden="1">'[16]Employment Data Sectors (wages)'!$W$14:$W$25</definedName>
    <definedName name="_26__123Graph_CCHART_8" localSheetId="23" hidden="1">'[16]Employment Data Sectors (wages)'!$W$14:$W$25</definedName>
    <definedName name="_26__123Graph_CCHART_8" localSheetId="24" hidden="1">'[16]Employment Data Sectors (wages)'!$W$14:$W$25</definedName>
    <definedName name="_26__123Graph_CCHART_8" localSheetId="25" hidden="1">'[16]Employment Data Sectors (wages)'!$W$14:$W$25</definedName>
    <definedName name="_26__123Graph_CCHART_8" localSheetId="27" hidden="1">'[16]Employment Data Sectors (wages)'!$W$14:$W$25</definedName>
    <definedName name="_26__123Graph_CCHART_8" localSheetId="30" hidden="1">'[16]Employment Data Sectors (wages)'!$W$14:$W$25</definedName>
    <definedName name="_26__123Graph_CCHART_8" localSheetId="33" hidden="1">'[16]Employment Data Sectors (wages)'!$W$14:$W$25</definedName>
    <definedName name="_26__123Graph_CCHART_8" localSheetId="34" hidden="1">'[17]Employment Data Sectors (wages)'!$W$14:$W$25</definedName>
    <definedName name="_26__123Graph_CCHART_8" localSheetId="35" hidden="1">'[17]Employment Data Sectors (wages)'!$W$14:$W$25</definedName>
    <definedName name="_26__123Graph_CCHART_8" localSheetId="36" hidden="1">'[17]Employment Data Sectors (wages)'!$W$14:$W$25</definedName>
    <definedName name="_26__123Graph_CCHART_8" localSheetId="37" hidden="1">'[17]Employment Data Sectors (wages)'!$W$14:$W$25</definedName>
    <definedName name="_26__123Graph_CCHART_8" localSheetId="38" hidden="1">'[17]Employment Data Sectors (wages)'!$W$14:$W$25</definedName>
    <definedName name="_26__123Graph_CCHART_8" localSheetId="39" hidden="1">'[16]Employment Data Sectors (wages)'!$W$14:$W$25</definedName>
    <definedName name="_26__123Graph_CCHART_8" localSheetId="40" hidden="1">'[16]Employment Data Sectors (wages)'!$W$14:$W$25</definedName>
    <definedName name="_26__123Graph_CCHART_8" hidden="1">'[17]Employment Data Sectors (wages)'!$W$14:$W$25</definedName>
    <definedName name="_26__123Graph_DCHART_7" localSheetId="55" hidden="1">'[19]Employment Data Sectors (wages)'!$Y$26:$Y$37</definedName>
    <definedName name="_26__123Graph_DCHART_7" localSheetId="71" hidden="1">'[20]Employment Data Sectors (wages)'!$Y$26:$Y$37</definedName>
    <definedName name="_26__123Graph_DCHART_7" localSheetId="72" hidden="1">'[20]Employment Data Sectors (wages)'!$Y$26:$Y$37</definedName>
    <definedName name="_26__123Graph_DCHART_7" localSheetId="73" hidden="1">'[20]Employment Data Sectors (wages)'!$Y$26:$Y$37</definedName>
    <definedName name="_26__123Graph_DCHART_7" localSheetId="74" hidden="1">'[20]Employment Data Sectors (wages)'!$Y$26:$Y$37</definedName>
    <definedName name="_26__123Graph_DCHART_7" localSheetId="79" hidden="1">'[19]Employment Data Sectors (wages)'!$Y$26:$Y$37</definedName>
    <definedName name="_26__123Graph_DCHART_7" localSheetId="115" hidden="1">'[20]Employment Data Sectors (wages)'!$Y$26:$Y$37</definedName>
    <definedName name="_26__123Graph_DCHART_7" localSheetId="10" hidden="1">'[20]Employment Data Sectors (wages)'!$Y$26:$Y$37</definedName>
    <definedName name="_26__123Graph_DCHART_7" localSheetId="23" hidden="1">'[20]Employment Data Sectors (wages)'!$Y$26:$Y$37</definedName>
    <definedName name="_26__123Graph_DCHART_7" localSheetId="34" hidden="1">'[20]Employment Data Sectors (wages)'!$Y$26:$Y$37</definedName>
    <definedName name="_26__123Graph_DCHART_7" localSheetId="35" hidden="1">'[20]Employment Data Sectors (wages)'!$Y$26:$Y$37</definedName>
    <definedName name="_26__123Graph_DCHART_7" localSheetId="36" hidden="1">'[20]Employment Data Sectors (wages)'!$Y$26:$Y$37</definedName>
    <definedName name="_26__123Graph_DCHART_7" localSheetId="37" hidden="1">'[20]Employment Data Sectors (wages)'!$Y$26:$Y$37</definedName>
    <definedName name="_26__123Graph_DCHART_7" localSheetId="38" hidden="1">'[20]Employment Data Sectors (wages)'!$Y$26:$Y$37</definedName>
    <definedName name="_26__123Graph_DCHART_7" hidden="1">'[20]Employment Data Sectors (wages)'!$Y$26:$Y$37</definedName>
    <definedName name="_27__123Graph_ACHART_7" localSheetId="70" hidden="1">'[22]Employment Data Sectors (wages)'!$Y$8175:$Y$8186</definedName>
    <definedName name="_27__123Graph_ACHART_7" localSheetId="71" hidden="1">'[22]Employment Data Sectors (wages)'!$Y$8175:$Y$8186</definedName>
    <definedName name="_27__123Graph_ACHART_7" localSheetId="72" hidden="1">'[22]Employment Data Sectors (wages)'!$Y$8175:$Y$8186</definedName>
    <definedName name="_27__123Graph_ACHART_7" localSheetId="73" hidden="1">'[22]Employment Data Sectors (wages)'!$Y$8175:$Y$8186</definedName>
    <definedName name="_27__123Graph_ACHART_7" localSheetId="74" hidden="1">'[22]Employment Data Sectors (wages)'!$Y$8175:$Y$8186</definedName>
    <definedName name="_27__123Graph_ACHART_7" localSheetId="79" hidden="1">'[14]Employment Data Sectors (wages)'!$Y$8175:$Y$8186</definedName>
    <definedName name="_27__123Graph_ACHART_7" localSheetId="80" hidden="1">'[22]Employment Data Sectors (wages)'!$Y$8175:$Y$8186</definedName>
    <definedName name="_27__123Graph_ACHART_7" localSheetId="81" hidden="1">'[22]Employment Data Sectors (wages)'!$Y$8175:$Y$8186</definedName>
    <definedName name="_27__123Graph_ACHART_7" localSheetId="101" hidden="1">'[22]Employment Data Sectors (wages)'!$Y$8175:$Y$8186</definedName>
    <definedName name="_27__123Graph_ACHART_7" localSheetId="108" hidden="1">'[22]Employment Data Sectors (wages)'!$Y$8175:$Y$8186</definedName>
    <definedName name="_27__123Graph_ACHART_7" localSheetId="115" hidden="1">'[22]Employment Data Sectors (wages)'!$Y$8175:$Y$8186</definedName>
    <definedName name="_27__123Graph_ACHART_7" localSheetId="7" hidden="1">'[22]Employment Data Sectors (wages)'!$Y$8175:$Y$8186</definedName>
    <definedName name="_27__123Graph_ACHART_7" localSheetId="8" hidden="1">'[22]Employment Data Sectors (wages)'!$Y$8175:$Y$8186</definedName>
    <definedName name="_27__123Graph_ACHART_7" localSheetId="9" hidden="1">'[22]Employment Data Sectors (wages)'!$Y$8175:$Y$8186</definedName>
    <definedName name="_27__123Graph_ACHART_7" localSheetId="10" hidden="1">'[22]Employment Data Sectors (wages)'!$Y$8175:$Y$8186</definedName>
    <definedName name="_27__123Graph_ACHART_7" localSheetId="19" hidden="1">'[22]Employment Data Sectors (wages)'!$Y$8175:$Y$8186</definedName>
    <definedName name="_27__123Graph_ACHART_7" localSheetId="21" hidden="1">'[22]Employment Data Sectors (wages)'!$Y$8175:$Y$8186</definedName>
    <definedName name="_27__123Graph_ACHART_7" localSheetId="23" hidden="1">'[22]Employment Data Sectors (wages)'!$Y$8175:$Y$8186</definedName>
    <definedName name="_27__123Graph_ACHART_7" localSheetId="24" hidden="1">'[22]Employment Data Sectors (wages)'!$Y$8175:$Y$8186</definedName>
    <definedName name="_27__123Graph_ACHART_7" localSheetId="25" hidden="1">'[14]Employment Data Sectors (wages)'!$Y$8175:$Y$8186</definedName>
    <definedName name="_27__123Graph_ACHART_7" localSheetId="27" hidden="1">'[22]Employment Data Sectors (wages)'!$Y$8175:$Y$8186</definedName>
    <definedName name="_27__123Graph_ACHART_7" localSheetId="30" hidden="1">'[22]Employment Data Sectors (wages)'!$Y$8175:$Y$8186</definedName>
    <definedName name="_27__123Graph_ACHART_7" localSheetId="33" hidden="1">'[22]Employment Data Sectors (wages)'!$Y$8175:$Y$8186</definedName>
    <definedName name="_27__123Graph_ACHART_7" localSheetId="34" hidden="1">'[22]Employment Data Sectors (wages)'!$Y$8175:$Y$8186</definedName>
    <definedName name="_27__123Graph_ACHART_7" localSheetId="35" hidden="1">'[22]Employment Data Sectors (wages)'!$Y$8175:$Y$8186</definedName>
    <definedName name="_27__123Graph_ACHART_7" localSheetId="36" hidden="1">'[22]Employment Data Sectors (wages)'!$Y$8175:$Y$8186</definedName>
    <definedName name="_27__123Graph_ACHART_7" localSheetId="37" hidden="1">'[22]Employment Data Sectors (wages)'!$Y$8175:$Y$8186</definedName>
    <definedName name="_27__123Graph_ACHART_7" localSheetId="38" hidden="1">'[22]Employment Data Sectors (wages)'!$Y$8175:$Y$8186</definedName>
    <definedName name="_27__123Graph_ACHART_7" localSheetId="39" hidden="1">'[22]Employment Data Sectors (wages)'!$Y$8175:$Y$8186</definedName>
    <definedName name="_27__123Graph_ACHART_7" localSheetId="40" hidden="1">'[22]Employment Data Sectors (wages)'!$Y$8175:$Y$8186</definedName>
    <definedName name="_27__123Graph_ACHART_7" hidden="1">'[22]Employment Data Sectors (wages)'!$Y$8175:$Y$8186</definedName>
    <definedName name="_27__123Graph_DCHART_7" localSheetId="55" hidden="1">'[16]Employment Data Sectors (wages)'!$Y$26:$Y$37</definedName>
    <definedName name="_27__123Graph_DCHART_7" localSheetId="70" hidden="1">'[16]Employment Data Sectors (wages)'!$Y$26:$Y$37</definedName>
    <definedName name="_27__123Graph_DCHART_7" localSheetId="71" hidden="1">'[17]Employment Data Sectors (wages)'!$Y$26:$Y$37</definedName>
    <definedName name="_27__123Graph_DCHART_7" localSheetId="72" hidden="1">'[17]Employment Data Sectors (wages)'!$Y$26:$Y$37</definedName>
    <definedName name="_27__123Graph_DCHART_7" localSheetId="73" hidden="1">'[17]Employment Data Sectors (wages)'!$Y$26:$Y$37</definedName>
    <definedName name="_27__123Graph_DCHART_7" localSheetId="74" hidden="1">'[17]Employment Data Sectors (wages)'!$Y$26:$Y$37</definedName>
    <definedName name="_27__123Graph_DCHART_7" localSheetId="79" hidden="1">'[18]Employment Data Sectors (wages)'!$Y$26:$Y$37</definedName>
    <definedName name="_27__123Graph_DCHART_7" localSheetId="80" hidden="1">'[16]Employment Data Sectors (wages)'!$Y$26:$Y$37</definedName>
    <definedName name="_27__123Graph_DCHART_7" localSheetId="81" hidden="1">'[16]Employment Data Sectors (wages)'!$Y$26:$Y$37</definedName>
    <definedName name="_27__123Graph_DCHART_7" localSheetId="101" hidden="1">'[16]Employment Data Sectors (wages)'!$Y$26:$Y$37</definedName>
    <definedName name="_27__123Graph_DCHART_7" localSheetId="108" hidden="1">'[16]Employment Data Sectors (wages)'!$Y$26:$Y$37</definedName>
    <definedName name="_27__123Graph_DCHART_7" localSheetId="115" hidden="1">'[17]Employment Data Sectors (wages)'!$Y$26:$Y$37</definedName>
    <definedName name="_27__123Graph_DCHART_7" localSheetId="7" hidden="1">'[16]Employment Data Sectors (wages)'!$Y$26:$Y$37</definedName>
    <definedName name="_27__123Graph_DCHART_7" localSheetId="8" hidden="1">'[16]Employment Data Sectors (wages)'!$Y$26:$Y$37</definedName>
    <definedName name="_27__123Graph_DCHART_7" localSheetId="9" hidden="1">'[16]Employment Data Sectors (wages)'!$Y$26:$Y$37</definedName>
    <definedName name="_27__123Graph_DCHART_7" localSheetId="10" hidden="1">'[17]Employment Data Sectors (wages)'!$Y$26:$Y$37</definedName>
    <definedName name="_27__123Graph_DCHART_7" localSheetId="19" hidden="1">'[16]Employment Data Sectors (wages)'!$Y$26:$Y$37</definedName>
    <definedName name="_27__123Graph_DCHART_7" localSheetId="21" hidden="1">'[16]Employment Data Sectors (wages)'!$Y$26:$Y$37</definedName>
    <definedName name="_27__123Graph_DCHART_7" localSheetId="23" hidden="1">'[16]Employment Data Sectors (wages)'!$Y$26:$Y$37</definedName>
    <definedName name="_27__123Graph_DCHART_7" localSheetId="24" hidden="1">'[16]Employment Data Sectors (wages)'!$Y$26:$Y$37</definedName>
    <definedName name="_27__123Graph_DCHART_7" localSheetId="25" hidden="1">'[16]Employment Data Sectors (wages)'!$Y$26:$Y$37</definedName>
    <definedName name="_27__123Graph_DCHART_7" localSheetId="27" hidden="1">'[16]Employment Data Sectors (wages)'!$Y$26:$Y$37</definedName>
    <definedName name="_27__123Graph_DCHART_7" localSheetId="30" hidden="1">'[16]Employment Data Sectors (wages)'!$Y$26:$Y$37</definedName>
    <definedName name="_27__123Graph_DCHART_7" localSheetId="33" hidden="1">'[16]Employment Data Sectors (wages)'!$Y$26:$Y$37</definedName>
    <definedName name="_27__123Graph_DCHART_7" localSheetId="34" hidden="1">'[17]Employment Data Sectors (wages)'!$Y$26:$Y$37</definedName>
    <definedName name="_27__123Graph_DCHART_7" localSheetId="35" hidden="1">'[17]Employment Data Sectors (wages)'!$Y$26:$Y$37</definedName>
    <definedName name="_27__123Graph_DCHART_7" localSheetId="36" hidden="1">'[17]Employment Data Sectors (wages)'!$Y$26:$Y$37</definedName>
    <definedName name="_27__123Graph_DCHART_7" localSheetId="37" hidden="1">'[17]Employment Data Sectors (wages)'!$Y$26:$Y$37</definedName>
    <definedName name="_27__123Graph_DCHART_7" localSheetId="38" hidden="1">'[17]Employment Data Sectors (wages)'!$Y$26:$Y$37</definedName>
    <definedName name="_27__123Graph_DCHART_7" localSheetId="39" hidden="1">'[16]Employment Data Sectors (wages)'!$Y$26:$Y$37</definedName>
    <definedName name="_27__123Graph_DCHART_7" localSheetId="40" hidden="1">'[16]Employment Data Sectors (wages)'!$Y$26:$Y$37</definedName>
    <definedName name="_27__123Graph_DCHART_7" hidden="1">'[17]Employment Data Sectors (wages)'!$Y$26:$Y$37</definedName>
    <definedName name="_27__123Graph_DCHART_8" localSheetId="55" hidden="1">'[19]Employment Data Sectors (wages)'!$W$26:$W$37</definedName>
    <definedName name="_27__123Graph_DCHART_8" localSheetId="71" hidden="1">'[20]Employment Data Sectors (wages)'!$W$26:$W$37</definedName>
    <definedName name="_27__123Graph_DCHART_8" localSheetId="72" hidden="1">'[20]Employment Data Sectors (wages)'!$W$26:$W$37</definedName>
    <definedName name="_27__123Graph_DCHART_8" localSheetId="73" hidden="1">'[20]Employment Data Sectors (wages)'!$W$26:$W$37</definedName>
    <definedName name="_27__123Graph_DCHART_8" localSheetId="74" hidden="1">'[20]Employment Data Sectors (wages)'!$W$26:$W$37</definedName>
    <definedName name="_27__123Graph_DCHART_8" localSheetId="79" hidden="1">'[19]Employment Data Sectors (wages)'!$W$26:$W$37</definedName>
    <definedName name="_27__123Graph_DCHART_8" localSheetId="115" hidden="1">'[20]Employment Data Sectors (wages)'!$W$26:$W$37</definedName>
    <definedName name="_27__123Graph_DCHART_8" localSheetId="10" hidden="1">'[20]Employment Data Sectors (wages)'!$W$26:$W$37</definedName>
    <definedName name="_27__123Graph_DCHART_8" localSheetId="23" hidden="1">'[20]Employment Data Sectors (wages)'!$W$26:$W$37</definedName>
    <definedName name="_27__123Graph_DCHART_8" localSheetId="34" hidden="1">'[20]Employment Data Sectors (wages)'!$W$26:$W$37</definedName>
    <definedName name="_27__123Graph_DCHART_8" localSheetId="35" hidden="1">'[20]Employment Data Sectors (wages)'!$W$26:$W$37</definedName>
    <definedName name="_27__123Graph_DCHART_8" localSheetId="36" hidden="1">'[20]Employment Data Sectors (wages)'!$W$26:$W$37</definedName>
    <definedName name="_27__123Graph_DCHART_8" localSheetId="37" hidden="1">'[20]Employment Data Sectors (wages)'!$W$26:$W$37</definedName>
    <definedName name="_27__123Graph_DCHART_8" localSheetId="38" hidden="1">'[20]Employment Data Sectors (wages)'!$W$26:$W$37</definedName>
    <definedName name="_27__123Graph_DCHART_8" hidden="1">'[20]Employment Data Sectors (wages)'!$W$26:$W$37</definedName>
    <definedName name="_28__123Graph_ACHART_4" localSheetId="70" hidden="1">'[21]Employment Data Sectors (wages)'!$A$12:$A$23</definedName>
    <definedName name="_28__123Graph_ACHART_4" localSheetId="71" hidden="1">'[21]Employment Data Sectors (wages)'!$A$12:$A$23</definedName>
    <definedName name="_28__123Graph_ACHART_4" localSheetId="72" hidden="1">'[21]Employment Data Sectors (wages)'!$A$12:$A$23</definedName>
    <definedName name="_28__123Graph_ACHART_4" localSheetId="73" hidden="1">'[21]Employment Data Sectors (wages)'!$A$12:$A$23</definedName>
    <definedName name="_28__123Graph_ACHART_4" localSheetId="74" hidden="1">'[21]Employment Data Sectors (wages)'!$A$12:$A$23</definedName>
    <definedName name="_28__123Graph_ACHART_4" localSheetId="79" hidden="1">'[14]Employment Data Sectors (wages)'!$A$12:$A$23</definedName>
    <definedName name="_28__123Graph_ACHART_4" localSheetId="80" hidden="1">'[21]Employment Data Sectors (wages)'!$A$12:$A$23</definedName>
    <definedName name="_28__123Graph_ACHART_4" localSheetId="81" hidden="1">'[21]Employment Data Sectors (wages)'!$A$12:$A$23</definedName>
    <definedName name="_28__123Graph_ACHART_4" localSheetId="101" hidden="1">'[21]Employment Data Sectors (wages)'!$A$12:$A$23</definedName>
    <definedName name="_28__123Graph_ACHART_4" localSheetId="108" hidden="1">'[21]Employment Data Sectors (wages)'!$A$12:$A$23</definedName>
    <definedName name="_28__123Graph_ACHART_4" localSheetId="115" hidden="1">'[21]Employment Data Sectors (wages)'!$A$12:$A$23</definedName>
    <definedName name="_28__123Graph_ACHART_4" localSheetId="7" hidden="1">'[21]Employment Data Sectors (wages)'!$A$12:$A$23</definedName>
    <definedName name="_28__123Graph_ACHART_4" localSheetId="8" hidden="1">'[21]Employment Data Sectors (wages)'!$A$12:$A$23</definedName>
    <definedName name="_28__123Graph_ACHART_4" localSheetId="9" hidden="1">'[21]Employment Data Sectors (wages)'!$A$12:$A$23</definedName>
    <definedName name="_28__123Graph_ACHART_4" localSheetId="10" hidden="1">'[21]Employment Data Sectors (wages)'!$A$12:$A$23</definedName>
    <definedName name="_28__123Graph_ACHART_4" localSheetId="19" hidden="1">'[21]Employment Data Sectors (wages)'!$A$12:$A$23</definedName>
    <definedName name="_28__123Graph_ACHART_4" localSheetId="21" hidden="1">'[21]Employment Data Sectors (wages)'!$A$12:$A$23</definedName>
    <definedName name="_28__123Graph_ACHART_4" localSheetId="23" hidden="1">'[21]Employment Data Sectors (wages)'!$A$12:$A$23</definedName>
    <definedName name="_28__123Graph_ACHART_4" localSheetId="24" hidden="1">'[21]Employment Data Sectors (wages)'!$A$12:$A$23</definedName>
    <definedName name="_28__123Graph_ACHART_4" localSheetId="25" hidden="1">'[21]Employment Data Sectors (wages)'!$A$12:$A$23</definedName>
    <definedName name="_28__123Graph_ACHART_4" localSheetId="27" hidden="1">'[21]Employment Data Sectors (wages)'!$A$12:$A$23</definedName>
    <definedName name="_28__123Graph_ACHART_4" localSheetId="30" hidden="1">'[21]Employment Data Sectors (wages)'!$A$12:$A$23</definedName>
    <definedName name="_28__123Graph_ACHART_4" localSheetId="33" hidden="1">'[21]Employment Data Sectors (wages)'!$A$12:$A$23</definedName>
    <definedName name="_28__123Graph_ACHART_4" localSheetId="34" hidden="1">'[21]Employment Data Sectors (wages)'!$A$12:$A$23</definedName>
    <definedName name="_28__123Graph_ACHART_4" localSheetId="35" hidden="1">'[21]Employment Data Sectors (wages)'!$A$12:$A$23</definedName>
    <definedName name="_28__123Graph_ACHART_4" localSheetId="36" hidden="1">'[21]Employment Data Sectors (wages)'!$A$12:$A$23</definedName>
    <definedName name="_28__123Graph_ACHART_4" localSheetId="37" hidden="1">'[21]Employment Data Sectors (wages)'!$A$12:$A$23</definedName>
    <definedName name="_28__123Graph_ACHART_4" localSheetId="38" hidden="1">'[21]Employment Data Sectors (wages)'!$A$12:$A$23</definedName>
    <definedName name="_28__123Graph_ACHART_4" localSheetId="39" hidden="1">'[21]Employment Data Sectors (wages)'!$A$12:$A$23</definedName>
    <definedName name="_28__123Graph_ACHART_4" localSheetId="40" hidden="1">'[21]Employment Data Sectors (wages)'!$A$12:$A$23</definedName>
    <definedName name="_28__123Graph_ACHART_4" hidden="1">'[21]Employment Data Sectors (wages)'!$A$12:$A$23</definedName>
    <definedName name="_28__123Graph_ACHART_7" hidden="1">'[14]Employment Data Sectors (wages)'!$Y$8175:$Y$8186</definedName>
    <definedName name="_28__123Graph_BCHART_3" hidden="1">'[15]Employment Data Sectors (wages)'!$B$11:$B$8185</definedName>
    <definedName name="_28__123Graph_DCHART_8" localSheetId="55" hidden="1">'[16]Employment Data Sectors (wages)'!$W$26:$W$37</definedName>
    <definedName name="_28__123Graph_DCHART_8" localSheetId="70" hidden="1">'[16]Employment Data Sectors (wages)'!$W$26:$W$37</definedName>
    <definedName name="_28__123Graph_DCHART_8" localSheetId="71" hidden="1">'[17]Employment Data Sectors (wages)'!$W$26:$W$37</definedName>
    <definedName name="_28__123Graph_DCHART_8" localSheetId="72" hidden="1">'[17]Employment Data Sectors (wages)'!$W$26:$W$37</definedName>
    <definedName name="_28__123Graph_DCHART_8" localSheetId="73" hidden="1">'[17]Employment Data Sectors (wages)'!$W$26:$W$37</definedName>
    <definedName name="_28__123Graph_DCHART_8" localSheetId="74" hidden="1">'[17]Employment Data Sectors (wages)'!$W$26:$W$37</definedName>
    <definedName name="_28__123Graph_DCHART_8" localSheetId="79" hidden="1">'[18]Employment Data Sectors (wages)'!$W$26:$W$37</definedName>
    <definedName name="_28__123Graph_DCHART_8" localSheetId="80" hidden="1">'[16]Employment Data Sectors (wages)'!$W$26:$W$37</definedName>
    <definedName name="_28__123Graph_DCHART_8" localSheetId="81" hidden="1">'[16]Employment Data Sectors (wages)'!$W$26:$W$37</definedName>
    <definedName name="_28__123Graph_DCHART_8" localSheetId="101" hidden="1">'[16]Employment Data Sectors (wages)'!$W$26:$W$37</definedName>
    <definedName name="_28__123Graph_DCHART_8" localSheetId="108" hidden="1">'[16]Employment Data Sectors (wages)'!$W$26:$W$37</definedName>
    <definedName name="_28__123Graph_DCHART_8" localSheetId="115" hidden="1">'[17]Employment Data Sectors (wages)'!$W$26:$W$37</definedName>
    <definedName name="_28__123Graph_DCHART_8" localSheetId="7" hidden="1">'[16]Employment Data Sectors (wages)'!$W$26:$W$37</definedName>
    <definedName name="_28__123Graph_DCHART_8" localSheetId="8" hidden="1">'[16]Employment Data Sectors (wages)'!$W$26:$W$37</definedName>
    <definedName name="_28__123Graph_DCHART_8" localSheetId="9" hidden="1">'[16]Employment Data Sectors (wages)'!$W$26:$W$37</definedName>
    <definedName name="_28__123Graph_DCHART_8" localSheetId="10" hidden="1">'[17]Employment Data Sectors (wages)'!$W$26:$W$37</definedName>
    <definedName name="_28__123Graph_DCHART_8" localSheetId="19" hidden="1">'[16]Employment Data Sectors (wages)'!$W$26:$W$37</definedName>
    <definedName name="_28__123Graph_DCHART_8" localSheetId="21" hidden="1">'[16]Employment Data Sectors (wages)'!$W$26:$W$37</definedName>
    <definedName name="_28__123Graph_DCHART_8" localSheetId="23" hidden="1">'[16]Employment Data Sectors (wages)'!$W$26:$W$37</definedName>
    <definedName name="_28__123Graph_DCHART_8" localSheetId="24" hidden="1">'[16]Employment Data Sectors (wages)'!$W$26:$W$37</definedName>
    <definedName name="_28__123Graph_DCHART_8" localSheetId="25" hidden="1">'[16]Employment Data Sectors (wages)'!$W$26:$W$37</definedName>
    <definedName name="_28__123Graph_DCHART_8" localSheetId="27" hidden="1">'[16]Employment Data Sectors (wages)'!$W$26:$W$37</definedName>
    <definedName name="_28__123Graph_DCHART_8" localSheetId="30" hidden="1">'[16]Employment Data Sectors (wages)'!$W$26:$W$37</definedName>
    <definedName name="_28__123Graph_DCHART_8" localSheetId="33" hidden="1">'[16]Employment Data Sectors (wages)'!$W$26:$W$37</definedName>
    <definedName name="_28__123Graph_DCHART_8" localSheetId="34" hidden="1">'[17]Employment Data Sectors (wages)'!$W$26:$W$37</definedName>
    <definedName name="_28__123Graph_DCHART_8" localSheetId="35" hidden="1">'[17]Employment Data Sectors (wages)'!$W$26:$W$37</definedName>
    <definedName name="_28__123Graph_DCHART_8" localSheetId="36" hidden="1">'[17]Employment Data Sectors (wages)'!$W$26:$W$37</definedName>
    <definedName name="_28__123Graph_DCHART_8" localSheetId="37" hidden="1">'[17]Employment Data Sectors (wages)'!$W$26:$W$37</definedName>
    <definedName name="_28__123Graph_DCHART_8" localSheetId="38" hidden="1">'[17]Employment Data Sectors (wages)'!$W$26:$W$37</definedName>
    <definedName name="_28__123Graph_DCHART_8" localSheetId="39" hidden="1">'[16]Employment Data Sectors (wages)'!$W$26:$W$37</definedName>
    <definedName name="_28__123Graph_DCHART_8" localSheetId="40" hidden="1">'[16]Employment Data Sectors (wages)'!$W$26:$W$37</definedName>
    <definedName name="_28__123Graph_DCHART_8" hidden="1">'[17]Employment Data Sectors (wages)'!$W$26:$W$37</definedName>
    <definedName name="_28__123Graph_ECHART_7" localSheetId="55" hidden="1">'[19]Employment Data Sectors (wages)'!$Y$38:$Y$49</definedName>
    <definedName name="_28__123Graph_ECHART_7" localSheetId="71" hidden="1">'[20]Employment Data Sectors (wages)'!$Y$38:$Y$49</definedName>
    <definedName name="_28__123Graph_ECHART_7" localSheetId="72" hidden="1">'[20]Employment Data Sectors (wages)'!$Y$38:$Y$49</definedName>
    <definedName name="_28__123Graph_ECHART_7" localSheetId="73" hidden="1">'[20]Employment Data Sectors (wages)'!$Y$38:$Y$49</definedName>
    <definedName name="_28__123Graph_ECHART_7" localSheetId="74" hidden="1">'[20]Employment Data Sectors (wages)'!$Y$38:$Y$49</definedName>
    <definedName name="_28__123Graph_ECHART_7" localSheetId="79" hidden="1">'[19]Employment Data Sectors (wages)'!$Y$38:$Y$49</definedName>
    <definedName name="_28__123Graph_ECHART_7" localSheetId="115" hidden="1">'[20]Employment Data Sectors (wages)'!$Y$38:$Y$49</definedName>
    <definedName name="_28__123Graph_ECHART_7" localSheetId="10" hidden="1">'[20]Employment Data Sectors (wages)'!$Y$38:$Y$49</definedName>
    <definedName name="_28__123Graph_ECHART_7" localSheetId="23" hidden="1">'[20]Employment Data Sectors (wages)'!$Y$38:$Y$49</definedName>
    <definedName name="_28__123Graph_ECHART_7" localSheetId="34" hidden="1">'[20]Employment Data Sectors (wages)'!$Y$38:$Y$49</definedName>
    <definedName name="_28__123Graph_ECHART_7" localSheetId="35" hidden="1">'[20]Employment Data Sectors (wages)'!$Y$38:$Y$49</definedName>
    <definedName name="_28__123Graph_ECHART_7" localSheetId="36" hidden="1">'[20]Employment Data Sectors (wages)'!$Y$38:$Y$49</definedName>
    <definedName name="_28__123Graph_ECHART_7" localSheetId="37" hidden="1">'[20]Employment Data Sectors (wages)'!$Y$38:$Y$49</definedName>
    <definedName name="_28__123Graph_ECHART_7" localSheetId="38" hidden="1">'[20]Employment Data Sectors (wages)'!$Y$38:$Y$49</definedName>
    <definedName name="_28__123Graph_ECHART_7" hidden="1">'[20]Employment Data Sectors (wages)'!$Y$38:$Y$49</definedName>
    <definedName name="_29__123Graph_ECHART_7" localSheetId="55" hidden="1">'[16]Employment Data Sectors (wages)'!$Y$38:$Y$49</definedName>
    <definedName name="_29__123Graph_ECHART_7" localSheetId="70" hidden="1">'[16]Employment Data Sectors (wages)'!$Y$38:$Y$49</definedName>
    <definedName name="_29__123Graph_ECHART_7" localSheetId="71" hidden="1">'[17]Employment Data Sectors (wages)'!$Y$38:$Y$49</definedName>
    <definedName name="_29__123Graph_ECHART_7" localSheetId="72" hidden="1">'[17]Employment Data Sectors (wages)'!$Y$38:$Y$49</definedName>
    <definedName name="_29__123Graph_ECHART_7" localSheetId="73" hidden="1">'[17]Employment Data Sectors (wages)'!$Y$38:$Y$49</definedName>
    <definedName name="_29__123Graph_ECHART_7" localSheetId="74" hidden="1">'[17]Employment Data Sectors (wages)'!$Y$38:$Y$49</definedName>
    <definedName name="_29__123Graph_ECHART_7" localSheetId="79" hidden="1">'[18]Employment Data Sectors (wages)'!$Y$38:$Y$49</definedName>
    <definedName name="_29__123Graph_ECHART_7" localSheetId="80" hidden="1">'[16]Employment Data Sectors (wages)'!$Y$38:$Y$49</definedName>
    <definedName name="_29__123Graph_ECHART_7" localSheetId="81" hidden="1">'[16]Employment Data Sectors (wages)'!$Y$38:$Y$49</definedName>
    <definedName name="_29__123Graph_ECHART_7" localSheetId="101" hidden="1">'[16]Employment Data Sectors (wages)'!$Y$38:$Y$49</definedName>
    <definedName name="_29__123Graph_ECHART_7" localSheetId="108" hidden="1">'[16]Employment Data Sectors (wages)'!$Y$38:$Y$49</definedName>
    <definedName name="_29__123Graph_ECHART_7" localSheetId="115" hidden="1">'[17]Employment Data Sectors (wages)'!$Y$38:$Y$49</definedName>
    <definedName name="_29__123Graph_ECHART_7" localSheetId="7" hidden="1">'[16]Employment Data Sectors (wages)'!$Y$38:$Y$49</definedName>
    <definedName name="_29__123Graph_ECHART_7" localSheetId="8" hidden="1">'[16]Employment Data Sectors (wages)'!$Y$38:$Y$49</definedName>
    <definedName name="_29__123Graph_ECHART_7" localSheetId="9" hidden="1">'[16]Employment Data Sectors (wages)'!$Y$38:$Y$49</definedName>
    <definedName name="_29__123Graph_ECHART_7" localSheetId="10" hidden="1">'[17]Employment Data Sectors (wages)'!$Y$38:$Y$49</definedName>
    <definedName name="_29__123Graph_ECHART_7" localSheetId="19" hidden="1">'[16]Employment Data Sectors (wages)'!$Y$38:$Y$49</definedName>
    <definedName name="_29__123Graph_ECHART_7" localSheetId="21" hidden="1">'[16]Employment Data Sectors (wages)'!$Y$38:$Y$49</definedName>
    <definedName name="_29__123Graph_ECHART_7" localSheetId="23" hidden="1">'[16]Employment Data Sectors (wages)'!$Y$38:$Y$49</definedName>
    <definedName name="_29__123Graph_ECHART_7" localSheetId="24" hidden="1">'[16]Employment Data Sectors (wages)'!$Y$38:$Y$49</definedName>
    <definedName name="_29__123Graph_ECHART_7" localSheetId="25" hidden="1">'[16]Employment Data Sectors (wages)'!$Y$38:$Y$49</definedName>
    <definedName name="_29__123Graph_ECHART_7" localSheetId="27" hidden="1">'[16]Employment Data Sectors (wages)'!$Y$38:$Y$49</definedName>
    <definedName name="_29__123Graph_ECHART_7" localSheetId="30" hidden="1">'[16]Employment Data Sectors (wages)'!$Y$38:$Y$49</definedName>
    <definedName name="_29__123Graph_ECHART_7" localSheetId="33" hidden="1">'[16]Employment Data Sectors (wages)'!$Y$38:$Y$49</definedName>
    <definedName name="_29__123Graph_ECHART_7" localSheetId="34" hidden="1">'[17]Employment Data Sectors (wages)'!$Y$38:$Y$49</definedName>
    <definedName name="_29__123Graph_ECHART_7" localSheetId="35" hidden="1">'[17]Employment Data Sectors (wages)'!$Y$38:$Y$49</definedName>
    <definedName name="_29__123Graph_ECHART_7" localSheetId="36" hidden="1">'[17]Employment Data Sectors (wages)'!$Y$38:$Y$49</definedName>
    <definedName name="_29__123Graph_ECHART_7" localSheetId="37" hidden="1">'[17]Employment Data Sectors (wages)'!$Y$38:$Y$49</definedName>
    <definedName name="_29__123Graph_ECHART_7" localSheetId="38" hidden="1">'[17]Employment Data Sectors (wages)'!$Y$38:$Y$49</definedName>
    <definedName name="_29__123Graph_ECHART_7" localSheetId="39" hidden="1">'[16]Employment Data Sectors (wages)'!$Y$38:$Y$49</definedName>
    <definedName name="_29__123Graph_ECHART_7" localSheetId="40" hidden="1">'[16]Employment Data Sectors (wages)'!$Y$38:$Y$49</definedName>
    <definedName name="_29__123Graph_ECHART_7" hidden="1">'[17]Employment Data Sectors (wages)'!$Y$38:$Y$49</definedName>
    <definedName name="_29__123Graph_ECHART_8" localSheetId="55" hidden="1">'[19]Employment Data Sectors (wages)'!$H$86:$H$99</definedName>
    <definedName name="_29__123Graph_ECHART_8" localSheetId="71" hidden="1">'[20]Employment Data Sectors (wages)'!$H$86:$H$99</definedName>
    <definedName name="_29__123Graph_ECHART_8" localSheetId="72" hidden="1">'[20]Employment Data Sectors (wages)'!$H$86:$H$99</definedName>
    <definedName name="_29__123Graph_ECHART_8" localSheetId="73" hidden="1">'[20]Employment Data Sectors (wages)'!$H$86:$H$99</definedName>
    <definedName name="_29__123Graph_ECHART_8" localSheetId="74" hidden="1">'[20]Employment Data Sectors (wages)'!$H$86:$H$99</definedName>
    <definedName name="_29__123Graph_ECHART_8" localSheetId="79" hidden="1">'[19]Employment Data Sectors (wages)'!$H$86:$H$99</definedName>
    <definedName name="_29__123Graph_ECHART_8" localSheetId="115" hidden="1">'[20]Employment Data Sectors (wages)'!$H$86:$H$99</definedName>
    <definedName name="_29__123Graph_ECHART_8" localSheetId="10" hidden="1">'[20]Employment Data Sectors (wages)'!$H$86:$H$99</definedName>
    <definedName name="_29__123Graph_ECHART_8" localSheetId="23" hidden="1">'[20]Employment Data Sectors (wages)'!$H$86:$H$99</definedName>
    <definedName name="_29__123Graph_ECHART_8" localSheetId="34" hidden="1">'[20]Employment Data Sectors (wages)'!$H$86:$H$99</definedName>
    <definedName name="_29__123Graph_ECHART_8" localSheetId="35" hidden="1">'[20]Employment Data Sectors (wages)'!$H$86:$H$99</definedName>
    <definedName name="_29__123Graph_ECHART_8" localSheetId="36" hidden="1">'[20]Employment Data Sectors (wages)'!$H$86:$H$99</definedName>
    <definedName name="_29__123Graph_ECHART_8" localSheetId="37" hidden="1">'[20]Employment Data Sectors (wages)'!$H$86:$H$99</definedName>
    <definedName name="_29__123Graph_ECHART_8" localSheetId="38" hidden="1">'[20]Employment Data Sectors (wages)'!$H$86:$H$99</definedName>
    <definedName name="_29__123Graph_ECHART_8" hidden="1">'[20]Employment Data Sectors (wages)'!$H$86:$H$99</definedName>
    <definedName name="_3__123Graph_ACHART_1" localSheetId="55" hidden="1">'[16]Employment Data Sectors (wages)'!$A$8173:$A$8184</definedName>
    <definedName name="_3__123Graph_ACHART_1" localSheetId="70" hidden="1">'[16]Employment Data Sectors (wages)'!$A$8173:$A$8184</definedName>
    <definedName name="_3__123Graph_ACHART_1" localSheetId="71" hidden="1">'[17]Employment Data Sectors (wages)'!$A$8173:$A$8184</definedName>
    <definedName name="_3__123Graph_ACHART_1" localSheetId="72" hidden="1">'[17]Employment Data Sectors (wages)'!$A$8173:$A$8184</definedName>
    <definedName name="_3__123Graph_ACHART_1" localSheetId="73" hidden="1">'[17]Employment Data Sectors (wages)'!$A$8173:$A$8184</definedName>
    <definedName name="_3__123Graph_ACHART_1" localSheetId="74" hidden="1">'[17]Employment Data Sectors (wages)'!$A$8173:$A$8184</definedName>
    <definedName name="_3__123Graph_ACHART_1" localSheetId="79" hidden="1">'[18]Employment Data Sectors (wages)'!$A$8173:$A$8184</definedName>
    <definedName name="_3__123Graph_ACHART_1" localSheetId="80" hidden="1">'[16]Employment Data Sectors (wages)'!$A$8173:$A$8184</definedName>
    <definedName name="_3__123Graph_ACHART_1" localSheetId="81" hidden="1">'[16]Employment Data Sectors (wages)'!$A$8173:$A$8184</definedName>
    <definedName name="_3__123Graph_ACHART_1" localSheetId="101" hidden="1">'[16]Employment Data Sectors (wages)'!$A$8173:$A$8184</definedName>
    <definedName name="_3__123Graph_ACHART_1" localSheetId="108" hidden="1">'[16]Employment Data Sectors (wages)'!$A$8173:$A$8184</definedName>
    <definedName name="_3__123Graph_ACHART_1" localSheetId="115" hidden="1">'[17]Employment Data Sectors (wages)'!$A$8173:$A$8184</definedName>
    <definedName name="_3__123Graph_ACHART_1" localSheetId="7" hidden="1">'[16]Employment Data Sectors (wages)'!$A$8173:$A$8184</definedName>
    <definedName name="_3__123Graph_ACHART_1" localSheetId="8" hidden="1">'[16]Employment Data Sectors (wages)'!$A$8173:$A$8184</definedName>
    <definedName name="_3__123Graph_ACHART_1" localSheetId="9" hidden="1">'[16]Employment Data Sectors (wages)'!$A$8173:$A$8184</definedName>
    <definedName name="_3__123Graph_ACHART_1" localSheetId="10" hidden="1">'[17]Employment Data Sectors (wages)'!$A$8173:$A$8184</definedName>
    <definedName name="_3__123Graph_ACHART_1" localSheetId="19" hidden="1">'[16]Employment Data Sectors (wages)'!$A$8173:$A$8184</definedName>
    <definedName name="_3__123Graph_ACHART_1" localSheetId="21" hidden="1">'[16]Employment Data Sectors (wages)'!$A$8173:$A$8184</definedName>
    <definedName name="_3__123Graph_ACHART_1" localSheetId="23" hidden="1">'[16]Employment Data Sectors (wages)'!$A$8173:$A$8184</definedName>
    <definedName name="_3__123Graph_ACHART_1" localSheetId="24" hidden="1">'[16]Employment Data Sectors (wages)'!$A$8173:$A$8184</definedName>
    <definedName name="_3__123Graph_ACHART_1" localSheetId="25" hidden="1">'[16]Employment Data Sectors (wages)'!$A$8173:$A$8184</definedName>
    <definedName name="_3__123Graph_ACHART_1" localSheetId="27" hidden="1">'[16]Employment Data Sectors (wages)'!$A$8173:$A$8184</definedName>
    <definedName name="_3__123Graph_ACHART_1" localSheetId="30" hidden="1">'[16]Employment Data Sectors (wages)'!$A$8173:$A$8184</definedName>
    <definedName name="_3__123Graph_ACHART_1" localSheetId="33" hidden="1">'[16]Employment Data Sectors (wages)'!$A$8173:$A$8184</definedName>
    <definedName name="_3__123Graph_ACHART_1" localSheetId="34" hidden="1">'[17]Employment Data Sectors (wages)'!$A$8173:$A$8184</definedName>
    <definedName name="_3__123Graph_ACHART_1" localSheetId="35" hidden="1">'[17]Employment Data Sectors (wages)'!$A$8173:$A$8184</definedName>
    <definedName name="_3__123Graph_ACHART_1" localSheetId="36" hidden="1">'[17]Employment Data Sectors (wages)'!$A$8173:$A$8184</definedName>
    <definedName name="_3__123Graph_ACHART_1" localSheetId="37" hidden="1">'[17]Employment Data Sectors (wages)'!$A$8173:$A$8184</definedName>
    <definedName name="_3__123Graph_ACHART_1" localSheetId="38" hidden="1">'[17]Employment Data Sectors (wages)'!$A$8173:$A$8184</definedName>
    <definedName name="_3__123Graph_ACHART_1" localSheetId="39" hidden="1">'[16]Employment Data Sectors (wages)'!$A$8173:$A$8184</definedName>
    <definedName name="_3__123Graph_ACHART_1" localSheetId="40" hidden="1">'[16]Employment Data Sectors (wages)'!$A$8173:$A$8184</definedName>
    <definedName name="_3__123Graph_ACHART_1" hidden="1">'[17]Employment Data Sectors (wages)'!$A$8173:$A$8184</definedName>
    <definedName name="_3__123Graph_ACHART_2" localSheetId="55" hidden="1">'[19]Employment Data Sectors (wages)'!$A$8173:$A$8184</definedName>
    <definedName name="_3__123Graph_ACHART_2" localSheetId="71" hidden="1">'[20]Employment Data Sectors (wages)'!$A$8173:$A$8184</definedName>
    <definedName name="_3__123Graph_ACHART_2" localSheetId="72" hidden="1">'[20]Employment Data Sectors (wages)'!$A$8173:$A$8184</definedName>
    <definedName name="_3__123Graph_ACHART_2" localSheetId="73" hidden="1">'[20]Employment Data Sectors (wages)'!$A$8173:$A$8184</definedName>
    <definedName name="_3__123Graph_ACHART_2" localSheetId="74" hidden="1">'[20]Employment Data Sectors (wages)'!$A$8173:$A$8184</definedName>
    <definedName name="_3__123Graph_ACHART_2" localSheetId="79" hidden="1">'[19]Employment Data Sectors (wages)'!$A$8173:$A$8184</definedName>
    <definedName name="_3__123Graph_ACHART_2" localSheetId="115" hidden="1">'[20]Employment Data Sectors (wages)'!$A$8173:$A$8184</definedName>
    <definedName name="_3__123Graph_ACHART_2" localSheetId="10" hidden="1">'[20]Employment Data Sectors (wages)'!$A$8173:$A$8184</definedName>
    <definedName name="_3__123Graph_ACHART_2" localSheetId="23" hidden="1">'[20]Employment Data Sectors (wages)'!$A$8173:$A$8184</definedName>
    <definedName name="_3__123Graph_ACHART_2" localSheetId="34" hidden="1">'[20]Employment Data Sectors (wages)'!$A$8173:$A$8184</definedName>
    <definedName name="_3__123Graph_ACHART_2" localSheetId="35" hidden="1">'[20]Employment Data Sectors (wages)'!$A$8173:$A$8184</definedName>
    <definedName name="_3__123Graph_ACHART_2" localSheetId="36" hidden="1">'[20]Employment Data Sectors (wages)'!$A$8173:$A$8184</definedName>
    <definedName name="_3__123Graph_ACHART_2" localSheetId="37" hidden="1">'[20]Employment Data Sectors (wages)'!$A$8173:$A$8184</definedName>
    <definedName name="_3__123Graph_ACHART_2" localSheetId="38" hidden="1">'[20]Employment Data Sectors (wages)'!$A$8173:$A$8184</definedName>
    <definedName name="_3__123Graph_ACHART_2" hidden="1">'[20]Employment Data Sectors (wages)'!$A$8173:$A$8184</definedName>
    <definedName name="_30__123Graph_ACHART_2" hidden="1">'[14]Employment Data Sectors (wages)'!$A$8173:$A$8184</definedName>
    <definedName name="_30__123Graph_ACHART_8" localSheetId="70" hidden="1">'[22]Employment Data Sectors (wages)'!$W$8175:$W$8186</definedName>
    <definedName name="_30__123Graph_ACHART_8" localSheetId="71" hidden="1">'[22]Employment Data Sectors (wages)'!$W$8175:$W$8186</definedName>
    <definedName name="_30__123Graph_ACHART_8" localSheetId="72" hidden="1">'[22]Employment Data Sectors (wages)'!$W$8175:$W$8186</definedName>
    <definedName name="_30__123Graph_ACHART_8" localSheetId="73" hidden="1">'[22]Employment Data Sectors (wages)'!$W$8175:$W$8186</definedName>
    <definedName name="_30__123Graph_ACHART_8" localSheetId="74" hidden="1">'[22]Employment Data Sectors (wages)'!$W$8175:$W$8186</definedName>
    <definedName name="_30__123Graph_ACHART_8" localSheetId="79" hidden="1">'[14]Employment Data Sectors (wages)'!$W$8175:$W$8186</definedName>
    <definedName name="_30__123Graph_ACHART_8" localSheetId="80" hidden="1">'[22]Employment Data Sectors (wages)'!$W$8175:$W$8186</definedName>
    <definedName name="_30__123Graph_ACHART_8" localSheetId="81" hidden="1">'[22]Employment Data Sectors (wages)'!$W$8175:$W$8186</definedName>
    <definedName name="_30__123Graph_ACHART_8" localSheetId="101" hidden="1">'[22]Employment Data Sectors (wages)'!$W$8175:$W$8186</definedName>
    <definedName name="_30__123Graph_ACHART_8" localSheetId="108" hidden="1">'[22]Employment Data Sectors (wages)'!$W$8175:$W$8186</definedName>
    <definedName name="_30__123Graph_ACHART_8" localSheetId="115" hidden="1">'[22]Employment Data Sectors (wages)'!$W$8175:$W$8186</definedName>
    <definedName name="_30__123Graph_ACHART_8" localSheetId="7" hidden="1">'[22]Employment Data Sectors (wages)'!$W$8175:$W$8186</definedName>
    <definedName name="_30__123Graph_ACHART_8" localSheetId="8" hidden="1">'[22]Employment Data Sectors (wages)'!$W$8175:$W$8186</definedName>
    <definedName name="_30__123Graph_ACHART_8" localSheetId="9" hidden="1">'[22]Employment Data Sectors (wages)'!$W$8175:$W$8186</definedName>
    <definedName name="_30__123Graph_ACHART_8" localSheetId="10" hidden="1">'[22]Employment Data Sectors (wages)'!$W$8175:$W$8186</definedName>
    <definedName name="_30__123Graph_ACHART_8" localSheetId="19" hidden="1">'[22]Employment Data Sectors (wages)'!$W$8175:$W$8186</definedName>
    <definedName name="_30__123Graph_ACHART_8" localSheetId="21" hidden="1">'[22]Employment Data Sectors (wages)'!$W$8175:$W$8186</definedName>
    <definedName name="_30__123Graph_ACHART_8" localSheetId="23" hidden="1">'[22]Employment Data Sectors (wages)'!$W$8175:$W$8186</definedName>
    <definedName name="_30__123Graph_ACHART_8" localSheetId="24" hidden="1">'[22]Employment Data Sectors (wages)'!$W$8175:$W$8186</definedName>
    <definedName name="_30__123Graph_ACHART_8" localSheetId="25" hidden="1">'[14]Employment Data Sectors (wages)'!$W$8175:$W$8186</definedName>
    <definedName name="_30__123Graph_ACHART_8" localSheetId="27" hidden="1">'[22]Employment Data Sectors (wages)'!$W$8175:$W$8186</definedName>
    <definedName name="_30__123Graph_ACHART_8" localSheetId="30" hidden="1">'[22]Employment Data Sectors (wages)'!$W$8175:$W$8186</definedName>
    <definedName name="_30__123Graph_ACHART_8" localSheetId="33" hidden="1">'[22]Employment Data Sectors (wages)'!$W$8175:$W$8186</definedName>
    <definedName name="_30__123Graph_ACHART_8" localSheetId="34" hidden="1">'[22]Employment Data Sectors (wages)'!$W$8175:$W$8186</definedName>
    <definedName name="_30__123Graph_ACHART_8" localSheetId="35" hidden="1">'[22]Employment Data Sectors (wages)'!$W$8175:$W$8186</definedName>
    <definedName name="_30__123Graph_ACHART_8" localSheetId="36" hidden="1">'[22]Employment Data Sectors (wages)'!$W$8175:$W$8186</definedName>
    <definedName name="_30__123Graph_ACHART_8" localSheetId="37" hidden="1">'[22]Employment Data Sectors (wages)'!$W$8175:$W$8186</definedName>
    <definedName name="_30__123Graph_ACHART_8" localSheetId="38" hidden="1">'[22]Employment Data Sectors (wages)'!$W$8175:$W$8186</definedName>
    <definedName name="_30__123Graph_ACHART_8" localSheetId="39" hidden="1">'[22]Employment Data Sectors (wages)'!$W$8175:$W$8186</definedName>
    <definedName name="_30__123Graph_ACHART_8" localSheetId="40" hidden="1">'[22]Employment Data Sectors (wages)'!$W$8175:$W$8186</definedName>
    <definedName name="_30__123Graph_ACHART_8" hidden="1">'[22]Employment Data Sectors (wages)'!$W$8175:$W$8186</definedName>
    <definedName name="_30__123Graph_BCHART_4" hidden="1">'[15]Employment Data Sectors (wages)'!$B$12:$B$23</definedName>
    <definedName name="_30__123Graph_ECHART_8" localSheetId="55" hidden="1">'[16]Employment Data Sectors (wages)'!$H$86:$H$99</definedName>
    <definedName name="_30__123Graph_ECHART_8" localSheetId="70" hidden="1">'[16]Employment Data Sectors (wages)'!$H$86:$H$99</definedName>
    <definedName name="_30__123Graph_ECHART_8" localSheetId="71" hidden="1">'[17]Employment Data Sectors (wages)'!$H$86:$H$99</definedName>
    <definedName name="_30__123Graph_ECHART_8" localSheetId="72" hidden="1">'[17]Employment Data Sectors (wages)'!$H$86:$H$99</definedName>
    <definedName name="_30__123Graph_ECHART_8" localSheetId="73" hidden="1">'[17]Employment Data Sectors (wages)'!$H$86:$H$99</definedName>
    <definedName name="_30__123Graph_ECHART_8" localSheetId="74" hidden="1">'[17]Employment Data Sectors (wages)'!$H$86:$H$99</definedName>
    <definedName name="_30__123Graph_ECHART_8" localSheetId="79" hidden="1">'[18]Employment Data Sectors (wages)'!$H$86:$H$99</definedName>
    <definedName name="_30__123Graph_ECHART_8" localSheetId="80" hidden="1">'[16]Employment Data Sectors (wages)'!$H$86:$H$99</definedName>
    <definedName name="_30__123Graph_ECHART_8" localSheetId="81" hidden="1">'[16]Employment Data Sectors (wages)'!$H$86:$H$99</definedName>
    <definedName name="_30__123Graph_ECHART_8" localSheetId="101" hidden="1">'[16]Employment Data Sectors (wages)'!$H$86:$H$99</definedName>
    <definedName name="_30__123Graph_ECHART_8" localSheetId="108" hidden="1">'[16]Employment Data Sectors (wages)'!$H$86:$H$99</definedName>
    <definedName name="_30__123Graph_ECHART_8" localSheetId="115" hidden="1">'[17]Employment Data Sectors (wages)'!$H$86:$H$99</definedName>
    <definedName name="_30__123Graph_ECHART_8" localSheetId="7" hidden="1">'[16]Employment Data Sectors (wages)'!$H$86:$H$99</definedName>
    <definedName name="_30__123Graph_ECHART_8" localSheetId="8" hidden="1">'[16]Employment Data Sectors (wages)'!$H$86:$H$99</definedName>
    <definedName name="_30__123Graph_ECHART_8" localSheetId="9" hidden="1">'[16]Employment Data Sectors (wages)'!$H$86:$H$99</definedName>
    <definedName name="_30__123Graph_ECHART_8" localSheetId="10" hidden="1">'[17]Employment Data Sectors (wages)'!$H$86:$H$99</definedName>
    <definedName name="_30__123Graph_ECHART_8" localSheetId="19" hidden="1">'[16]Employment Data Sectors (wages)'!$H$86:$H$99</definedName>
    <definedName name="_30__123Graph_ECHART_8" localSheetId="21" hidden="1">'[16]Employment Data Sectors (wages)'!$H$86:$H$99</definedName>
    <definedName name="_30__123Graph_ECHART_8" localSheetId="23" hidden="1">'[16]Employment Data Sectors (wages)'!$H$86:$H$99</definedName>
    <definedName name="_30__123Graph_ECHART_8" localSheetId="24" hidden="1">'[16]Employment Data Sectors (wages)'!$H$86:$H$99</definedName>
    <definedName name="_30__123Graph_ECHART_8" localSheetId="25" hidden="1">'[16]Employment Data Sectors (wages)'!$H$86:$H$99</definedName>
    <definedName name="_30__123Graph_ECHART_8" localSheetId="27" hidden="1">'[16]Employment Data Sectors (wages)'!$H$86:$H$99</definedName>
    <definedName name="_30__123Graph_ECHART_8" localSheetId="30" hidden="1">'[16]Employment Data Sectors (wages)'!$H$86:$H$99</definedName>
    <definedName name="_30__123Graph_ECHART_8" localSheetId="33" hidden="1">'[16]Employment Data Sectors (wages)'!$H$86:$H$99</definedName>
    <definedName name="_30__123Graph_ECHART_8" localSheetId="34" hidden="1">'[17]Employment Data Sectors (wages)'!$H$86:$H$99</definedName>
    <definedName name="_30__123Graph_ECHART_8" localSheetId="35" hidden="1">'[17]Employment Data Sectors (wages)'!$H$86:$H$99</definedName>
    <definedName name="_30__123Graph_ECHART_8" localSheetId="36" hidden="1">'[17]Employment Data Sectors (wages)'!$H$86:$H$99</definedName>
    <definedName name="_30__123Graph_ECHART_8" localSheetId="37" hidden="1">'[17]Employment Data Sectors (wages)'!$H$86:$H$99</definedName>
    <definedName name="_30__123Graph_ECHART_8" localSheetId="38" hidden="1">'[17]Employment Data Sectors (wages)'!$H$86:$H$99</definedName>
    <definedName name="_30__123Graph_ECHART_8" localSheetId="39" hidden="1">'[16]Employment Data Sectors (wages)'!$H$86:$H$99</definedName>
    <definedName name="_30__123Graph_ECHART_8" localSheetId="40" hidden="1">'[16]Employment Data Sectors (wages)'!$H$86:$H$99</definedName>
    <definedName name="_30__123Graph_ECHART_8" hidden="1">'[17]Employment Data Sectors (wages)'!$H$86:$H$99</definedName>
    <definedName name="_30__123Graph_FCHART_8" localSheetId="55" hidden="1">'[19]Employment Data Sectors (wages)'!$H$6:$H$17</definedName>
    <definedName name="_30__123Graph_FCHART_8" localSheetId="71" hidden="1">'[20]Employment Data Sectors (wages)'!$H$6:$H$17</definedName>
    <definedName name="_30__123Graph_FCHART_8" localSheetId="72" hidden="1">'[20]Employment Data Sectors (wages)'!$H$6:$H$17</definedName>
    <definedName name="_30__123Graph_FCHART_8" localSheetId="73" hidden="1">'[20]Employment Data Sectors (wages)'!$H$6:$H$17</definedName>
    <definedName name="_30__123Graph_FCHART_8" localSheetId="74" hidden="1">'[20]Employment Data Sectors (wages)'!$H$6:$H$17</definedName>
    <definedName name="_30__123Graph_FCHART_8" localSheetId="79" hidden="1">'[19]Employment Data Sectors (wages)'!$H$6:$H$17</definedName>
    <definedName name="_30__123Graph_FCHART_8" localSheetId="115" hidden="1">'[20]Employment Data Sectors (wages)'!$H$6:$H$17</definedName>
    <definedName name="_30__123Graph_FCHART_8" localSheetId="10" hidden="1">'[20]Employment Data Sectors (wages)'!$H$6:$H$17</definedName>
    <definedName name="_30__123Graph_FCHART_8" localSheetId="23" hidden="1">'[20]Employment Data Sectors (wages)'!$H$6:$H$17</definedName>
    <definedName name="_30__123Graph_FCHART_8" localSheetId="34" hidden="1">'[20]Employment Data Sectors (wages)'!$H$6:$H$17</definedName>
    <definedName name="_30__123Graph_FCHART_8" localSheetId="35" hidden="1">'[20]Employment Data Sectors (wages)'!$H$6:$H$17</definedName>
    <definedName name="_30__123Graph_FCHART_8" localSheetId="36" hidden="1">'[20]Employment Data Sectors (wages)'!$H$6:$H$17</definedName>
    <definedName name="_30__123Graph_FCHART_8" localSheetId="37" hidden="1">'[20]Employment Data Sectors (wages)'!$H$6:$H$17</definedName>
    <definedName name="_30__123Graph_FCHART_8" localSheetId="38" hidden="1">'[20]Employment Data Sectors (wages)'!$H$6:$H$17</definedName>
    <definedName name="_30__123Graph_FCHART_8" hidden="1">'[20]Employment Data Sectors (wages)'!$H$6:$H$17</definedName>
    <definedName name="_31__123Graph_ACHART_8" hidden="1">'[14]Employment Data Sectors (wages)'!$W$8175:$W$8186</definedName>
    <definedName name="_31__123Graph_FCHART_8" localSheetId="55" hidden="1">'[16]Employment Data Sectors (wages)'!$H$6:$H$17</definedName>
    <definedName name="_31__123Graph_FCHART_8" localSheetId="70" hidden="1">'[16]Employment Data Sectors (wages)'!$H$6:$H$17</definedName>
    <definedName name="_31__123Graph_FCHART_8" localSheetId="71" hidden="1">'[17]Employment Data Sectors (wages)'!$H$6:$H$17</definedName>
    <definedName name="_31__123Graph_FCHART_8" localSheetId="72" hidden="1">'[17]Employment Data Sectors (wages)'!$H$6:$H$17</definedName>
    <definedName name="_31__123Graph_FCHART_8" localSheetId="73" hidden="1">'[17]Employment Data Sectors (wages)'!$H$6:$H$17</definedName>
    <definedName name="_31__123Graph_FCHART_8" localSheetId="74" hidden="1">'[17]Employment Data Sectors (wages)'!$H$6:$H$17</definedName>
    <definedName name="_31__123Graph_FCHART_8" localSheetId="79" hidden="1">'[18]Employment Data Sectors (wages)'!$H$6:$H$17</definedName>
    <definedName name="_31__123Graph_FCHART_8" localSheetId="80" hidden="1">'[16]Employment Data Sectors (wages)'!$H$6:$H$17</definedName>
    <definedName name="_31__123Graph_FCHART_8" localSheetId="81" hidden="1">'[16]Employment Data Sectors (wages)'!$H$6:$H$17</definedName>
    <definedName name="_31__123Graph_FCHART_8" localSheetId="101" hidden="1">'[16]Employment Data Sectors (wages)'!$H$6:$H$17</definedName>
    <definedName name="_31__123Graph_FCHART_8" localSheetId="108" hidden="1">'[16]Employment Data Sectors (wages)'!$H$6:$H$17</definedName>
    <definedName name="_31__123Graph_FCHART_8" localSheetId="115" hidden="1">'[17]Employment Data Sectors (wages)'!$H$6:$H$17</definedName>
    <definedName name="_31__123Graph_FCHART_8" localSheetId="7" hidden="1">'[16]Employment Data Sectors (wages)'!$H$6:$H$17</definedName>
    <definedName name="_31__123Graph_FCHART_8" localSheetId="8" hidden="1">'[16]Employment Data Sectors (wages)'!$H$6:$H$17</definedName>
    <definedName name="_31__123Graph_FCHART_8" localSheetId="9" hidden="1">'[16]Employment Data Sectors (wages)'!$H$6:$H$17</definedName>
    <definedName name="_31__123Graph_FCHART_8" localSheetId="10" hidden="1">'[17]Employment Data Sectors (wages)'!$H$6:$H$17</definedName>
    <definedName name="_31__123Graph_FCHART_8" localSheetId="19" hidden="1">'[16]Employment Data Sectors (wages)'!$H$6:$H$17</definedName>
    <definedName name="_31__123Graph_FCHART_8" localSheetId="21" hidden="1">'[16]Employment Data Sectors (wages)'!$H$6:$H$17</definedName>
    <definedName name="_31__123Graph_FCHART_8" localSheetId="23" hidden="1">'[16]Employment Data Sectors (wages)'!$H$6:$H$17</definedName>
    <definedName name="_31__123Graph_FCHART_8" localSheetId="24" hidden="1">'[16]Employment Data Sectors (wages)'!$H$6:$H$17</definedName>
    <definedName name="_31__123Graph_FCHART_8" localSheetId="25" hidden="1">'[16]Employment Data Sectors (wages)'!$H$6:$H$17</definedName>
    <definedName name="_31__123Graph_FCHART_8" localSheetId="27" hidden="1">'[16]Employment Data Sectors (wages)'!$H$6:$H$17</definedName>
    <definedName name="_31__123Graph_FCHART_8" localSheetId="30" hidden="1">'[16]Employment Data Sectors (wages)'!$H$6:$H$17</definedName>
    <definedName name="_31__123Graph_FCHART_8" localSheetId="33" hidden="1">'[16]Employment Data Sectors (wages)'!$H$6:$H$17</definedName>
    <definedName name="_31__123Graph_FCHART_8" localSheetId="34" hidden="1">'[17]Employment Data Sectors (wages)'!$H$6:$H$17</definedName>
    <definedName name="_31__123Graph_FCHART_8" localSheetId="35" hidden="1">'[17]Employment Data Sectors (wages)'!$H$6:$H$17</definedName>
    <definedName name="_31__123Graph_FCHART_8" localSheetId="36" hidden="1">'[17]Employment Data Sectors (wages)'!$H$6:$H$17</definedName>
    <definedName name="_31__123Graph_FCHART_8" localSheetId="37" hidden="1">'[17]Employment Data Sectors (wages)'!$H$6:$H$17</definedName>
    <definedName name="_31__123Graph_FCHART_8" localSheetId="38" hidden="1">'[17]Employment Data Sectors (wages)'!$H$6:$H$17</definedName>
    <definedName name="_31__123Graph_FCHART_8" localSheetId="39" hidden="1">'[16]Employment Data Sectors (wages)'!$H$6:$H$17</definedName>
    <definedName name="_31__123Graph_FCHART_8" localSheetId="40" hidden="1">'[16]Employment Data Sectors (wages)'!$H$6:$H$17</definedName>
    <definedName name="_31__123Graph_FCHART_8" hidden="1">'[17]Employment Data Sectors (wages)'!$H$6:$H$17</definedName>
    <definedName name="_32__123Graph_BCHART_5" hidden="1">'[15]Employment Data Sectors (wages)'!$B$24:$B$35</definedName>
    <definedName name="_33__123Graph_ACHART_5" localSheetId="70" hidden="1">'[21]Employment Data Sectors (wages)'!$A$24:$A$35</definedName>
    <definedName name="_33__123Graph_ACHART_5" localSheetId="71" hidden="1">'[21]Employment Data Sectors (wages)'!$A$24:$A$35</definedName>
    <definedName name="_33__123Graph_ACHART_5" localSheetId="72" hidden="1">'[21]Employment Data Sectors (wages)'!$A$24:$A$35</definedName>
    <definedName name="_33__123Graph_ACHART_5" localSheetId="73" hidden="1">'[21]Employment Data Sectors (wages)'!$A$24:$A$35</definedName>
    <definedName name="_33__123Graph_ACHART_5" localSheetId="74" hidden="1">'[21]Employment Data Sectors (wages)'!$A$24:$A$35</definedName>
    <definedName name="_33__123Graph_ACHART_5" localSheetId="79" hidden="1">'[14]Employment Data Sectors (wages)'!$A$24:$A$35</definedName>
    <definedName name="_33__123Graph_ACHART_5" localSheetId="80" hidden="1">'[21]Employment Data Sectors (wages)'!$A$24:$A$35</definedName>
    <definedName name="_33__123Graph_ACHART_5" localSheetId="81" hidden="1">'[21]Employment Data Sectors (wages)'!$A$24:$A$35</definedName>
    <definedName name="_33__123Graph_ACHART_5" localSheetId="101" hidden="1">'[21]Employment Data Sectors (wages)'!$A$24:$A$35</definedName>
    <definedName name="_33__123Graph_ACHART_5" localSheetId="108" hidden="1">'[21]Employment Data Sectors (wages)'!$A$24:$A$35</definedName>
    <definedName name="_33__123Graph_ACHART_5" localSheetId="115" hidden="1">'[21]Employment Data Sectors (wages)'!$A$24:$A$35</definedName>
    <definedName name="_33__123Graph_ACHART_5" localSheetId="7" hidden="1">'[21]Employment Data Sectors (wages)'!$A$24:$A$35</definedName>
    <definedName name="_33__123Graph_ACHART_5" localSheetId="8" hidden="1">'[21]Employment Data Sectors (wages)'!$A$24:$A$35</definedName>
    <definedName name="_33__123Graph_ACHART_5" localSheetId="9" hidden="1">'[21]Employment Data Sectors (wages)'!$A$24:$A$35</definedName>
    <definedName name="_33__123Graph_ACHART_5" localSheetId="10" hidden="1">'[21]Employment Data Sectors (wages)'!$A$24:$A$35</definedName>
    <definedName name="_33__123Graph_ACHART_5" localSheetId="19" hidden="1">'[21]Employment Data Sectors (wages)'!$A$24:$A$35</definedName>
    <definedName name="_33__123Graph_ACHART_5" localSheetId="21" hidden="1">'[21]Employment Data Sectors (wages)'!$A$24:$A$35</definedName>
    <definedName name="_33__123Graph_ACHART_5" localSheetId="23" hidden="1">'[21]Employment Data Sectors (wages)'!$A$24:$A$35</definedName>
    <definedName name="_33__123Graph_ACHART_5" localSheetId="24" hidden="1">'[21]Employment Data Sectors (wages)'!$A$24:$A$35</definedName>
    <definedName name="_33__123Graph_ACHART_5" localSheetId="25" hidden="1">'[21]Employment Data Sectors (wages)'!$A$24:$A$35</definedName>
    <definedName name="_33__123Graph_ACHART_5" localSheetId="27" hidden="1">'[21]Employment Data Sectors (wages)'!$A$24:$A$35</definedName>
    <definedName name="_33__123Graph_ACHART_5" localSheetId="30" hidden="1">'[21]Employment Data Sectors (wages)'!$A$24:$A$35</definedName>
    <definedName name="_33__123Graph_ACHART_5" localSheetId="33" hidden="1">'[21]Employment Data Sectors (wages)'!$A$24:$A$35</definedName>
    <definedName name="_33__123Graph_ACHART_5" localSheetId="34" hidden="1">'[21]Employment Data Sectors (wages)'!$A$24:$A$35</definedName>
    <definedName name="_33__123Graph_ACHART_5" localSheetId="35" hidden="1">'[21]Employment Data Sectors (wages)'!$A$24:$A$35</definedName>
    <definedName name="_33__123Graph_ACHART_5" localSheetId="36" hidden="1">'[21]Employment Data Sectors (wages)'!$A$24:$A$35</definedName>
    <definedName name="_33__123Graph_ACHART_5" localSheetId="37" hidden="1">'[21]Employment Data Sectors (wages)'!$A$24:$A$35</definedName>
    <definedName name="_33__123Graph_ACHART_5" localSheetId="38" hidden="1">'[21]Employment Data Sectors (wages)'!$A$24:$A$35</definedName>
    <definedName name="_33__123Graph_ACHART_5" localSheetId="39" hidden="1">'[21]Employment Data Sectors (wages)'!$A$24:$A$35</definedName>
    <definedName name="_33__123Graph_ACHART_5" localSheetId="40" hidden="1">'[21]Employment Data Sectors (wages)'!$A$24:$A$35</definedName>
    <definedName name="_33__123Graph_ACHART_5" hidden="1">'[21]Employment Data Sectors (wages)'!$A$24:$A$35</definedName>
    <definedName name="_33__123Graph_BCHART_1" localSheetId="70" hidden="1">'[22]Employment Data Sectors (wages)'!$B$8173:$B$8184</definedName>
    <definedName name="_33__123Graph_BCHART_1" localSheetId="71" hidden="1">'[22]Employment Data Sectors (wages)'!$B$8173:$B$8184</definedName>
    <definedName name="_33__123Graph_BCHART_1" localSheetId="72" hidden="1">'[22]Employment Data Sectors (wages)'!$B$8173:$B$8184</definedName>
    <definedName name="_33__123Graph_BCHART_1" localSheetId="73" hidden="1">'[22]Employment Data Sectors (wages)'!$B$8173:$B$8184</definedName>
    <definedName name="_33__123Graph_BCHART_1" localSheetId="74" hidden="1">'[22]Employment Data Sectors (wages)'!$B$8173:$B$8184</definedName>
    <definedName name="_33__123Graph_BCHART_1" localSheetId="79" hidden="1">'[14]Employment Data Sectors (wages)'!$B$8173:$B$8184</definedName>
    <definedName name="_33__123Graph_BCHART_1" localSheetId="80" hidden="1">'[22]Employment Data Sectors (wages)'!$B$8173:$B$8184</definedName>
    <definedName name="_33__123Graph_BCHART_1" localSheetId="81" hidden="1">'[22]Employment Data Sectors (wages)'!$B$8173:$B$8184</definedName>
    <definedName name="_33__123Graph_BCHART_1" localSheetId="101" hidden="1">'[22]Employment Data Sectors (wages)'!$B$8173:$B$8184</definedName>
    <definedName name="_33__123Graph_BCHART_1" localSheetId="108" hidden="1">'[22]Employment Data Sectors (wages)'!$B$8173:$B$8184</definedName>
    <definedName name="_33__123Graph_BCHART_1" localSheetId="115" hidden="1">'[22]Employment Data Sectors (wages)'!$B$8173:$B$8184</definedName>
    <definedName name="_33__123Graph_BCHART_1" localSheetId="7" hidden="1">'[22]Employment Data Sectors (wages)'!$B$8173:$B$8184</definedName>
    <definedName name="_33__123Graph_BCHART_1" localSheetId="8" hidden="1">'[22]Employment Data Sectors (wages)'!$B$8173:$B$8184</definedName>
    <definedName name="_33__123Graph_BCHART_1" localSheetId="9" hidden="1">'[22]Employment Data Sectors (wages)'!$B$8173:$B$8184</definedName>
    <definedName name="_33__123Graph_BCHART_1" localSheetId="10" hidden="1">'[22]Employment Data Sectors (wages)'!$B$8173:$B$8184</definedName>
    <definedName name="_33__123Graph_BCHART_1" localSheetId="19" hidden="1">'[22]Employment Data Sectors (wages)'!$B$8173:$B$8184</definedName>
    <definedName name="_33__123Graph_BCHART_1" localSheetId="21" hidden="1">'[22]Employment Data Sectors (wages)'!$B$8173:$B$8184</definedName>
    <definedName name="_33__123Graph_BCHART_1" localSheetId="23" hidden="1">'[22]Employment Data Sectors (wages)'!$B$8173:$B$8184</definedName>
    <definedName name="_33__123Graph_BCHART_1" localSheetId="24" hidden="1">'[22]Employment Data Sectors (wages)'!$B$8173:$B$8184</definedName>
    <definedName name="_33__123Graph_BCHART_1" localSheetId="25" hidden="1">'[14]Employment Data Sectors (wages)'!$B$8173:$B$8184</definedName>
    <definedName name="_33__123Graph_BCHART_1" localSheetId="27" hidden="1">'[22]Employment Data Sectors (wages)'!$B$8173:$B$8184</definedName>
    <definedName name="_33__123Graph_BCHART_1" localSheetId="30" hidden="1">'[22]Employment Data Sectors (wages)'!$B$8173:$B$8184</definedName>
    <definedName name="_33__123Graph_BCHART_1" localSheetId="33" hidden="1">'[22]Employment Data Sectors (wages)'!$B$8173:$B$8184</definedName>
    <definedName name="_33__123Graph_BCHART_1" localSheetId="34" hidden="1">'[22]Employment Data Sectors (wages)'!$B$8173:$B$8184</definedName>
    <definedName name="_33__123Graph_BCHART_1" localSheetId="35" hidden="1">'[22]Employment Data Sectors (wages)'!$B$8173:$B$8184</definedName>
    <definedName name="_33__123Graph_BCHART_1" localSheetId="36" hidden="1">'[22]Employment Data Sectors (wages)'!$B$8173:$B$8184</definedName>
    <definedName name="_33__123Graph_BCHART_1" localSheetId="37" hidden="1">'[22]Employment Data Sectors (wages)'!$B$8173:$B$8184</definedName>
    <definedName name="_33__123Graph_BCHART_1" localSheetId="38" hidden="1">'[22]Employment Data Sectors (wages)'!$B$8173:$B$8184</definedName>
    <definedName name="_33__123Graph_BCHART_1" localSheetId="39" hidden="1">'[22]Employment Data Sectors (wages)'!$B$8173:$B$8184</definedName>
    <definedName name="_33__123Graph_BCHART_1" localSheetId="40" hidden="1">'[22]Employment Data Sectors (wages)'!$B$8173:$B$8184</definedName>
    <definedName name="_33__123Graph_BCHART_1" hidden="1">'[22]Employment Data Sectors (wages)'!$B$8173:$B$8184</definedName>
    <definedName name="_34__123Graph_BCHART_1" hidden="1">'[14]Employment Data Sectors (wages)'!$B$8173:$B$8184</definedName>
    <definedName name="_34__123Graph_BCHART_6" hidden="1">'[15]Employment Data Sectors (wages)'!$AS$49:$AS$8103</definedName>
    <definedName name="_35__123Graph_ACHART_3" hidden="1">'[14]Employment Data Sectors (wages)'!$A$11:$A$8185</definedName>
    <definedName name="_36__123Graph_BCHART_2" localSheetId="70" hidden="1">'[22]Employment Data Sectors (wages)'!$B$8173:$B$8184</definedName>
    <definedName name="_36__123Graph_BCHART_2" localSheetId="71" hidden="1">'[22]Employment Data Sectors (wages)'!$B$8173:$B$8184</definedName>
    <definedName name="_36__123Graph_BCHART_2" localSheetId="72" hidden="1">'[22]Employment Data Sectors (wages)'!$B$8173:$B$8184</definedName>
    <definedName name="_36__123Graph_BCHART_2" localSheetId="73" hidden="1">'[22]Employment Data Sectors (wages)'!$B$8173:$B$8184</definedName>
    <definedName name="_36__123Graph_BCHART_2" localSheetId="74" hidden="1">'[22]Employment Data Sectors (wages)'!$B$8173:$B$8184</definedName>
    <definedName name="_36__123Graph_BCHART_2" localSheetId="79" hidden="1">'[14]Employment Data Sectors (wages)'!$B$8173:$B$8184</definedName>
    <definedName name="_36__123Graph_BCHART_2" localSheetId="80" hidden="1">'[22]Employment Data Sectors (wages)'!$B$8173:$B$8184</definedName>
    <definedName name="_36__123Graph_BCHART_2" localSheetId="81" hidden="1">'[22]Employment Data Sectors (wages)'!$B$8173:$B$8184</definedName>
    <definedName name="_36__123Graph_BCHART_2" localSheetId="101" hidden="1">'[22]Employment Data Sectors (wages)'!$B$8173:$B$8184</definedName>
    <definedName name="_36__123Graph_BCHART_2" localSheetId="108" hidden="1">'[22]Employment Data Sectors (wages)'!$B$8173:$B$8184</definedName>
    <definedName name="_36__123Graph_BCHART_2" localSheetId="115" hidden="1">'[22]Employment Data Sectors (wages)'!$B$8173:$B$8184</definedName>
    <definedName name="_36__123Graph_BCHART_2" localSheetId="7" hidden="1">'[22]Employment Data Sectors (wages)'!$B$8173:$B$8184</definedName>
    <definedName name="_36__123Graph_BCHART_2" localSheetId="8" hidden="1">'[22]Employment Data Sectors (wages)'!$B$8173:$B$8184</definedName>
    <definedName name="_36__123Graph_BCHART_2" localSheetId="9" hidden="1">'[22]Employment Data Sectors (wages)'!$B$8173:$B$8184</definedName>
    <definedName name="_36__123Graph_BCHART_2" localSheetId="10" hidden="1">'[22]Employment Data Sectors (wages)'!$B$8173:$B$8184</definedName>
    <definedName name="_36__123Graph_BCHART_2" localSheetId="19" hidden="1">'[22]Employment Data Sectors (wages)'!$B$8173:$B$8184</definedName>
    <definedName name="_36__123Graph_BCHART_2" localSheetId="21" hidden="1">'[22]Employment Data Sectors (wages)'!$B$8173:$B$8184</definedName>
    <definedName name="_36__123Graph_BCHART_2" localSheetId="23" hidden="1">'[22]Employment Data Sectors (wages)'!$B$8173:$B$8184</definedName>
    <definedName name="_36__123Graph_BCHART_2" localSheetId="24" hidden="1">'[22]Employment Data Sectors (wages)'!$B$8173:$B$8184</definedName>
    <definedName name="_36__123Graph_BCHART_2" localSheetId="25" hidden="1">'[14]Employment Data Sectors (wages)'!$B$8173:$B$8184</definedName>
    <definedName name="_36__123Graph_BCHART_2" localSheetId="27" hidden="1">'[22]Employment Data Sectors (wages)'!$B$8173:$B$8184</definedName>
    <definedName name="_36__123Graph_BCHART_2" localSheetId="30" hidden="1">'[22]Employment Data Sectors (wages)'!$B$8173:$B$8184</definedName>
    <definedName name="_36__123Graph_BCHART_2" localSheetId="33" hidden="1">'[22]Employment Data Sectors (wages)'!$B$8173:$B$8184</definedName>
    <definedName name="_36__123Graph_BCHART_2" localSheetId="34" hidden="1">'[22]Employment Data Sectors (wages)'!$B$8173:$B$8184</definedName>
    <definedName name="_36__123Graph_BCHART_2" localSheetId="35" hidden="1">'[22]Employment Data Sectors (wages)'!$B$8173:$B$8184</definedName>
    <definedName name="_36__123Graph_BCHART_2" localSheetId="36" hidden="1">'[22]Employment Data Sectors (wages)'!$B$8173:$B$8184</definedName>
    <definedName name="_36__123Graph_BCHART_2" localSheetId="37" hidden="1">'[22]Employment Data Sectors (wages)'!$B$8173:$B$8184</definedName>
    <definedName name="_36__123Graph_BCHART_2" localSheetId="38" hidden="1">'[22]Employment Data Sectors (wages)'!$B$8173:$B$8184</definedName>
    <definedName name="_36__123Graph_BCHART_2" localSheetId="39" hidden="1">'[22]Employment Data Sectors (wages)'!$B$8173:$B$8184</definedName>
    <definedName name="_36__123Graph_BCHART_2" localSheetId="40" hidden="1">'[22]Employment Data Sectors (wages)'!$B$8173:$B$8184</definedName>
    <definedName name="_36__123Graph_BCHART_2" hidden="1">'[22]Employment Data Sectors (wages)'!$B$8173:$B$8184</definedName>
    <definedName name="_36__123Graph_BCHART_7" hidden="1">'[15]Employment Data Sectors (wages)'!$Y$13:$Y$8187</definedName>
    <definedName name="_37__123Graph_BCHART_2" hidden="1">'[14]Employment Data Sectors (wages)'!$B$8173:$B$8184</definedName>
    <definedName name="_38__123Graph_ACHART_6" localSheetId="70" hidden="1">'[21]Employment Data Sectors (wages)'!$Y$49:$Y$8103</definedName>
    <definedName name="_38__123Graph_ACHART_6" localSheetId="71" hidden="1">'[21]Employment Data Sectors (wages)'!$Y$49:$Y$8103</definedName>
    <definedName name="_38__123Graph_ACHART_6" localSheetId="72" hidden="1">'[21]Employment Data Sectors (wages)'!$Y$49:$Y$8103</definedName>
    <definedName name="_38__123Graph_ACHART_6" localSheetId="73" hidden="1">'[21]Employment Data Sectors (wages)'!$Y$49:$Y$8103</definedName>
    <definedName name="_38__123Graph_ACHART_6" localSheetId="74" hidden="1">'[21]Employment Data Sectors (wages)'!$Y$49:$Y$8103</definedName>
    <definedName name="_38__123Graph_ACHART_6" localSheetId="79" hidden="1">'[14]Employment Data Sectors (wages)'!$Y$49:$Y$8103</definedName>
    <definedName name="_38__123Graph_ACHART_6" localSheetId="80" hidden="1">'[21]Employment Data Sectors (wages)'!$Y$49:$Y$8103</definedName>
    <definedName name="_38__123Graph_ACHART_6" localSheetId="81" hidden="1">'[21]Employment Data Sectors (wages)'!$Y$49:$Y$8103</definedName>
    <definedName name="_38__123Graph_ACHART_6" localSheetId="101" hidden="1">'[21]Employment Data Sectors (wages)'!$Y$49:$Y$8103</definedName>
    <definedName name="_38__123Graph_ACHART_6" localSheetId="108" hidden="1">'[21]Employment Data Sectors (wages)'!$Y$49:$Y$8103</definedName>
    <definedName name="_38__123Graph_ACHART_6" localSheetId="115" hidden="1">'[21]Employment Data Sectors (wages)'!$Y$49:$Y$8103</definedName>
    <definedName name="_38__123Graph_ACHART_6" localSheetId="7" hidden="1">'[21]Employment Data Sectors (wages)'!$Y$49:$Y$8103</definedName>
    <definedName name="_38__123Graph_ACHART_6" localSheetId="8" hidden="1">'[21]Employment Data Sectors (wages)'!$Y$49:$Y$8103</definedName>
    <definedName name="_38__123Graph_ACHART_6" localSheetId="9" hidden="1">'[21]Employment Data Sectors (wages)'!$Y$49:$Y$8103</definedName>
    <definedName name="_38__123Graph_ACHART_6" localSheetId="10" hidden="1">'[21]Employment Data Sectors (wages)'!$Y$49:$Y$8103</definedName>
    <definedName name="_38__123Graph_ACHART_6" localSheetId="19" hidden="1">'[21]Employment Data Sectors (wages)'!$Y$49:$Y$8103</definedName>
    <definedName name="_38__123Graph_ACHART_6" localSheetId="21" hidden="1">'[21]Employment Data Sectors (wages)'!$Y$49:$Y$8103</definedName>
    <definedName name="_38__123Graph_ACHART_6" localSheetId="23" hidden="1">'[21]Employment Data Sectors (wages)'!$Y$49:$Y$8103</definedName>
    <definedName name="_38__123Graph_ACHART_6" localSheetId="24" hidden="1">'[21]Employment Data Sectors (wages)'!$Y$49:$Y$8103</definedName>
    <definedName name="_38__123Graph_ACHART_6" localSheetId="25" hidden="1">'[21]Employment Data Sectors (wages)'!$Y$49:$Y$8103</definedName>
    <definedName name="_38__123Graph_ACHART_6" localSheetId="27" hidden="1">'[21]Employment Data Sectors (wages)'!$Y$49:$Y$8103</definedName>
    <definedName name="_38__123Graph_ACHART_6" localSheetId="30" hidden="1">'[21]Employment Data Sectors (wages)'!$Y$49:$Y$8103</definedName>
    <definedName name="_38__123Graph_ACHART_6" localSheetId="33" hidden="1">'[21]Employment Data Sectors (wages)'!$Y$49:$Y$8103</definedName>
    <definedName name="_38__123Graph_ACHART_6" localSheetId="34" hidden="1">'[21]Employment Data Sectors (wages)'!$Y$49:$Y$8103</definedName>
    <definedName name="_38__123Graph_ACHART_6" localSheetId="35" hidden="1">'[21]Employment Data Sectors (wages)'!$Y$49:$Y$8103</definedName>
    <definedName name="_38__123Graph_ACHART_6" localSheetId="36" hidden="1">'[21]Employment Data Sectors (wages)'!$Y$49:$Y$8103</definedName>
    <definedName name="_38__123Graph_ACHART_6" localSheetId="37" hidden="1">'[21]Employment Data Sectors (wages)'!$Y$49:$Y$8103</definedName>
    <definedName name="_38__123Graph_ACHART_6" localSheetId="38" hidden="1">'[21]Employment Data Sectors (wages)'!$Y$49:$Y$8103</definedName>
    <definedName name="_38__123Graph_ACHART_6" localSheetId="39" hidden="1">'[21]Employment Data Sectors (wages)'!$Y$49:$Y$8103</definedName>
    <definedName name="_38__123Graph_ACHART_6" localSheetId="40" hidden="1">'[21]Employment Data Sectors (wages)'!$Y$49:$Y$8103</definedName>
    <definedName name="_38__123Graph_ACHART_6" hidden="1">'[21]Employment Data Sectors (wages)'!$Y$49:$Y$8103</definedName>
    <definedName name="_38__123Graph_BCHART_8" hidden="1">'[15]Employment Data Sectors (wages)'!$W$13:$W$8187</definedName>
    <definedName name="_39__123Graph_BCHART_3" localSheetId="70" hidden="1">'[22]Employment Data Sectors (wages)'!$B$11:$B$8185</definedName>
    <definedName name="_39__123Graph_BCHART_3" localSheetId="71" hidden="1">'[22]Employment Data Sectors (wages)'!$B$11:$B$8185</definedName>
    <definedName name="_39__123Graph_BCHART_3" localSheetId="72" hidden="1">'[22]Employment Data Sectors (wages)'!$B$11:$B$8185</definedName>
    <definedName name="_39__123Graph_BCHART_3" localSheetId="73" hidden="1">'[22]Employment Data Sectors (wages)'!$B$11:$B$8185</definedName>
    <definedName name="_39__123Graph_BCHART_3" localSheetId="74" hidden="1">'[22]Employment Data Sectors (wages)'!$B$11:$B$8185</definedName>
    <definedName name="_39__123Graph_BCHART_3" localSheetId="79" hidden="1">'[14]Employment Data Sectors (wages)'!$B$11:$B$8185</definedName>
    <definedName name="_39__123Graph_BCHART_3" localSheetId="80" hidden="1">'[22]Employment Data Sectors (wages)'!$B$11:$B$8185</definedName>
    <definedName name="_39__123Graph_BCHART_3" localSheetId="81" hidden="1">'[22]Employment Data Sectors (wages)'!$B$11:$B$8185</definedName>
    <definedName name="_39__123Graph_BCHART_3" localSheetId="101" hidden="1">'[22]Employment Data Sectors (wages)'!$B$11:$B$8185</definedName>
    <definedName name="_39__123Graph_BCHART_3" localSheetId="108" hidden="1">'[22]Employment Data Sectors (wages)'!$B$11:$B$8185</definedName>
    <definedName name="_39__123Graph_BCHART_3" localSheetId="115" hidden="1">'[22]Employment Data Sectors (wages)'!$B$11:$B$8185</definedName>
    <definedName name="_39__123Graph_BCHART_3" localSheetId="7" hidden="1">'[22]Employment Data Sectors (wages)'!$B$11:$B$8185</definedName>
    <definedName name="_39__123Graph_BCHART_3" localSheetId="8" hidden="1">'[22]Employment Data Sectors (wages)'!$B$11:$B$8185</definedName>
    <definedName name="_39__123Graph_BCHART_3" localSheetId="9" hidden="1">'[22]Employment Data Sectors (wages)'!$B$11:$B$8185</definedName>
    <definedName name="_39__123Graph_BCHART_3" localSheetId="10" hidden="1">'[22]Employment Data Sectors (wages)'!$B$11:$B$8185</definedName>
    <definedName name="_39__123Graph_BCHART_3" localSheetId="19" hidden="1">'[22]Employment Data Sectors (wages)'!$B$11:$B$8185</definedName>
    <definedName name="_39__123Graph_BCHART_3" localSheetId="21" hidden="1">'[22]Employment Data Sectors (wages)'!$B$11:$B$8185</definedName>
    <definedName name="_39__123Graph_BCHART_3" localSheetId="23" hidden="1">'[22]Employment Data Sectors (wages)'!$B$11:$B$8185</definedName>
    <definedName name="_39__123Graph_BCHART_3" localSheetId="24" hidden="1">'[22]Employment Data Sectors (wages)'!$B$11:$B$8185</definedName>
    <definedName name="_39__123Graph_BCHART_3" localSheetId="25" hidden="1">'[14]Employment Data Sectors (wages)'!$B$11:$B$8185</definedName>
    <definedName name="_39__123Graph_BCHART_3" localSheetId="27" hidden="1">'[22]Employment Data Sectors (wages)'!$B$11:$B$8185</definedName>
    <definedName name="_39__123Graph_BCHART_3" localSheetId="30" hidden="1">'[22]Employment Data Sectors (wages)'!$B$11:$B$8185</definedName>
    <definedName name="_39__123Graph_BCHART_3" localSheetId="33" hidden="1">'[22]Employment Data Sectors (wages)'!$B$11:$B$8185</definedName>
    <definedName name="_39__123Graph_BCHART_3" localSheetId="34" hidden="1">'[22]Employment Data Sectors (wages)'!$B$11:$B$8185</definedName>
    <definedName name="_39__123Graph_BCHART_3" localSheetId="35" hidden="1">'[22]Employment Data Sectors (wages)'!$B$11:$B$8185</definedName>
    <definedName name="_39__123Graph_BCHART_3" localSheetId="36" hidden="1">'[22]Employment Data Sectors (wages)'!$B$11:$B$8185</definedName>
    <definedName name="_39__123Graph_BCHART_3" localSheetId="37" hidden="1">'[22]Employment Data Sectors (wages)'!$B$11:$B$8185</definedName>
    <definedName name="_39__123Graph_BCHART_3" localSheetId="38" hidden="1">'[22]Employment Data Sectors (wages)'!$B$11:$B$8185</definedName>
    <definedName name="_39__123Graph_BCHART_3" localSheetId="39" hidden="1">'[22]Employment Data Sectors (wages)'!$B$11:$B$8185</definedName>
    <definedName name="_39__123Graph_BCHART_3" localSheetId="40" hidden="1">'[22]Employment Data Sectors (wages)'!$B$11:$B$8185</definedName>
    <definedName name="_39__123Graph_BCHART_3" hidden="1">'[22]Employment Data Sectors (wages)'!$B$11:$B$8185</definedName>
    <definedName name="_4__123Graph_ACHART_2" localSheetId="55" hidden="1">'[16]Employment Data Sectors (wages)'!$A$8173:$A$8184</definedName>
    <definedName name="_4__123Graph_ACHART_2" localSheetId="70" hidden="1">'[16]Employment Data Sectors (wages)'!$A$8173:$A$8184</definedName>
    <definedName name="_4__123Graph_ACHART_2" localSheetId="71" hidden="1">'[17]Employment Data Sectors (wages)'!$A$8173:$A$8184</definedName>
    <definedName name="_4__123Graph_ACHART_2" localSheetId="72" hidden="1">'[17]Employment Data Sectors (wages)'!$A$8173:$A$8184</definedName>
    <definedName name="_4__123Graph_ACHART_2" localSheetId="73" hidden="1">'[17]Employment Data Sectors (wages)'!$A$8173:$A$8184</definedName>
    <definedName name="_4__123Graph_ACHART_2" localSheetId="74" hidden="1">'[17]Employment Data Sectors (wages)'!$A$8173:$A$8184</definedName>
    <definedName name="_4__123Graph_ACHART_2" localSheetId="79" hidden="1">'[18]Employment Data Sectors (wages)'!$A$8173:$A$8184</definedName>
    <definedName name="_4__123Graph_ACHART_2" localSheetId="80" hidden="1">'[16]Employment Data Sectors (wages)'!$A$8173:$A$8184</definedName>
    <definedName name="_4__123Graph_ACHART_2" localSheetId="81" hidden="1">'[16]Employment Data Sectors (wages)'!$A$8173:$A$8184</definedName>
    <definedName name="_4__123Graph_ACHART_2" localSheetId="101" hidden="1">'[16]Employment Data Sectors (wages)'!$A$8173:$A$8184</definedName>
    <definedName name="_4__123Graph_ACHART_2" localSheetId="108" hidden="1">'[16]Employment Data Sectors (wages)'!$A$8173:$A$8184</definedName>
    <definedName name="_4__123Graph_ACHART_2" localSheetId="115" hidden="1">'[17]Employment Data Sectors (wages)'!$A$8173:$A$8184</definedName>
    <definedName name="_4__123Graph_ACHART_2" localSheetId="7" hidden="1">'[16]Employment Data Sectors (wages)'!$A$8173:$A$8184</definedName>
    <definedName name="_4__123Graph_ACHART_2" localSheetId="8" hidden="1">'[16]Employment Data Sectors (wages)'!$A$8173:$A$8184</definedName>
    <definedName name="_4__123Graph_ACHART_2" localSheetId="9" hidden="1">'[16]Employment Data Sectors (wages)'!$A$8173:$A$8184</definedName>
    <definedName name="_4__123Graph_ACHART_2" localSheetId="10" hidden="1">'[17]Employment Data Sectors (wages)'!$A$8173:$A$8184</definedName>
    <definedName name="_4__123Graph_ACHART_2" localSheetId="19" hidden="1">'[16]Employment Data Sectors (wages)'!$A$8173:$A$8184</definedName>
    <definedName name="_4__123Graph_ACHART_2" localSheetId="21" hidden="1">'[16]Employment Data Sectors (wages)'!$A$8173:$A$8184</definedName>
    <definedName name="_4__123Graph_ACHART_2" localSheetId="23" hidden="1">'[16]Employment Data Sectors (wages)'!$A$8173:$A$8184</definedName>
    <definedName name="_4__123Graph_ACHART_2" localSheetId="24" hidden="1">'[16]Employment Data Sectors (wages)'!$A$8173:$A$8184</definedName>
    <definedName name="_4__123Graph_ACHART_2" localSheetId="25" hidden="1">'[16]Employment Data Sectors (wages)'!$A$8173:$A$8184</definedName>
    <definedName name="_4__123Graph_ACHART_2" localSheetId="27" hidden="1">'[16]Employment Data Sectors (wages)'!$A$8173:$A$8184</definedName>
    <definedName name="_4__123Graph_ACHART_2" localSheetId="30" hidden="1">'[16]Employment Data Sectors (wages)'!$A$8173:$A$8184</definedName>
    <definedName name="_4__123Graph_ACHART_2" localSheetId="33" hidden="1">'[16]Employment Data Sectors (wages)'!$A$8173:$A$8184</definedName>
    <definedName name="_4__123Graph_ACHART_2" localSheetId="34" hidden="1">'[17]Employment Data Sectors (wages)'!$A$8173:$A$8184</definedName>
    <definedName name="_4__123Graph_ACHART_2" localSheetId="35" hidden="1">'[17]Employment Data Sectors (wages)'!$A$8173:$A$8184</definedName>
    <definedName name="_4__123Graph_ACHART_2" localSheetId="36" hidden="1">'[17]Employment Data Sectors (wages)'!$A$8173:$A$8184</definedName>
    <definedName name="_4__123Graph_ACHART_2" localSheetId="37" hidden="1">'[17]Employment Data Sectors (wages)'!$A$8173:$A$8184</definedName>
    <definedName name="_4__123Graph_ACHART_2" localSheetId="38" hidden="1">'[17]Employment Data Sectors (wages)'!$A$8173:$A$8184</definedName>
    <definedName name="_4__123Graph_ACHART_2" localSheetId="39" hidden="1">'[16]Employment Data Sectors (wages)'!$A$8173:$A$8184</definedName>
    <definedName name="_4__123Graph_ACHART_2" localSheetId="40" hidden="1">'[16]Employment Data Sectors (wages)'!$A$8173:$A$8184</definedName>
    <definedName name="_4__123Graph_ACHART_2" hidden="1">'[17]Employment Data Sectors (wages)'!$A$8173:$A$8184</definedName>
    <definedName name="_4__123Graph_ACHART_3" localSheetId="55" hidden="1">'[19]Employment Data Sectors (wages)'!$A$11:$A$8185</definedName>
    <definedName name="_4__123Graph_ACHART_3" localSheetId="71" hidden="1">'[20]Employment Data Sectors (wages)'!$A$11:$A$8185</definedName>
    <definedName name="_4__123Graph_ACHART_3" localSheetId="72" hidden="1">'[20]Employment Data Sectors (wages)'!$A$11:$A$8185</definedName>
    <definedName name="_4__123Graph_ACHART_3" localSheetId="73" hidden="1">'[20]Employment Data Sectors (wages)'!$A$11:$A$8185</definedName>
    <definedName name="_4__123Graph_ACHART_3" localSheetId="74" hidden="1">'[20]Employment Data Sectors (wages)'!$A$11:$A$8185</definedName>
    <definedName name="_4__123Graph_ACHART_3" localSheetId="79" hidden="1">'[19]Employment Data Sectors (wages)'!$A$11:$A$8185</definedName>
    <definedName name="_4__123Graph_ACHART_3" localSheetId="115" hidden="1">'[20]Employment Data Sectors (wages)'!$A$11:$A$8185</definedName>
    <definedName name="_4__123Graph_ACHART_3" localSheetId="10" hidden="1">'[20]Employment Data Sectors (wages)'!$A$11:$A$8185</definedName>
    <definedName name="_4__123Graph_ACHART_3" localSheetId="23" hidden="1">'[20]Employment Data Sectors (wages)'!$A$11:$A$8185</definedName>
    <definedName name="_4__123Graph_ACHART_3" localSheetId="34" hidden="1">'[20]Employment Data Sectors (wages)'!$A$11:$A$8185</definedName>
    <definedName name="_4__123Graph_ACHART_3" localSheetId="35" hidden="1">'[20]Employment Data Sectors (wages)'!$A$11:$A$8185</definedName>
    <definedName name="_4__123Graph_ACHART_3" localSheetId="36" hidden="1">'[20]Employment Data Sectors (wages)'!$A$11:$A$8185</definedName>
    <definedName name="_4__123Graph_ACHART_3" localSheetId="37" hidden="1">'[20]Employment Data Sectors (wages)'!$A$11:$A$8185</definedName>
    <definedName name="_4__123Graph_ACHART_3" localSheetId="38" hidden="1">'[20]Employment Data Sectors (wages)'!$A$11:$A$8185</definedName>
    <definedName name="_4__123Graph_ACHART_3" hidden="1">'[20]Employment Data Sectors (wages)'!$A$11:$A$8185</definedName>
    <definedName name="_40__123Graph_ACHART_4" hidden="1">'[14]Employment Data Sectors (wages)'!$A$12:$A$23</definedName>
    <definedName name="_40__123Graph_BCHART_3" hidden="1">'[14]Employment Data Sectors (wages)'!$B$11:$B$8185</definedName>
    <definedName name="_40__123Graph_CCHART_1" hidden="1">'[15]Employment Data Sectors (wages)'!$C$8173:$C$8184</definedName>
    <definedName name="_42__123Graph_BCHART_4" localSheetId="70" hidden="1">'[22]Employment Data Sectors (wages)'!$B$12:$B$23</definedName>
    <definedName name="_42__123Graph_BCHART_4" localSheetId="71" hidden="1">'[22]Employment Data Sectors (wages)'!$B$12:$B$23</definedName>
    <definedName name="_42__123Graph_BCHART_4" localSheetId="72" hidden="1">'[22]Employment Data Sectors (wages)'!$B$12:$B$23</definedName>
    <definedName name="_42__123Graph_BCHART_4" localSheetId="73" hidden="1">'[22]Employment Data Sectors (wages)'!$B$12:$B$23</definedName>
    <definedName name="_42__123Graph_BCHART_4" localSheetId="74" hidden="1">'[22]Employment Data Sectors (wages)'!$B$12:$B$23</definedName>
    <definedName name="_42__123Graph_BCHART_4" localSheetId="79" hidden="1">'[14]Employment Data Sectors (wages)'!$B$12:$B$23</definedName>
    <definedName name="_42__123Graph_BCHART_4" localSheetId="80" hidden="1">'[22]Employment Data Sectors (wages)'!$B$12:$B$23</definedName>
    <definedName name="_42__123Graph_BCHART_4" localSheetId="81" hidden="1">'[22]Employment Data Sectors (wages)'!$B$12:$B$23</definedName>
    <definedName name="_42__123Graph_BCHART_4" localSheetId="101" hidden="1">'[22]Employment Data Sectors (wages)'!$B$12:$B$23</definedName>
    <definedName name="_42__123Graph_BCHART_4" localSheetId="108" hidden="1">'[22]Employment Data Sectors (wages)'!$B$12:$B$23</definedName>
    <definedName name="_42__123Graph_BCHART_4" localSheetId="115" hidden="1">'[22]Employment Data Sectors (wages)'!$B$12:$B$23</definedName>
    <definedName name="_42__123Graph_BCHART_4" localSheetId="7" hidden="1">'[22]Employment Data Sectors (wages)'!$B$12:$B$23</definedName>
    <definedName name="_42__123Graph_BCHART_4" localSheetId="8" hidden="1">'[22]Employment Data Sectors (wages)'!$B$12:$B$23</definedName>
    <definedName name="_42__123Graph_BCHART_4" localSheetId="9" hidden="1">'[22]Employment Data Sectors (wages)'!$B$12:$B$23</definedName>
    <definedName name="_42__123Graph_BCHART_4" localSheetId="10" hidden="1">'[22]Employment Data Sectors (wages)'!$B$12:$B$23</definedName>
    <definedName name="_42__123Graph_BCHART_4" localSheetId="19" hidden="1">'[22]Employment Data Sectors (wages)'!$B$12:$B$23</definedName>
    <definedName name="_42__123Graph_BCHART_4" localSheetId="21" hidden="1">'[22]Employment Data Sectors (wages)'!$B$12:$B$23</definedName>
    <definedName name="_42__123Graph_BCHART_4" localSheetId="23" hidden="1">'[22]Employment Data Sectors (wages)'!$B$12:$B$23</definedName>
    <definedName name="_42__123Graph_BCHART_4" localSheetId="24" hidden="1">'[22]Employment Data Sectors (wages)'!$B$12:$B$23</definedName>
    <definedName name="_42__123Graph_BCHART_4" localSheetId="25" hidden="1">'[14]Employment Data Sectors (wages)'!$B$12:$B$23</definedName>
    <definedName name="_42__123Graph_BCHART_4" localSheetId="27" hidden="1">'[22]Employment Data Sectors (wages)'!$B$12:$B$23</definedName>
    <definedName name="_42__123Graph_BCHART_4" localSheetId="30" hidden="1">'[22]Employment Data Sectors (wages)'!$B$12:$B$23</definedName>
    <definedName name="_42__123Graph_BCHART_4" localSheetId="33" hidden="1">'[22]Employment Data Sectors (wages)'!$B$12:$B$23</definedName>
    <definedName name="_42__123Graph_BCHART_4" localSheetId="34" hidden="1">'[22]Employment Data Sectors (wages)'!$B$12:$B$23</definedName>
    <definedName name="_42__123Graph_BCHART_4" localSheetId="35" hidden="1">'[22]Employment Data Sectors (wages)'!$B$12:$B$23</definedName>
    <definedName name="_42__123Graph_BCHART_4" localSheetId="36" hidden="1">'[22]Employment Data Sectors (wages)'!$B$12:$B$23</definedName>
    <definedName name="_42__123Graph_BCHART_4" localSheetId="37" hidden="1">'[22]Employment Data Sectors (wages)'!$B$12:$B$23</definedName>
    <definedName name="_42__123Graph_BCHART_4" localSheetId="38" hidden="1">'[22]Employment Data Sectors (wages)'!$B$12:$B$23</definedName>
    <definedName name="_42__123Graph_BCHART_4" localSheetId="39" hidden="1">'[22]Employment Data Sectors (wages)'!$B$12:$B$23</definedName>
    <definedName name="_42__123Graph_BCHART_4" localSheetId="40" hidden="1">'[22]Employment Data Sectors (wages)'!$B$12:$B$23</definedName>
    <definedName name="_42__123Graph_BCHART_4" hidden="1">'[22]Employment Data Sectors (wages)'!$B$12:$B$23</definedName>
    <definedName name="_42__123Graph_CCHART_2" hidden="1">'[15]Employment Data Sectors (wages)'!$C$8173:$C$8184</definedName>
    <definedName name="_43__123Graph_ACHART_7" localSheetId="70" hidden="1">'[21]Employment Data Sectors (wages)'!$Y$8175:$Y$8186</definedName>
    <definedName name="_43__123Graph_ACHART_7" localSheetId="71" hidden="1">'[21]Employment Data Sectors (wages)'!$Y$8175:$Y$8186</definedName>
    <definedName name="_43__123Graph_ACHART_7" localSheetId="72" hidden="1">'[21]Employment Data Sectors (wages)'!$Y$8175:$Y$8186</definedName>
    <definedName name="_43__123Graph_ACHART_7" localSheetId="73" hidden="1">'[21]Employment Data Sectors (wages)'!$Y$8175:$Y$8186</definedName>
    <definedName name="_43__123Graph_ACHART_7" localSheetId="74" hidden="1">'[21]Employment Data Sectors (wages)'!$Y$8175:$Y$8186</definedName>
    <definedName name="_43__123Graph_ACHART_7" localSheetId="79" hidden="1">'[14]Employment Data Sectors (wages)'!$Y$8175:$Y$8186</definedName>
    <definedName name="_43__123Graph_ACHART_7" localSheetId="80" hidden="1">'[21]Employment Data Sectors (wages)'!$Y$8175:$Y$8186</definedName>
    <definedName name="_43__123Graph_ACHART_7" localSheetId="81" hidden="1">'[21]Employment Data Sectors (wages)'!$Y$8175:$Y$8186</definedName>
    <definedName name="_43__123Graph_ACHART_7" localSheetId="101" hidden="1">'[21]Employment Data Sectors (wages)'!$Y$8175:$Y$8186</definedName>
    <definedName name="_43__123Graph_ACHART_7" localSheetId="108" hidden="1">'[21]Employment Data Sectors (wages)'!$Y$8175:$Y$8186</definedName>
    <definedName name="_43__123Graph_ACHART_7" localSheetId="115" hidden="1">'[21]Employment Data Sectors (wages)'!$Y$8175:$Y$8186</definedName>
    <definedName name="_43__123Graph_ACHART_7" localSheetId="7" hidden="1">'[21]Employment Data Sectors (wages)'!$Y$8175:$Y$8186</definedName>
    <definedName name="_43__123Graph_ACHART_7" localSheetId="8" hidden="1">'[21]Employment Data Sectors (wages)'!$Y$8175:$Y$8186</definedName>
    <definedName name="_43__123Graph_ACHART_7" localSheetId="9" hidden="1">'[21]Employment Data Sectors (wages)'!$Y$8175:$Y$8186</definedName>
    <definedName name="_43__123Graph_ACHART_7" localSheetId="10" hidden="1">'[21]Employment Data Sectors (wages)'!$Y$8175:$Y$8186</definedName>
    <definedName name="_43__123Graph_ACHART_7" localSheetId="19" hidden="1">'[21]Employment Data Sectors (wages)'!$Y$8175:$Y$8186</definedName>
    <definedName name="_43__123Graph_ACHART_7" localSheetId="21" hidden="1">'[21]Employment Data Sectors (wages)'!$Y$8175:$Y$8186</definedName>
    <definedName name="_43__123Graph_ACHART_7" localSheetId="23" hidden="1">'[21]Employment Data Sectors (wages)'!$Y$8175:$Y$8186</definedName>
    <definedName name="_43__123Graph_ACHART_7" localSheetId="24" hidden="1">'[21]Employment Data Sectors (wages)'!$Y$8175:$Y$8186</definedName>
    <definedName name="_43__123Graph_ACHART_7" localSheetId="25" hidden="1">'[21]Employment Data Sectors (wages)'!$Y$8175:$Y$8186</definedName>
    <definedName name="_43__123Graph_ACHART_7" localSheetId="27" hidden="1">'[21]Employment Data Sectors (wages)'!$Y$8175:$Y$8186</definedName>
    <definedName name="_43__123Graph_ACHART_7" localSheetId="30" hidden="1">'[21]Employment Data Sectors (wages)'!$Y$8175:$Y$8186</definedName>
    <definedName name="_43__123Graph_ACHART_7" localSheetId="33" hidden="1">'[21]Employment Data Sectors (wages)'!$Y$8175:$Y$8186</definedName>
    <definedName name="_43__123Graph_ACHART_7" localSheetId="34" hidden="1">'[21]Employment Data Sectors (wages)'!$Y$8175:$Y$8186</definedName>
    <definedName name="_43__123Graph_ACHART_7" localSheetId="35" hidden="1">'[21]Employment Data Sectors (wages)'!$Y$8175:$Y$8186</definedName>
    <definedName name="_43__123Graph_ACHART_7" localSheetId="36" hidden="1">'[21]Employment Data Sectors (wages)'!$Y$8175:$Y$8186</definedName>
    <definedName name="_43__123Graph_ACHART_7" localSheetId="37" hidden="1">'[21]Employment Data Sectors (wages)'!$Y$8175:$Y$8186</definedName>
    <definedName name="_43__123Graph_ACHART_7" localSheetId="38" hidden="1">'[21]Employment Data Sectors (wages)'!$Y$8175:$Y$8186</definedName>
    <definedName name="_43__123Graph_ACHART_7" localSheetId="39" hidden="1">'[21]Employment Data Sectors (wages)'!$Y$8175:$Y$8186</definedName>
    <definedName name="_43__123Graph_ACHART_7" localSheetId="40" hidden="1">'[21]Employment Data Sectors (wages)'!$Y$8175:$Y$8186</definedName>
    <definedName name="_43__123Graph_ACHART_7" hidden="1">'[21]Employment Data Sectors (wages)'!$Y$8175:$Y$8186</definedName>
    <definedName name="_43__123Graph_BCHART_4" hidden="1">'[14]Employment Data Sectors (wages)'!$B$12:$B$23</definedName>
    <definedName name="_44__123Graph_CCHART_3" hidden="1">'[15]Employment Data Sectors (wages)'!$C$11:$C$8185</definedName>
    <definedName name="_45__123Graph_ACHART_5" hidden="1">'[14]Employment Data Sectors (wages)'!$A$24:$A$35</definedName>
    <definedName name="_45__123Graph_BCHART_5" localSheetId="70" hidden="1">'[22]Employment Data Sectors (wages)'!$B$24:$B$35</definedName>
    <definedName name="_45__123Graph_BCHART_5" localSheetId="71" hidden="1">'[22]Employment Data Sectors (wages)'!$B$24:$B$35</definedName>
    <definedName name="_45__123Graph_BCHART_5" localSheetId="72" hidden="1">'[22]Employment Data Sectors (wages)'!$B$24:$B$35</definedName>
    <definedName name="_45__123Graph_BCHART_5" localSheetId="73" hidden="1">'[22]Employment Data Sectors (wages)'!$B$24:$B$35</definedName>
    <definedName name="_45__123Graph_BCHART_5" localSheetId="74" hidden="1">'[22]Employment Data Sectors (wages)'!$B$24:$B$35</definedName>
    <definedName name="_45__123Graph_BCHART_5" localSheetId="79" hidden="1">'[14]Employment Data Sectors (wages)'!$B$24:$B$35</definedName>
    <definedName name="_45__123Graph_BCHART_5" localSheetId="80" hidden="1">'[22]Employment Data Sectors (wages)'!$B$24:$B$35</definedName>
    <definedName name="_45__123Graph_BCHART_5" localSheetId="81" hidden="1">'[22]Employment Data Sectors (wages)'!$B$24:$B$35</definedName>
    <definedName name="_45__123Graph_BCHART_5" localSheetId="101" hidden="1">'[22]Employment Data Sectors (wages)'!$B$24:$B$35</definedName>
    <definedName name="_45__123Graph_BCHART_5" localSheetId="108" hidden="1">'[22]Employment Data Sectors (wages)'!$B$24:$B$35</definedName>
    <definedName name="_45__123Graph_BCHART_5" localSheetId="115" hidden="1">'[22]Employment Data Sectors (wages)'!$B$24:$B$35</definedName>
    <definedName name="_45__123Graph_BCHART_5" localSheetId="7" hidden="1">'[22]Employment Data Sectors (wages)'!$B$24:$B$35</definedName>
    <definedName name="_45__123Graph_BCHART_5" localSheetId="8" hidden="1">'[22]Employment Data Sectors (wages)'!$B$24:$B$35</definedName>
    <definedName name="_45__123Graph_BCHART_5" localSheetId="9" hidden="1">'[22]Employment Data Sectors (wages)'!$B$24:$B$35</definedName>
    <definedName name="_45__123Graph_BCHART_5" localSheetId="10" hidden="1">'[22]Employment Data Sectors (wages)'!$B$24:$B$35</definedName>
    <definedName name="_45__123Graph_BCHART_5" localSheetId="19" hidden="1">'[22]Employment Data Sectors (wages)'!$B$24:$B$35</definedName>
    <definedName name="_45__123Graph_BCHART_5" localSheetId="21" hidden="1">'[22]Employment Data Sectors (wages)'!$B$24:$B$35</definedName>
    <definedName name="_45__123Graph_BCHART_5" localSheetId="23" hidden="1">'[22]Employment Data Sectors (wages)'!$B$24:$B$35</definedName>
    <definedName name="_45__123Graph_BCHART_5" localSheetId="24" hidden="1">'[22]Employment Data Sectors (wages)'!$B$24:$B$35</definedName>
    <definedName name="_45__123Graph_BCHART_5" localSheetId="25" hidden="1">'[14]Employment Data Sectors (wages)'!$B$24:$B$35</definedName>
    <definedName name="_45__123Graph_BCHART_5" localSheetId="27" hidden="1">'[22]Employment Data Sectors (wages)'!$B$24:$B$35</definedName>
    <definedName name="_45__123Graph_BCHART_5" localSheetId="30" hidden="1">'[22]Employment Data Sectors (wages)'!$B$24:$B$35</definedName>
    <definedName name="_45__123Graph_BCHART_5" localSheetId="33" hidden="1">'[22]Employment Data Sectors (wages)'!$B$24:$B$35</definedName>
    <definedName name="_45__123Graph_BCHART_5" localSheetId="34" hidden="1">'[22]Employment Data Sectors (wages)'!$B$24:$B$35</definedName>
    <definedName name="_45__123Graph_BCHART_5" localSheetId="35" hidden="1">'[22]Employment Data Sectors (wages)'!$B$24:$B$35</definedName>
    <definedName name="_45__123Graph_BCHART_5" localSheetId="36" hidden="1">'[22]Employment Data Sectors (wages)'!$B$24:$B$35</definedName>
    <definedName name="_45__123Graph_BCHART_5" localSheetId="37" hidden="1">'[22]Employment Data Sectors (wages)'!$B$24:$B$35</definedName>
    <definedName name="_45__123Graph_BCHART_5" localSheetId="38" hidden="1">'[22]Employment Data Sectors (wages)'!$B$24:$B$35</definedName>
    <definedName name="_45__123Graph_BCHART_5" localSheetId="39" hidden="1">'[22]Employment Data Sectors (wages)'!$B$24:$B$35</definedName>
    <definedName name="_45__123Graph_BCHART_5" localSheetId="40" hidden="1">'[22]Employment Data Sectors (wages)'!$B$24:$B$35</definedName>
    <definedName name="_45__123Graph_BCHART_5" hidden="1">'[22]Employment Data Sectors (wages)'!$B$24:$B$35</definedName>
    <definedName name="_46__123Graph_BCHART_5" hidden="1">'[14]Employment Data Sectors (wages)'!$B$24:$B$35</definedName>
    <definedName name="_46__123Graph_CCHART_4" hidden="1">'[15]Employment Data Sectors (wages)'!$C$12:$C$23</definedName>
    <definedName name="_48__123Graph_ACHART_8" localSheetId="70" hidden="1">'[21]Employment Data Sectors (wages)'!$W$8175:$W$8186</definedName>
    <definedName name="_48__123Graph_ACHART_8" localSheetId="71" hidden="1">'[21]Employment Data Sectors (wages)'!$W$8175:$W$8186</definedName>
    <definedName name="_48__123Graph_ACHART_8" localSheetId="72" hidden="1">'[21]Employment Data Sectors (wages)'!$W$8175:$W$8186</definedName>
    <definedName name="_48__123Graph_ACHART_8" localSheetId="73" hidden="1">'[21]Employment Data Sectors (wages)'!$W$8175:$W$8186</definedName>
    <definedName name="_48__123Graph_ACHART_8" localSheetId="74" hidden="1">'[21]Employment Data Sectors (wages)'!$W$8175:$W$8186</definedName>
    <definedName name="_48__123Graph_ACHART_8" localSheetId="79" hidden="1">'[14]Employment Data Sectors (wages)'!$W$8175:$W$8186</definedName>
    <definedName name="_48__123Graph_ACHART_8" localSheetId="80" hidden="1">'[21]Employment Data Sectors (wages)'!$W$8175:$W$8186</definedName>
    <definedName name="_48__123Graph_ACHART_8" localSheetId="81" hidden="1">'[21]Employment Data Sectors (wages)'!$W$8175:$W$8186</definedName>
    <definedName name="_48__123Graph_ACHART_8" localSheetId="101" hidden="1">'[21]Employment Data Sectors (wages)'!$W$8175:$W$8186</definedName>
    <definedName name="_48__123Graph_ACHART_8" localSheetId="108" hidden="1">'[21]Employment Data Sectors (wages)'!$W$8175:$W$8186</definedName>
    <definedName name="_48__123Graph_ACHART_8" localSheetId="115" hidden="1">'[21]Employment Data Sectors (wages)'!$W$8175:$W$8186</definedName>
    <definedName name="_48__123Graph_ACHART_8" localSheetId="7" hidden="1">'[21]Employment Data Sectors (wages)'!$W$8175:$W$8186</definedName>
    <definedName name="_48__123Graph_ACHART_8" localSheetId="8" hidden="1">'[21]Employment Data Sectors (wages)'!$W$8175:$W$8186</definedName>
    <definedName name="_48__123Graph_ACHART_8" localSheetId="9" hidden="1">'[21]Employment Data Sectors (wages)'!$W$8175:$W$8186</definedName>
    <definedName name="_48__123Graph_ACHART_8" localSheetId="10" hidden="1">'[21]Employment Data Sectors (wages)'!$W$8175:$W$8186</definedName>
    <definedName name="_48__123Graph_ACHART_8" localSheetId="19" hidden="1">'[21]Employment Data Sectors (wages)'!$W$8175:$W$8186</definedName>
    <definedName name="_48__123Graph_ACHART_8" localSheetId="21" hidden="1">'[21]Employment Data Sectors (wages)'!$W$8175:$W$8186</definedName>
    <definedName name="_48__123Graph_ACHART_8" localSheetId="23" hidden="1">'[21]Employment Data Sectors (wages)'!$W$8175:$W$8186</definedName>
    <definedName name="_48__123Graph_ACHART_8" localSheetId="24" hidden="1">'[21]Employment Data Sectors (wages)'!$W$8175:$W$8186</definedName>
    <definedName name="_48__123Graph_ACHART_8" localSheetId="25" hidden="1">'[21]Employment Data Sectors (wages)'!$W$8175:$W$8186</definedName>
    <definedName name="_48__123Graph_ACHART_8" localSheetId="27" hidden="1">'[21]Employment Data Sectors (wages)'!$W$8175:$W$8186</definedName>
    <definedName name="_48__123Graph_ACHART_8" localSheetId="30" hidden="1">'[21]Employment Data Sectors (wages)'!$W$8175:$W$8186</definedName>
    <definedName name="_48__123Graph_ACHART_8" localSheetId="33" hidden="1">'[21]Employment Data Sectors (wages)'!$W$8175:$W$8186</definedName>
    <definedName name="_48__123Graph_ACHART_8" localSheetId="34" hidden="1">'[21]Employment Data Sectors (wages)'!$W$8175:$W$8186</definedName>
    <definedName name="_48__123Graph_ACHART_8" localSheetId="35" hidden="1">'[21]Employment Data Sectors (wages)'!$W$8175:$W$8186</definedName>
    <definedName name="_48__123Graph_ACHART_8" localSheetId="36" hidden="1">'[21]Employment Data Sectors (wages)'!$W$8175:$W$8186</definedName>
    <definedName name="_48__123Graph_ACHART_8" localSheetId="37" hidden="1">'[21]Employment Data Sectors (wages)'!$W$8175:$W$8186</definedName>
    <definedName name="_48__123Graph_ACHART_8" localSheetId="38" hidden="1">'[21]Employment Data Sectors (wages)'!$W$8175:$W$8186</definedName>
    <definedName name="_48__123Graph_ACHART_8" localSheetId="39" hidden="1">'[21]Employment Data Sectors (wages)'!$W$8175:$W$8186</definedName>
    <definedName name="_48__123Graph_ACHART_8" localSheetId="40" hidden="1">'[21]Employment Data Sectors (wages)'!$W$8175:$W$8186</definedName>
    <definedName name="_48__123Graph_ACHART_8" hidden="1">'[21]Employment Data Sectors (wages)'!$W$8175:$W$8186</definedName>
    <definedName name="_48__123Graph_BCHART_6" localSheetId="70" hidden="1">'[22]Employment Data Sectors (wages)'!$AS$49:$AS$8103</definedName>
    <definedName name="_48__123Graph_BCHART_6" localSheetId="71" hidden="1">'[22]Employment Data Sectors (wages)'!$AS$49:$AS$8103</definedName>
    <definedName name="_48__123Graph_BCHART_6" localSheetId="72" hidden="1">'[22]Employment Data Sectors (wages)'!$AS$49:$AS$8103</definedName>
    <definedName name="_48__123Graph_BCHART_6" localSheetId="73" hidden="1">'[22]Employment Data Sectors (wages)'!$AS$49:$AS$8103</definedName>
    <definedName name="_48__123Graph_BCHART_6" localSheetId="74" hidden="1">'[22]Employment Data Sectors (wages)'!$AS$49:$AS$8103</definedName>
    <definedName name="_48__123Graph_BCHART_6" localSheetId="79" hidden="1">'[14]Employment Data Sectors (wages)'!$AS$49:$AS$8103</definedName>
    <definedName name="_48__123Graph_BCHART_6" localSheetId="80" hidden="1">'[22]Employment Data Sectors (wages)'!$AS$49:$AS$8103</definedName>
    <definedName name="_48__123Graph_BCHART_6" localSheetId="81" hidden="1">'[22]Employment Data Sectors (wages)'!$AS$49:$AS$8103</definedName>
    <definedName name="_48__123Graph_BCHART_6" localSheetId="101" hidden="1">'[22]Employment Data Sectors (wages)'!$AS$49:$AS$8103</definedName>
    <definedName name="_48__123Graph_BCHART_6" localSheetId="108" hidden="1">'[22]Employment Data Sectors (wages)'!$AS$49:$AS$8103</definedName>
    <definedName name="_48__123Graph_BCHART_6" localSheetId="115" hidden="1">'[22]Employment Data Sectors (wages)'!$AS$49:$AS$8103</definedName>
    <definedName name="_48__123Graph_BCHART_6" localSheetId="7" hidden="1">'[22]Employment Data Sectors (wages)'!$AS$49:$AS$8103</definedName>
    <definedName name="_48__123Graph_BCHART_6" localSheetId="8" hidden="1">'[22]Employment Data Sectors (wages)'!$AS$49:$AS$8103</definedName>
    <definedName name="_48__123Graph_BCHART_6" localSheetId="9" hidden="1">'[22]Employment Data Sectors (wages)'!$AS$49:$AS$8103</definedName>
    <definedName name="_48__123Graph_BCHART_6" localSheetId="10" hidden="1">'[22]Employment Data Sectors (wages)'!$AS$49:$AS$8103</definedName>
    <definedName name="_48__123Graph_BCHART_6" localSheetId="19" hidden="1">'[22]Employment Data Sectors (wages)'!$AS$49:$AS$8103</definedName>
    <definedName name="_48__123Graph_BCHART_6" localSheetId="21" hidden="1">'[22]Employment Data Sectors (wages)'!$AS$49:$AS$8103</definedName>
    <definedName name="_48__123Graph_BCHART_6" localSheetId="23" hidden="1">'[22]Employment Data Sectors (wages)'!$AS$49:$AS$8103</definedName>
    <definedName name="_48__123Graph_BCHART_6" localSheetId="24" hidden="1">'[22]Employment Data Sectors (wages)'!$AS$49:$AS$8103</definedName>
    <definedName name="_48__123Graph_BCHART_6" localSheetId="25" hidden="1">'[14]Employment Data Sectors (wages)'!$AS$49:$AS$8103</definedName>
    <definedName name="_48__123Graph_BCHART_6" localSheetId="27" hidden="1">'[22]Employment Data Sectors (wages)'!$AS$49:$AS$8103</definedName>
    <definedName name="_48__123Graph_BCHART_6" localSheetId="30" hidden="1">'[22]Employment Data Sectors (wages)'!$AS$49:$AS$8103</definedName>
    <definedName name="_48__123Graph_BCHART_6" localSheetId="33" hidden="1">'[22]Employment Data Sectors (wages)'!$AS$49:$AS$8103</definedName>
    <definedName name="_48__123Graph_BCHART_6" localSheetId="34" hidden="1">'[22]Employment Data Sectors (wages)'!$AS$49:$AS$8103</definedName>
    <definedName name="_48__123Graph_BCHART_6" localSheetId="35" hidden="1">'[22]Employment Data Sectors (wages)'!$AS$49:$AS$8103</definedName>
    <definedName name="_48__123Graph_BCHART_6" localSheetId="36" hidden="1">'[22]Employment Data Sectors (wages)'!$AS$49:$AS$8103</definedName>
    <definedName name="_48__123Graph_BCHART_6" localSheetId="37" hidden="1">'[22]Employment Data Sectors (wages)'!$AS$49:$AS$8103</definedName>
    <definedName name="_48__123Graph_BCHART_6" localSheetId="38" hidden="1">'[22]Employment Data Sectors (wages)'!$AS$49:$AS$8103</definedName>
    <definedName name="_48__123Graph_BCHART_6" localSheetId="39" hidden="1">'[22]Employment Data Sectors (wages)'!$AS$49:$AS$8103</definedName>
    <definedName name="_48__123Graph_BCHART_6" localSheetId="40" hidden="1">'[22]Employment Data Sectors (wages)'!$AS$49:$AS$8103</definedName>
    <definedName name="_48__123Graph_BCHART_6" hidden="1">'[22]Employment Data Sectors (wages)'!$AS$49:$AS$8103</definedName>
    <definedName name="_48__123Graph_CCHART_5" hidden="1">'[15]Employment Data Sectors (wages)'!$C$24:$C$35</definedName>
    <definedName name="_49__123Graph_BCHART_6" hidden="1">'[14]Employment Data Sectors (wages)'!$AS$49:$AS$8103</definedName>
    <definedName name="_5__123Graph_ACHART_3" localSheetId="55" hidden="1">'[16]Employment Data Sectors (wages)'!$A$11:$A$8185</definedName>
    <definedName name="_5__123Graph_ACHART_3" localSheetId="70" hidden="1">'[16]Employment Data Sectors (wages)'!$A$11:$A$8185</definedName>
    <definedName name="_5__123Graph_ACHART_3" localSheetId="71" hidden="1">'[17]Employment Data Sectors (wages)'!$A$11:$A$8185</definedName>
    <definedName name="_5__123Graph_ACHART_3" localSheetId="72" hidden="1">'[17]Employment Data Sectors (wages)'!$A$11:$A$8185</definedName>
    <definedName name="_5__123Graph_ACHART_3" localSheetId="73" hidden="1">'[17]Employment Data Sectors (wages)'!$A$11:$A$8185</definedName>
    <definedName name="_5__123Graph_ACHART_3" localSheetId="74" hidden="1">'[17]Employment Data Sectors (wages)'!$A$11:$A$8185</definedName>
    <definedName name="_5__123Graph_ACHART_3" localSheetId="79" hidden="1">'[18]Employment Data Sectors (wages)'!$A$11:$A$8185</definedName>
    <definedName name="_5__123Graph_ACHART_3" localSheetId="80" hidden="1">'[16]Employment Data Sectors (wages)'!$A$11:$A$8185</definedName>
    <definedName name="_5__123Graph_ACHART_3" localSheetId="81" hidden="1">'[16]Employment Data Sectors (wages)'!$A$11:$A$8185</definedName>
    <definedName name="_5__123Graph_ACHART_3" localSheetId="101" hidden="1">'[16]Employment Data Sectors (wages)'!$A$11:$A$8185</definedName>
    <definedName name="_5__123Graph_ACHART_3" localSheetId="108" hidden="1">'[16]Employment Data Sectors (wages)'!$A$11:$A$8185</definedName>
    <definedName name="_5__123Graph_ACHART_3" localSheetId="115" hidden="1">'[17]Employment Data Sectors (wages)'!$A$11:$A$8185</definedName>
    <definedName name="_5__123Graph_ACHART_3" localSheetId="7" hidden="1">'[16]Employment Data Sectors (wages)'!$A$11:$A$8185</definedName>
    <definedName name="_5__123Graph_ACHART_3" localSheetId="8" hidden="1">'[16]Employment Data Sectors (wages)'!$A$11:$A$8185</definedName>
    <definedName name="_5__123Graph_ACHART_3" localSheetId="9" hidden="1">'[16]Employment Data Sectors (wages)'!$A$11:$A$8185</definedName>
    <definedName name="_5__123Graph_ACHART_3" localSheetId="10" hidden="1">'[17]Employment Data Sectors (wages)'!$A$11:$A$8185</definedName>
    <definedName name="_5__123Graph_ACHART_3" localSheetId="19" hidden="1">'[16]Employment Data Sectors (wages)'!$A$11:$A$8185</definedName>
    <definedName name="_5__123Graph_ACHART_3" localSheetId="21" hidden="1">'[16]Employment Data Sectors (wages)'!$A$11:$A$8185</definedName>
    <definedName name="_5__123Graph_ACHART_3" localSheetId="23" hidden="1">'[16]Employment Data Sectors (wages)'!$A$11:$A$8185</definedName>
    <definedName name="_5__123Graph_ACHART_3" localSheetId="24" hidden="1">'[16]Employment Data Sectors (wages)'!$A$11:$A$8185</definedName>
    <definedName name="_5__123Graph_ACHART_3" localSheetId="25" hidden="1">'[16]Employment Data Sectors (wages)'!$A$11:$A$8185</definedName>
    <definedName name="_5__123Graph_ACHART_3" localSheetId="27" hidden="1">'[16]Employment Data Sectors (wages)'!$A$11:$A$8185</definedName>
    <definedName name="_5__123Graph_ACHART_3" localSheetId="30" hidden="1">'[16]Employment Data Sectors (wages)'!$A$11:$A$8185</definedName>
    <definedName name="_5__123Graph_ACHART_3" localSheetId="33" hidden="1">'[16]Employment Data Sectors (wages)'!$A$11:$A$8185</definedName>
    <definedName name="_5__123Graph_ACHART_3" localSheetId="34" hidden="1">'[17]Employment Data Sectors (wages)'!$A$11:$A$8185</definedName>
    <definedName name="_5__123Graph_ACHART_3" localSheetId="35" hidden="1">'[17]Employment Data Sectors (wages)'!$A$11:$A$8185</definedName>
    <definedName name="_5__123Graph_ACHART_3" localSheetId="36" hidden="1">'[17]Employment Data Sectors (wages)'!$A$11:$A$8185</definedName>
    <definedName name="_5__123Graph_ACHART_3" localSheetId="37" hidden="1">'[17]Employment Data Sectors (wages)'!$A$11:$A$8185</definedName>
    <definedName name="_5__123Graph_ACHART_3" localSheetId="38" hidden="1">'[17]Employment Data Sectors (wages)'!$A$11:$A$8185</definedName>
    <definedName name="_5__123Graph_ACHART_3" localSheetId="39" hidden="1">'[16]Employment Data Sectors (wages)'!$A$11:$A$8185</definedName>
    <definedName name="_5__123Graph_ACHART_3" localSheetId="40" hidden="1">'[16]Employment Data Sectors (wages)'!$A$11:$A$8185</definedName>
    <definedName name="_5__123Graph_ACHART_3" hidden="1">'[17]Employment Data Sectors (wages)'!$A$11:$A$8185</definedName>
    <definedName name="_5__123Graph_ACHART_4" localSheetId="55" hidden="1">'[19]Employment Data Sectors (wages)'!$A$12:$A$23</definedName>
    <definedName name="_5__123Graph_ACHART_4" localSheetId="71" hidden="1">'[20]Employment Data Sectors (wages)'!$A$12:$A$23</definedName>
    <definedName name="_5__123Graph_ACHART_4" localSheetId="72" hidden="1">'[20]Employment Data Sectors (wages)'!$A$12:$A$23</definedName>
    <definedName name="_5__123Graph_ACHART_4" localSheetId="73" hidden="1">'[20]Employment Data Sectors (wages)'!$A$12:$A$23</definedName>
    <definedName name="_5__123Graph_ACHART_4" localSheetId="74" hidden="1">'[20]Employment Data Sectors (wages)'!$A$12:$A$23</definedName>
    <definedName name="_5__123Graph_ACHART_4" localSheetId="79" hidden="1">'[19]Employment Data Sectors (wages)'!$A$12:$A$23</definedName>
    <definedName name="_5__123Graph_ACHART_4" localSheetId="115" hidden="1">'[20]Employment Data Sectors (wages)'!$A$12:$A$23</definedName>
    <definedName name="_5__123Graph_ACHART_4" localSheetId="10" hidden="1">'[20]Employment Data Sectors (wages)'!$A$12:$A$23</definedName>
    <definedName name="_5__123Graph_ACHART_4" localSheetId="23" hidden="1">'[20]Employment Data Sectors (wages)'!$A$12:$A$23</definedName>
    <definedName name="_5__123Graph_ACHART_4" localSheetId="34" hidden="1">'[20]Employment Data Sectors (wages)'!$A$12:$A$23</definedName>
    <definedName name="_5__123Graph_ACHART_4" localSheetId="35" hidden="1">'[20]Employment Data Sectors (wages)'!$A$12:$A$23</definedName>
    <definedName name="_5__123Graph_ACHART_4" localSheetId="36" hidden="1">'[20]Employment Data Sectors (wages)'!$A$12:$A$23</definedName>
    <definedName name="_5__123Graph_ACHART_4" localSheetId="37" hidden="1">'[20]Employment Data Sectors (wages)'!$A$12:$A$23</definedName>
    <definedName name="_5__123Graph_ACHART_4" localSheetId="38" hidden="1">'[20]Employment Data Sectors (wages)'!$A$12:$A$23</definedName>
    <definedName name="_5__123Graph_ACHART_4" hidden="1">'[20]Employment Data Sectors (wages)'!$A$12:$A$23</definedName>
    <definedName name="_50__123Graph_ACHART_6" hidden="1">'[14]Employment Data Sectors (wages)'!$Y$49:$Y$8103</definedName>
    <definedName name="_50__123Graph_CCHART_6" hidden="1">'[15]Employment Data Sectors (wages)'!$U$49:$U$8103</definedName>
    <definedName name="_51__123Graph_BCHART_7" localSheetId="70" hidden="1">'[22]Employment Data Sectors (wages)'!$Y$13:$Y$8187</definedName>
    <definedName name="_51__123Graph_BCHART_7" localSheetId="71" hidden="1">'[22]Employment Data Sectors (wages)'!$Y$13:$Y$8187</definedName>
    <definedName name="_51__123Graph_BCHART_7" localSheetId="72" hidden="1">'[22]Employment Data Sectors (wages)'!$Y$13:$Y$8187</definedName>
    <definedName name="_51__123Graph_BCHART_7" localSheetId="73" hidden="1">'[22]Employment Data Sectors (wages)'!$Y$13:$Y$8187</definedName>
    <definedName name="_51__123Graph_BCHART_7" localSheetId="74" hidden="1">'[22]Employment Data Sectors (wages)'!$Y$13:$Y$8187</definedName>
    <definedName name="_51__123Graph_BCHART_7" localSheetId="79" hidden="1">'[14]Employment Data Sectors (wages)'!$Y$13:$Y$8187</definedName>
    <definedName name="_51__123Graph_BCHART_7" localSheetId="80" hidden="1">'[22]Employment Data Sectors (wages)'!$Y$13:$Y$8187</definedName>
    <definedName name="_51__123Graph_BCHART_7" localSheetId="81" hidden="1">'[22]Employment Data Sectors (wages)'!$Y$13:$Y$8187</definedName>
    <definedName name="_51__123Graph_BCHART_7" localSheetId="101" hidden="1">'[22]Employment Data Sectors (wages)'!$Y$13:$Y$8187</definedName>
    <definedName name="_51__123Graph_BCHART_7" localSheetId="108" hidden="1">'[22]Employment Data Sectors (wages)'!$Y$13:$Y$8187</definedName>
    <definedName name="_51__123Graph_BCHART_7" localSheetId="115" hidden="1">'[22]Employment Data Sectors (wages)'!$Y$13:$Y$8187</definedName>
    <definedName name="_51__123Graph_BCHART_7" localSheetId="7" hidden="1">'[22]Employment Data Sectors (wages)'!$Y$13:$Y$8187</definedName>
    <definedName name="_51__123Graph_BCHART_7" localSheetId="8" hidden="1">'[22]Employment Data Sectors (wages)'!$Y$13:$Y$8187</definedName>
    <definedName name="_51__123Graph_BCHART_7" localSheetId="9" hidden="1">'[22]Employment Data Sectors (wages)'!$Y$13:$Y$8187</definedName>
    <definedName name="_51__123Graph_BCHART_7" localSheetId="10" hidden="1">'[22]Employment Data Sectors (wages)'!$Y$13:$Y$8187</definedName>
    <definedName name="_51__123Graph_BCHART_7" localSheetId="19" hidden="1">'[22]Employment Data Sectors (wages)'!$Y$13:$Y$8187</definedName>
    <definedName name="_51__123Graph_BCHART_7" localSheetId="21" hidden="1">'[22]Employment Data Sectors (wages)'!$Y$13:$Y$8187</definedName>
    <definedName name="_51__123Graph_BCHART_7" localSheetId="23" hidden="1">'[22]Employment Data Sectors (wages)'!$Y$13:$Y$8187</definedName>
    <definedName name="_51__123Graph_BCHART_7" localSheetId="24" hidden="1">'[22]Employment Data Sectors (wages)'!$Y$13:$Y$8187</definedName>
    <definedName name="_51__123Graph_BCHART_7" localSheetId="25" hidden="1">'[14]Employment Data Sectors (wages)'!$Y$13:$Y$8187</definedName>
    <definedName name="_51__123Graph_BCHART_7" localSheetId="27" hidden="1">'[22]Employment Data Sectors (wages)'!$Y$13:$Y$8187</definedName>
    <definedName name="_51__123Graph_BCHART_7" localSheetId="30" hidden="1">'[22]Employment Data Sectors (wages)'!$Y$13:$Y$8187</definedName>
    <definedName name="_51__123Graph_BCHART_7" localSheetId="33" hidden="1">'[22]Employment Data Sectors (wages)'!$Y$13:$Y$8187</definedName>
    <definedName name="_51__123Graph_BCHART_7" localSheetId="34" hidden="1">'[22]Employment Data Sectors (wages)'!$Y$13:$Y$8187</definedName>
    <definedName name="_51__123Graph_BCHART_7" localSheetId="35" hidden="1">'[22]Employment Data Sectors (wages)'!$Y$13:$Y$8187</definedName>
    <definedName name="_51__123Graph_BCHART_7" localSheetId="36" hidden="1">'[22]Employment Data Sectors (wages)'!$Y$13:$Y$8187</definedName>
    <definedName name="_51__123Graph_BCHART_7" localSheetId="37" hidden="1">'[22]Employment Data Sectors (wages)'!$Y$13:$Y$8187</definedName>
    <definedName name="_51__123Graph_BCHART_7" localSheetId="38" hidden="1">'[22]Employment Data Sectors (wages)'!$Y$13:$Y$8187</definedName>
    <definedName name="_51__123Graph_BCHART_7" localSheetId="39" hidden="1">'[22]Employment Data Sectors (wages)'!$Y$13:$Y$8187</definedName>
    <definedName name="_51__123Graph_BCHART_7" localSheetId="40" hidden="1">'[22]Employment Data Sectors (wages)'!$Y$13:$Y$8187</definedName>
    <definedName name="_51__123Graph_BCHART_7" hidden="1">'[22]Employment Data Sectors (wages)'!$Y$13:$Y$8187</definedName>
    <definedName name="_52__123Graph_BCHART_7" hidden="1">'[14]Employment Data Sectors (wages)'!$Y$13:$Y$8187</definedName>
    <definedName name="_52__123Graph_CCHART_7" hidden="1">'[15]Employment Data Sectors (wages)'!$Y$14:$Y$25</definedName>
    <definedName name="_53__123Graph_BCHART_1" localSheetId="70" hidden="1">'[21]Employment Data Sectors (wages)'!$B$8173:$B$8184</definedName>
    <definedName name="_53__123Graph_BCHART_1" localSheetId="71" hidden="1">'[21]Employment Data Sectors (wages)'!$B$8173:$B$8184</definedName>
    <definedName name="_53__123Graph_BCHART_1" localSheetId="72" hidden="1">'[21]Employment Data Sectors (wages)'!$B$8173:$B$8184</definedName>
    <definedName name="_53__123Graph_BCHART_1" localSheetId="73" hidden="1">'[21]Employment Data Sectors (wages)'!$B$8173:$B$8184</definedName>
    <definedName name="_53__123Graph_BCHART_1" localSheetId="74" hidden="1">'[21]Employment Data Sectors (wages)'!$B$8173:$B$8184</definedName>
    <definedName name="_53__123Graph_BCHART_1" localSheetId="79" hidden="1">'[14]Employment Data Sectors (wages)'!$B$8173:$B$8184</definedName>
    <definedName name="_53__123Graph_BCHART_1" localSheetId="80" hidden="1">'[21]Employment Data Sectors (wages)'!$B$8173:$B$8184</definedName>
    <definedName name="_53__123Graph_BCHART_1" localSheetId="81" hidden="1">'[21]Employment Data Sectors (wages)'!$B$8173:$B$8184</definedName>
    <definedName name="_53__123Graph_BCHART_1" localSheetId="101" hidden="1">'[21]Employment Data Sectors (wages)'!$B$8173:$B$8184</definedName>
    <definedName name="_53__123Graph_BCHART_1" localSheetId="108" hidden="1">'[21]Employment Data Sectors (wages)'!$B$8173:$B$8184</definedName>
    <definedName name="_53__123Graph_BCHART_1" localSheetId="115" hidden="1">'[21]Employment Data Sectors (wages)'!$B$8173:$B$8184</definedName>
    <definedName name="_53__123Graph_BCHART_1" localSheetId="7" hidden="1">'[21]Employment Data Sectors (wages)'!$B$8173:$B$8184</definedName>
    <definedName name="_53__123Graph_BCHART_1" localSheetId="8" hidden="1">'[21]Employment Data Sectors (wages)'!$B$8173:$B$8184</definedName>
    <definedName name="_53__123Graph_BCHART_1" localSheetId="9" hidden="1">'[21]Employment Data Sectors (wages)'!$B$8173:$B$8184</definedName>
    <definedName name="_53__123Graph_BCHART_1" localSheetId="10" hidden="1">'[21]Employment Data Sectors (wages)'!$B$8173:$B$8184</definedName>
    <definedName name="_53__123Graph_BCHART_1" localSheetId="19" hidden="1">'[21]Employment Data Sectors (wages)'!$B$8173:$B$8184</definedName>
    <definedName name="_53__123Graph_BCHART_1" localSheetId="21" hidden="1">'[21]Employment Data Sectors (wages)'!$B$8173:$B$8184</definedName>
    <definedName name="_53__123Graph_BCHART_1" localSheetId="23" hidden="1">'[21]Employment Data Sectors (wages)'!$B$8173:$B$8184</definedName>
    <definedName name="_53__123Graph_BCHART_1" localSheetId="24" hidden="1">'[21]Employment Data Sectors (wages)'!$B$8173:$B$8184</definedName>
    <definedName name="_53__123Graph_BCHART_1" localSheetId="25" hidden="1">'[21]Employment Data Sectors (wages)'!$B$8173:$B$8184</definedName>
    <definedName name="_53__123Graph_BCHART_1" localSheetId="27" hidden="1">'[21]Employment Data Sectors (wages)'!$B$8173:$B$8184</definedName>
    <definedName name="_53__123Graph_BCHART_1" localSheetId="30" hidden="1">'[21]Employment Data Sectors (wages)'!$B$8173:$B$8184</definedName>
    <definedName name="_53__123Graph_BCHART_1" localSheetId="33" hidden="1">'[21]Employment Data Sectors (wages)'!$B$8173:$B$8184</definedName>
    <definedName name="_53__123Graph_BCHART_1" localSheetId="34" hidden="1">'[21]Employment Data Sectors (wages)'!$B$8173:$B$8184</definedName>
    <definedName name="_53__123Graph_BCHART_1" localSheetId="35" hidden="1">'[21]Employment Data Sectors (wages)'!$B$8173:$B$8184</definedName>
    <definedName name="_53__123Graph_BCHART_1" localSheetId="36" hidden="1">'[21]Employment Data Sectors (wages)'!$B$8173:$B$8184</definedName>
    <definedName name="_53__123Graph_BCHART_1" localSheetId="37" hidden="1">'[21]Employment Data Sectors (wages)'!$B$8173:$B$8184</definedName>
    <definedName name="_53__123Graph_BCHART_1" localSheetId="38" hidden="1">'[21]Employment Data Sectors (wages)'!$B$8173:$B$8184</definedName>
    <definedName name="_53__123Graph_BCHART_1" localSheetId="39" hidden="1">'[21]Employment Data Sectors (wages)'!$B$8173:$B$8184</definedName>
    <definedName name="_53__123Graph_BCHART_1" localSheetId="40" hidden="1">'[21]Employment Data Sectors (wages)'!$B$8173:$B$8184</definedName>
    <definedName name="_53__123Graph_BCHART_1" hidden="1">'[21]Employment Data Sectors (wages)'!$B$8173:$B$8184</definedName>
    <definedName name="_54__123Graph_BCHART_8" localSheetId="70" hidden="1">'[22]Employment Data Sectors (wages)'!$W$13:$W$8187</definedName>
    <definedName name="_54__123Graph_BCHART_8" localSheetId="71" hidden="1">'[22]Employment Data Sectors (wages)'!$W$13:$W$8187</definedName>
    <definedName name="_54__123Graph_BCHART_8" localSheetId="72" hidden="1">'[22]Employment Data Sectors (wages)'!$W$13:$W$8187</definedName>
    <definedName name="_54__123Graph_BCHART_8" localSheetId="73" hidden="1">'[22]Employment Data Sectors (wages)'!$W$13:$W$8187</definedName>
    <definedName name="_54__123Graph_BCHART_8" localSheetId="74" hidden="1">'[22]Employment Data Sectors (wages)'!$W$13:$W$8187</definedName>
    <definedName name="_54__123Graph_BCHART_8" localSheetId="79" hidden="1">'[14]Employment Data Sectors (wages)'!$W$13:$W$8187</definedName>
    <definedName name="_54__123Graph_BCHART_8" localSheetId="80" hidden="1">'[22]Employment Data Sectors (wages)'!$W$13:$W$8187</definedName>
    <definedName name="_54__123Graph_BCHART_8" localSheetId="81" hidden="1">'[22]Employment Data Sectors (wages)'!$W$13:$W$8187</definedName>
    <definedName name="_54__123Graph_BCHART_8" localSheetId="101" hidden="1">'[22]Employment Data Sectors (wages)'!$W$13:$W$8187</definedName>
    <definedName name="_54__123Graph_BCHART_8" localSheetId="108" hidden="1">'[22]Employment Data Sectors (wages)'!$W$13:$W$8187</definedName>
    <definedName name="_54__123Graph_BCHART_8" localSheetId="115" hidden="1">'[22]Employment Data Sectors (wages)'!$W$13:$W$8187</definedName>
    <definedName name="_54__123Graph_BCHART_8" localSheetId="7" hidden="1">'[22]Employment Data Sectors (wages)'!$W$13:$W$8187</definedName>
    <definedName name="_54__123Graph_BCHART_8" localSheetId="8" hidden="1">'[22]Employment Data Sectors (wages)'!$W$13:$W$8187</definedName>
    <definedName name="_54__123Graph_BCHART_8" localSheetId="9" hidden="1">'[22]Employment Data Sectors (wages)'!$W$13:$W$8187</definedName>
    <definedName name="_54__123Graph_BCHART_8" localSheetId="10" hidden="1">'[22]Employment Data Sectors (wages)'!$W$13:$W$8187</definedName>
    <definedName name="_54__123Graph_BCHART_8" localSheetId="19" hidden="1">'[22]Employment Data Sectors (wages)'!$W$13:$W$8187</definedName>
    <definedName name="_54__123Graph_BCHART_8" localSheetId="21" hidden="1">'[22]Employment Data Sectors (wages)'!$W$13:$W$8187</definedName>
    <definedName name="_54__123Graph_BCHART_8" localSheetId="23" hidden="1">'[22]Employment Data Sectors (wages)'!$W$13:$W$8187</definedName>
    <definedName name="_54__123Graph_BCHART_8" localSheetId="24" hidden="1">'[22]Employment Data Sectors (wages)'!$W$13:$W$8187</definedName>
    <definedName name="_54__123Graph_BCHART_8" localSheetId="25" hidden="1">'[14]Employment Data Sectors (wages)'!$W$13:$W$8187</definedName>
    <definedName name="_54__123Graph_BCHART_8" localSheetId="27" hidden="1">'[22]Employment Data Sectors (wages)'!$W$13:$W$8187</definedName>
    <definedName name="_54__123Graph_BCHART_8" localSheetId="30" hidden="1">'[22]Employment Data Sectors (wages)'!$W$13:$W$8187</definedName>
    <definedName name="_54__123Graph_BCHART_8" localSheetId="33" hidden="1">'[22]Employment Data Sectors (wages)'!$W$13:$W$8187</definedName>
    <definedName name="_54__123Graph_BCHART_8" localSheetId="34" hidden="1">'[22]Employment Data Sectors (wages)'!$W$13:$W$8187</definedName>
    <definedName name="_54__123Graph_BCHART_8" localSheetId="35" hidden="1">'[22]Employment Data Sectors (wages)'!$W$13:$W$8187</definedName>
    <definedName name="_54__123Graph_BCHART_8" localSheetId="36" hidden="1">'[22]Employment Data Sectors (wages)'!$W$13:$W$8187</definedName>
    <definedName name="_54__123Graph_BCHART_8" localSheetId="37" hidden="1">'[22]Employment Data Sectors (wages)'!$W$13:$W$8187</definedName>
    <definedName name="_54__123Graph_BCHART_8" localSheetId="38" hidden="1">'[22]Employment Data Sectors (wages)'!$W$13:$W$8187</definedName>
    <definedName name="_54__123Graph_BCHART_8" localSheetId="39" hidden="1">'[22]Employment Data Sectors (wages)'!$W$13:$W$8187</definedName>
    <definedName name="_54__123Graph_BCHART_8" localSheetId="40" hidden="1">'[22]Employment Data Sectors (wages)'!$W$13:$W$8187</definedName>
    <definedName name="_54__123Graph_BCHART_8" hidden="1">'[22]Employment Data Sectors (wages)'!$W$13:$W$8187</definedName>
    <definedName name="_54__123Graph_CCHART_8" hidden="1">'[15]Employment Data Sectors (wages)'!$W$14:$W$25</definedName>
    <definedName name="_55__123Graph_ACHART_7" hidden="1">'[14]Employment Data Sectors (wages)'!$Y$8175:$Y$8186</definedName>
    <definedName name="_55__123Graph_BCHART_8" hidden="1">'[14]Employment Data Sectors (wages)'!$W$13:$W$8187</definedName>
    <definedName name="_56__123Graph_DCHART_7" hidden="1">'[15]Employment Data Sectors (wages)'!$Y$26:$Y$37</definedName>
    <definedName name="_57__123Graph_CCHART_1" localSheetId="70" hidden="1">'[22]Employment Data Sectors (wages)'!$C$8173:$C$8184</definedName>
    <definedName name="_57__123Graph_CCHART_1" localSheetId="71" hidden="1">'[22]Employment Data Sectors (wages)'!$C$8173:$C$8184</definedName>
    <definedName name="_57__123Graph_CCHART_1" localSheetId="72" hidden="1">'[22]Employment Data Sectors (wages)'!$C$8173:$C$8184</definedName>
    <definedName name="_57__123Graph_CCHART_1" localSheetId="73" hidden="1">'[22]Employment Data Sectors (wages)'!$C$8173:$C$8184</definedName>
    <definedName name="_57__123Graph_CCHART_1" localSheetId="74" hidden="1">'[22]Employment Data Sectors (wages)'!$C$8173:$C$8184</definedName>
    <definedName name="_57__123Graph_CCHART_1" localSheetId="79" hidden="1">'[14]Employment Data Sectors (wages)'!$C$8173:$C$8184</definedName>
    <definedName name="_57__123Graph_CCHART_1" localSheetId="80" hidden="1">'[22]Employment Data Sectors (wages)'!$C$8173:$C$8184</definedName>
    <definedName name="_57__123Graph_CCHART_1" localSheetId="81" hidden="1">'[22]Employment Data Sectors (wages)'!$C$8173:$C$8184</definedName>
    <definedName name="_57__123Graph_CCHART_1" localSheetId="101" hidden="1">'[22]Employment Data Sectors (wages)'!$C$8173:$C$8184</definedName>
    <definedName name="_57__123Graph_CCHART_1" localSheetId="108" hidden="1">'[22]Employment Data Sectors (wages)'!$C$8173:$C$8184</definedName>
    <definedName name="_57__123Graph_CCHART_1" localSheetId="115" hidden="1">'[22]Employment Data Sectors (wages)'!$C$8173:$C$8184</definedName>
    <definedName name="_57__123Graph_CCHART_1" localSheetId="7" hidden="1">'[22]Employment Data Sectors (wages)'!$C$8173:$C$8184</definedName>
    <definedName name="_57__123Graph_CCHART_1" localSheetId="8" hidden="1">'[22]Employment Data Sectors (wages)'!$C$8173:$C$8184</definedName>
    <definedName name="_57__123Graph_CCHART_1" localSheetId="9" hidden="1">'[22]Employment Data Sectors (wages)'!$C$8173:$C$8184</definedName>
    <definedName name="_57__123Graph_CCHART_1" localSheetId="10" hidden="1">'[22]Employment Data Sectors (wages)'!$C$8173:$C$8184</definedName>
    <definedName name="_57__123Graph_CCHART_1" localSheetId="19" hidden="1">'[22]Employment Data Sectors (wages)'!$C$8173:$C$8184</definedName>
    <definedName name="_57__123Graph_CCHART_1" localSheetId="21" hidden="1">'[22]Employment Data Sectors (wages)'!$C$8173:$C$8184</definedName>
    <definedName name="_57__123Graph_CCHART_1" localSheetId="23" hidden="1">'[22]Employment Data Sectors (wages)'!$C$8173:$C$8184</definedName>
    <definedName name="_57__123Graph_CCHART_1" localSheetId="24" hidden="1">'[22]Employment Data Sectors (wages)'!$C$8173:$C$8184</definedName>
    <definedName name="_57__123Graph_CCHART_1" localSheetId="25" hidden="1">'[14]Employment Data Sectors (wages)'!$C$8173:$C$8184</definedName>
    <definedName name="_57__123Graph_CCHART_1" localSheetId="27" hidden="1">'[22]Employment Data Sectors (wages)'!$C$8173:$C$8184</definedName>
    <definedName name="_57__123Graph_CCHART_1" localSheetId="30" hidden="1">'[22]Employment Data Sectors (wages)'!$C$8173:$C$8184</definedName>
    <definedName name="_57__123Graph_CCHART_1" localSheetId="33" hidden="1">'[22]Employment Data Sectors (wages)'!$C$8173:$C$8184</definedName>
    <definedName name="_57__123Graph_CCHART_1" localSheetId="34" hidden="1">'[22]Employment Data Sectors (wages)'!$C$8173:$C$8184</definedName>
    <definedName name="_57__123Graph_CCHART_1" localSheetId="35" hidden="1">'[22]Employment Data Sectors (wages)'!$C$8173:$C$8184</definedName>
    <definedName name="_57__123Graph_CCHART_1" localSheetId="36" hidden="1">'[22]Employment Data Sectors (wages)'!$C$8173:$C$8184</definedName>
    <definedName name="_57__123Graph_CCHART_1" localSheetId="37" hidden="1">'[22]Employment Data Sectors (wages)'!$C$8173:$C$8184</definedName>
    <definedName name="_57__123Graph_CCHART_1" localSheetId="38" hidden="1">'[22]Employment Data Sectors (wages)'!$C$8173:$C$8184</definedName>
    <definedName name="_57__123Graph_CCHART_1" localSheetId="39" hidden="1">'[22]Employment Data Sectors (wages)'!$C$8173:$C$8184</definedName>
    <definedName name="_57__123Graph_CCHART_1" localSheetId="40" hidden="1">'[22]Employment Data Sectors (wages)'!$C$8173:$C$8184</definedName>
    <definedName name="_57__123Graph_CCHART_1" hidden="1">'[22]Employment Data Sectors (wages)'!$C$8173:$C$8184</definedName>
    <definedName name="_58__123Graph_BCHART_2" localSheetId="70" hidden="1">'[21]Employment Data Sectors (wages)'!$B$8173:$B$8184</definedName>
    <definedName name="_58__123Graph_BCHART_2" localSheetId="71" hidden="1">'[21]Employment Data Sectors (wages)'!$B$8173:$B$8184</definedName>
    <definedName name="_58__123Graph_BCHART_2" localSheetId="72" hidden="1">'[21]Employment Data Sectors (wages)'!$B$8173:$B$8184</definedName>
    <definedName name="_58__123Graph_BCHART_2" localSheetId="73" hidden="1">'[21]Employment Data Sectors (wages)'!$B$8173:$B$8184</definedName>
    <definedName name="_58__123Graph_BCHART_2" localSheetId="74" hidden="1">'[21]Employment Data Sectors (wages)'!$B$8173:$B$8184</definedName>
    <definedName name="_58__123Graph_BCHART_2" localSheetId="79" hidden="1">'[14]Employment Data Sectors (wages)'!$B$8173:$B$8184</definedName>
    <definedName name="_58__123Graph_BCHART_2" localSheetId="80" hidden="1">'[21]Employment Data Sectors (wages)'!$B$8173:$B$8184</definedName>
    <definedName name="_58__123Graph_BCHART_2" localSheetId="81" hidden="1">'[21]Employment Data Sectors (wages)'!$B$8173:$B$8184</definedName>
    <definedName name="_58__123Graph_BCHART_2" localSheetId="101" hidden="1">'[21]Employment Data Sectors (wages)'!$B$8173:$B$8184</definedName>
    <definedName name="_58__123Graph_BCHART_2" localSheetId="108" hidden="1">'[21]Employment Data Sectors (wages)'!$B$8173:$B$8184</definedName>
    <definedName name="_58__123Graph_BCHART_2" localSheetId="115" hidden="1">'[21]Employment Data Sectors (wages)'!$B$8173:$B$8184</definedName>
    <definedName name="_58__123Graph_BCHART_2" localSheetId="7" hidden="1">'[21]Employment Data Sectors (wages)'!$B$8173:$B$8184</definedName>
    <definedName name="_58__123Graph_BCHART_2" localSheetId="8" hidden="1">'[21]Employment Data Sectors (wages)'!$B$8173:$B$8184</definedName>
    <definedName name="_58__123Graph_BCHART_2" localSheetId="9" hidden="1">'[21]Employment Data Sectors (wages)'!$B$8173:$B$8184</definedName>
    <definedName name="_58__123Graph_BCHART_2" localSheetId="10" hidden="1">'[21]Employment Data Sectors (wages)'!$B$8173:$B$8184</definedName>
    <definedName name="_58__123Graph_BCHART_2" localSheetId="19" hidden="1">'[21]Employment Data Sectors (wages)'!$B$8173:$B$8184</definedName>
    <definedName name="_58__123Graph_BCHART_2" localSheetId="21" hidden="1">'[21]Employment Data Sectors (wages)'!$B$8173:$B$8184</definedName>
    <definedName name="_58__123Graph_BCHART_2" localSheetId="23" hidden="1">'[21]Employment Data Sectors (wages)'!$B$8173:$B$8184</definedName>
    <definedName name="_58__123Graph_BCHART_2" localSheetId="24" hidden="1">'[21]Employment Data Sectors (wages)'!$B$8173:$B$8184</definedName>
    <definedName name="_58__123Graph_BCHART_2" localSheetId="25" hidden="1">'[21]Employment Data Sectors (wages)'!$B$8173:$B$8184</definedName>
    <definedName name="_58__123Graph_BCHART_2" localSheetId="27" hidden="1">'[21]Employment Data Sectors (wages)'!$B$8173:$B$8184</definedName>
    <definedName name="_58__123Graph_BCHART_2" localSheetId="30" hidden="1">'[21]Employment Data Sectors (wages)'!$B$8173:$B$8184</definedName>
    <definedName name="_58__123Graph_BCHART_2" localSheetId="33" hidden="1">'[21]Employment Data Sectors (wages)'!$B$8173:$B$8184</definedName>
    <definedName name="_58__123Graph_BCHART_2" localSheetId="34" hidden="1">'[21]Employment Data Sectors (wages)'!$B$8173:$B$8184</definedName>
    <definedName name="_58__123Graph_BCHART_2" localSheetId="35" hidden="1">'[21]Employment Data Sectors (wages)'!$B$8173:$B$8184</definedName>
    <definedName name="_58__123Graph_BCHART_2" localSheetId="36" hidden="1">'[21]Employment Data Sectors (wages)'!$B$8173:$B$8184</definedName>
    <definedName name="_58__123Graph_BCHART_2" localSheetId="37" hidden="1">'[21]Employment Data Sectors (wages)'!$B$8173:$B$8184</definedName>
    <definedName name="_58__123Graph_BCHART_2" localSheetId="38" hidden="1">'[21]Employment Data Sectors (wages)'!$B$8173:$B$8184</definedName>
    <definedName name="_58__123Graph_BCHART_2" localSheetId="39" hidden="1">'[21]Employment Data Sectors (wages)'!$B$8173:$B$8184</definedName>
    <definedName name="_58__123Graph_BCHART_2" localSheetId="40" hidden="1">'[21]Employment Data Sectors (wages)'!$B$8173:$B$8184</definedName>
    <definedName name="_58__123Graph_BCHART_2" hidden="1">'[21]Employment Data Sectors (wages)'!$B$8173:$B$8184</definedName>
    <definedName name="_58__123Graph_CCHART_1" hidden="1">'[14]Employment Data Sectors (wages)'!$C$8173:$C$8184</definedName>
    <definedName name="_58__123Graph_DCHART_8" hidden="1">'[15]Employment Data Sectors (wages)'!$W$26:$W$37</definedName>
    <definedName name="_6__123Graph_ACHART_4" localSheetId="55" hidden="1">'[16]Employment Data Sectors (wages)'!$A$12:$A$23</definedName>
    <definedName name="_6__123Graph_ACHART_4" localSheetId="70" hidden="1">'[16]Employment Data Sectors (wages)'!$A$12:$A$23</definedName>
    <definedName name="_6__123Graph_ACHART_4" localSheetId="71" hidden="1">'[17]Employment Data Sectors (wages)'!$A$12:$A$23</definedName>
    <definedName name="_6__123Graph_ACHART_4" localSheetId="72" hidden="1">'[17]Employment Data Sectors (wages)'!$A$12:$A$23</definedName>
    <definedName name="_6__123Graph_ACHART_4" localSheetId="73" hidden="1">'[17]Employment Data Sectors (wages)'!$A$12:$A$23</definedName>
    <definedName name="_6__123Graph_ACHART_4" localSheetId="74" hidden="1">'[17]Employment Data Sectors (wages)'!$A$12:$A$23</definedName>
    <definedName name="_6__123Graph_ACHART_4" localSheetId="79" hidden="1">'[18]Employment Data Sectors (wages)'!$A$12:$A$23</definedName>
    <definedName name="_6__123Graph_ACHART_4" localSheetId="80" hidden="1">'[16]Employment Data Sectors (wages)'!$A$12:$A$23</definedName>
    <definedName name="_6__123Graph_ACHART_4" localSheetId="81" hidden="1">'[16]Employment Data Sectors (wages)'!$A$12:$A$23</definedName>
    <definedName name="_6__123Graph_ACHART_4" localSheetId="101" hidden="1">'[16]Employment Data Sectors (wages)'!$A$12:$A$23</definedName>
    <definedName name="_6__123Graph_ACHART_4" localSheetId="108" hidden="1">'[16]Employment Data Sectors (wages)'!$A$12:$A$23</definedName>
    <definedName name="_6__123Graph_ACHART_4" localSheetId="115" hidden="1">'[17]Employment Data Sectors (wages)'!$A$12:$A$23</definedName>
    <definedName name="_6__123Graph_ACHART_4" localSheetId="7" hidden="1">'[16]Employment Data Sectors (wages)'!$A$12:$A$23</definedName>
    <definedName name="_6__123Graph_ACHART_4" localSheetId="8" hidden="1">'[16]Employment Data Sectors (wages)'!$A$12:$A$23</definedName>
    <definedName name="_6__123Graph_ACHART_4" localSheetId="9" hidden="1">'[16]Employment Data Sectors (wages)'!$A$12:$A$23</definedName>
    <definedName name="_6__123Graph_ACHART_4" localSheetId="10" hidden="1">'[17]Employment Data Sectors (wages)'!$A$12:$A$23</definedName>
    <definedName name="_6__123Graph_ACHART_4" localSheetId="19" hidden="1">'[16]Employment Data Sectors (wages)'!$A$12:$A$23</definedName>
    <definedName name="_6__123Graph_ACHART_4" localSheetId="21" hidden="1">'[16]Employment Data Sectors (wages)'!$A$12:$A$23</definedName>
    <definedName name="_6__123Graph_ACHART_4" localSheetId="23" hidden="1">'[16]Employment Data Sectors (wages)'!$A$12:$A$23</definedName>
    <definedName name="_6__123Graph_ACHART_4" localSheetId="24" hidden="1">'[16]Employment Data Sectors (wages)'!$A$12:$A$23</definedName>
    <definedName name="_6__123Graph_ACHART_4" localSheetId="25" hidden="1">'[16]Employment Data Sectors (wages)'!$A$12:$A$23</definedName>
    <definedName name="_6__123Graph_ACHART_4" localSheetId="27" hidden="1">'[16]Employment Data Sectors (wages)'!$A$12:$A$23</definedName>
    <definedName name="_6__123Graph_ACHART_4" localSheetId="30" hidden="1">'[16]Employment Data Sectors (wages)'!$A$12:$A$23</definedName>
    <definedName name="_6__123Graph_ACHART_4" localSheetId="33" hidden="1">'[16]Employment Data Sectors (wages)'!$A$12:$A$23</definedName>
    <definedName name="_6__123Graph_ACHART_4" localSheetId="34" hidden="1">'[17]Employment Data Sectors (wages)'!$A$12:$A$23</definedName>
    <definedName name="_6__123Graph_ACHART_4" localSheetId="35" hidden="1">'[17]Employment Data Sectors (wages)'!$A$12:$A$23</definedName>
    <definedName name="_6__123Graph_ACHART_4" localSheetId="36" hidden="1">'[17]Employment Data Sectors (wages)'!$A$12:$A$23</definedName>
    <definedName name="_6__123Graph_ACHART_4" localSheetId="37" hidden="1">'[17]Employment Data Sectors (wages)'!$A$12:$A$23</definedName>
    <definedName name="_6__123Graph_ACHART_4" localSheetId="38" hidden="1">'[17]Employment Data Sectors (wages)'!$A$12:$A$23</definedName>
    <definedName name="_6__123Graph_ACHART_4" localSheetId="39" hidden="1">'[16]Employment Data Sectors (wages)'!$A$12:$A$23</definedName>
    <definedName name="_6__123Graph_ACHART_4" localSheetId="40" hidden="1">'[16]Employment Data Sectors (wages)'!$A$12:$A$23</definedName>
    <definedName name="_6__123Graph_ACHART_4" hidden="1">'[17]Employment Data Sectors (wages)'!$A$12:$A$23</definedName>
    <definedName name="_6__123Graph_ACHART_5" localSheetId="55" hidden="1">'[19]Employment Data Sectors (wages)'!$A$24:$A$35</definedName>
    <definedName name="_6__123Graph_ACHART_5" localSheetId="71" hidden="1">'[20]Employment Data Sectors (wages)'!$A$24:$A$35</definedName>
    <definedName name="_6__123Graph_ACHART_5" localSheetId="72" hidden="1">'[20]Employment Data Sectors (wages)'!$A$24:$A$35</definedName>
    <definedName name="_6__123Graph_ACHART_5" localSheetId="73" hidden="1">'[20]Employment Data Sectors (wages)'!$A$24:$A$35</definedName>
    <definedName name="_6__123Graph_ACHART_5" localSheetId="74" hidden="1">'[20]Employment Data Sectors (wages)'!$A$24:$A$35</definedName>
    <definedName name="_6__123Graph_ACHART_5" localSheetId="79" hidden="1">'[19]Employment Data Sectors (wages)'!$A$24:$A$35</definedName>
    <definedName name="_6__123Graph_ACHART_5" localSheetId="115" hidden="1">'[20]Employment Data Sectors (wages)'!$A$24:$A$35</definedName>
    <definedName name="_6__123Graph_ACHART_5" localSheetId="10" hidden="1">'[20]Employment Data Sectors (wages)'!$A$24:$A$35</definedName>
    <definedName name="_6__123Graph_ACHART_5" localSheetId="23" hidden="1">'[20]Employment Data Sectors (wages)'!$A$24:$A$35</definedName>
    <definedName name="_6__123Graph_ACHART_5" localSheetId="34" hidden="1">'[20]Employment Data Sectors (wages)'!$A$24:$A$35</definedName>
    <definedName name="_6__123Graph_ACHART_5" localSheetId="35" hidden="1">'[20]Employment Data Sectors (wages)'!$A$24:$A$35</definedName>
    <definedName name="_6__123Graph_ACHART_5" localSheetId="36" hidden="1">'[20]Employment Data Sectors (wages)'!$A$24:$A$35</definedName>
    <definedName name="_6__123Graph_ACHART_5" localSheetId="37" hidden="1">'[20]Employment Data Sectors (wages)'!$A$24:$A$35</definedName>
    <definedName name="_6__123Graph_ACHART_5" localSheetId="38" hidden="1">'[20]Employment Data Sectors (wages)'!$A$24:$A$35</definedName>
    <definedName name="_6__123Graph_ACHART_5" hidden="1">'[20]Employment Data Sectors (wages)'!$A$24:$A$35</definedName>
    <definedName name="_60__123Graph_ACHART_8" hidden="1">'[14]Employment Data Sectors (wages)'!$W$8175:$W$8186</definedName>
    <definedName name="_60__123Graph_CCHART_2" localSheetId="70" hidden="1">'[22]Employment Data Sectors (wages)'!$C$8173:$C$8184</definedName>
    <definedName name="_60__123Graph_CCHART_2" localSheetId="71" hidden="1">'[22]Employment Data Sectors (wages)'!$C$8173:$C$8184</definedName>
    <definedName name="_60__123Graph_CCHART_2" localSheetId="72" hidden="1">'[22]Employment Data Sectors (wages)'!$C$8173:$C$8184</definedName>
    <definedName name="_60__123Graph_CCHART_2" localSheetId="73" hidden="1">'[22]Employment Data Sectors (wages)'!$C$8173:$C$8184</definedName>
    <definedName name="_60__123Graph_CCHART_2" localSheetId="74" hidden="1">'[22]Employment Data Sectors (wages)'!$C$8173:$C$8184</definedName>
    <definedName name="_60__123Graph_CCHART_2" localSheetId="79" hidden="1">'[14]Employment Data Sectors (wages)'!$C$8173:$C$8184</definedName>
    <definedName name="_60__123Graph_CCHART_2" localSheetId="80" hidden="1">'[22]Employment Data Sectors (wages)'!$C$8173:$C$8184</definedName>
    <definedName name="_60__123Graph_CCHART_2" localSheetId="81" hidden="1">'[22]Employment Data Sectors (wages)'!$C$8173:$C$8184</definedName>
    <definedName name="_60__123Graph_CCHART_2" localSheetId="101" hidden="1">'[22]Employment Data Sectors (wages)'!$C$8173:$C$8184</definedName>
    <definedName name="_60__123Graph_CCHART_2" localSheetId="108" hidden="1">'[22]Employment Data Sectors (wages)'!$C$8173:$C$8184</definedName>
    <definedName name="_60__123Graph_CCHART_2" localSheetId="115" hidden="1">'[22]Employment Data Sectors (wages)'!$C$8173:$C$8184</definedName>
    <definedName name="_60__123Graph_CCHART_2" localSheetId="7" hidden="1">'[22]Employment Data Sectors (wages)'!$C$8173:$C$8184</definedName>
    <definedName name="_60__123Graph_CCHART_2" localSheetId="8" hidden="1">'[22]Employment Data Sectors (wages)'!$C$8173:$C$8184</definedName>
    <definedName name="_60__123Graph_CCHART_2" localSheetId="9" hidden="1">'[22]Employment Data Sectors (wages)'!$C$8173:$C$8184</definedName>
    <definedName name="_60__123Graph_CCHART_2" localSheetId="10" hidden="1">'[22]Employment Data Sectors (wages)'!$C$8173:$C$8184</definedName>
    <definedName name="_60__123Graph_CCHART_2" localSheetId="19" hidden="1">'[22]Employment Data Sectors (wages)'!$C$8173:$C$8184</definedName>
    <definedName name="_60__123Graph_CCHART_2" localSheetId="21" hidden="1">'[22]Employment Data Sectors (wages)'!$C$8173:$C$8184</definedName>
    <definedName name="_60__123Graph_CCHART_2" localSheetId="23" hidden="1">'[22]Employment Data Sectors (wages)'!$C$8173:$C$8184</definedName>
    <definedName name="_60__123Graph_CCHART_2" localSheetId="24" hidden="1">'[22]Employment Data Sectors (wages)'!$C$8173:$C$8184</definedName>
    <definedName name="_60__123Graph_CCHART_2" localSheetId="25" hidden="1">'[14]Employment Data Sectors (wages)'!$C$8173:$C$8184</definedName>
    <definedName name="_60__123Graph_CCHART_2" localSheetId="27" hidden="1">'[22]Employment Data Sectors (wages)'!$C$8173:$C$8184</definedName>
    <definedName name="_60__123Graph_CCHART_2" localSheetId="30" hidden="1">'[22]Employment Data Sectors (wages)'!$C$8173:$C$8184</definedName>
    <definedName name="_60__123Graph_CCHART_2" localSheetId="33" hidden="1">'[22]Employment Data Sectors (wages)'!$C$8173:$C$8184</definedName>
    <definedName name="_60__123Graph_CCHART_2" localSheetId="34" hidden="1">'[22]Employment Data Sectors (wages)'!$C$8173:$C$8184</definedName>
    <definedName name="_60__123Graph_CCHART_2" localSheetId="35" hidden="1">'[22]Employment Data Sectors (wages)'!$C$8173:$C$8184</definedName>
    <definedName name="_60__123Graph_CCHART_2" localSheetId="36" hidden="1">'[22]Employment Data Sectors (wages)'!$C$8173:$C$8184</definedName>
    <definedName name="_60__123Graph_CCHART_2" localSheetId="37" hidden="1">'[22]Employment Data Sectors (wages)'!$C$8173:$C$8184</definedName>
    <definedName name="_60__123Graph_CCHART_2" localSheetId="38" hidden="1">'[22]Employment Data Sectors (wages)'!$C$8173:$C$8184</definedName>
    <definedName name="_60__123Graph_CCHART_2" localSheetId="39" hidden="1">'[22]Employment Data Sectors (wages)'!$C$8173:$C$8184</definedName>
    <definedName name="_60__123Graph_CCHART_2" localSheetId="40" hidden="1">'[22]Employment Data Sectors (wages)'!$C$8173:$C$8184</definedName>
    <definedName name="_60__123Graph_CCHART_2" hidden="1">'[22]Employment Data Sectors (wages)'!$C$8173:$C$8184</definedName>
    <definedName name="_60__123Graph_ECHART_7" hidden="1">'[15]Employment Data Sectors (wages)'!$Y$38:$Y$49</definedName>
    <definedName name="_61__123Graph_CCHART_2" hidden="1">'[14]Employment Data Sectors (wages)'!$C$8173:$C$8184</definedName>
    <definedName name="_62__123Graph_ECHART_8" hidden="1">'[15]Employment Data Sectors (wages)'!$H$86:$H$99</definedName>
    <definedName name="_63__123Graph_BCHART_3" localSheetId="70" hidden="1">'[21]Employment Data Sectors (wages)'!$B$11:$B$8185</definedName>
    <definedName name="_63__123Graph_BCHART_3" localSheetId="71" hidden="1">'[21]Employment Data Sectors (wages)'!$B$11:$B$8185</definedName>
    <definedName name="_63__123Graph_BCHART_3" localSheetId="72" hidden="1">'[21]Employment Data Sectors (wages)'!$B$11:$B$8185</definedName>
    <definedName name="_63__123Graph_BCHART_3" localSheetId="73" hidden="1">'[21]Employment Data Sectors (wages)'!$B$11:$B$8185</definedName>
    <definedName name="_63__123Graph_BCHART_3" localSheetId="74" hidden="1">'[21]Employment Data Sectors (wages)'!$B$11:$B$8185</definedName>
    <definedName name="_63__123Graph_BCHART_3" localSheetId="79" hidden="1">'[14]Employment Data Sectors (wages)'!$B$11:$B$8185</definedName>
    <definedName name="_63__123Graph_BCHART_3" localSheetId="80" hidden="1">'[21]Employment Data Sectors (wages)'!$B$11:$B$8185</definedName>
    <definedName name="_63__123Graph_BCHART_3" localSheetId="81" hidden="1">'[21]Employment Data Sectors (wages)'!$B$11:$B$8185</definedName>
    <definedName name="_63__123Graph_BCHART_3" localSheetId="101" hidden="1">'[21]Employment Data Sectors (wages)'!$B$11:$B$8185</definedName>
    <definedName name="_63__123Graph_BCHART_3" localSheetId="108" hidden="1">'[21]Employment Data Sectors (wages)'!$B$11:$B$8185</definedName>
    <definedName name="_63__123Graph_BCHART_3" localSheetId="115" hidden="1">'[21]Employment Data Sectors (wages)'!$B$11:$B$8185</definedName>
    <definedName name="_63__123Graph_BCHART_3" localSheetId="7" hidden="1">'[21]Employment Data Sectors (wages)'!$B$11:$B$8185</definedName>
    <definedName name="_63__123Graph_BCHART_3" localSheetId="8" hidden="1">'[21]Employment Data Sectors (wages)'!$B$11:$B$8185</definedName>
    <definedName name="_63__123Graph_BCHART_3" localSheetId="9" hidden="1">'[21]Employment Data Sectors (wages)'!$B$11:$B$8185</definedName>
    <definedName name="_63__123Graph_BCHART_3" localSheetId="10" hidden="1">'[21]Employment Data Sectors (wages)'!$B$11:$B$8185</definedName>
    <definedName name="_63__123Graph_BCHART_3" localSheetId="19" hidden="1">'[21]Employment Data Sectors (wages)'!$B$11:$B$8185</definedName>
    <definedName name="_63__123Graph_BCHART_3" localSheetId="21" hidden="1">'[21]Employment Data Sectors (wages)'!$B$11:$B$8185</definedName>
    <definedName name="_63__123Graph_BCHART_3" localSheetId="23" hidden="1">'[21]Employment Data Sectors (wages)'!$B$11:$B$8185</definedName>
    <definedName name="_63__123Graph_BCHART_3" localSheetId="24" hidden="1">'[21]Employment Data Sectors (wages)'!$B$11:$B$8185</definedName>
    <definedName name="_63__123Graph_BCHART_3" localSheetId="25" hidden="1">'[21]Employment Data Sectors (wages)'!$B$11:$B$8185</definedName>
    <definedName name="_63__123Graph_BCHART_3" localSheetId="27" hidden="1">'[21]Employment Data Sectors (wages)'!$B$11:$B$8185</definedName>
    <definedName name="_63__123Graph_BCHART_3" localSheetId="30" hidden="1">'[21]Employment Data Sectors (wages)'!$B$11:$B$8185</definedName>
    <definedName name="_63__123Graph_BCHART_3" localSheetId="33" hidden="1">'[21]Employment Data Sectors (wages)'!$B$11:$B$8185</definedName>
    <definedName name="_63__123Graph_BCHART_3" localSheetId="34" hidden="1">'[21]Employment Data Sectors (wages)'!$B$11:$B$8185</definedName>
    <definedName name="_63__123Graph_BCHART_3" localSheetId="35" hidden="1">'[21]Employment Data Sectors (wages)'!$B$11:$B$8185</definedName>
    <definedName name="_63__123Graph_BCHART_3" localSheetId="36" hidden="1">'[21]Employment Data Sectors (wages)'!$B$11:$B$8185</definedName>
    <definedName name="_63__123Graph_BCHART_3" localSheetId="37" hidden="1">'[21]Employment Data Sectors (wages)'!$B$11:$B$8185</definedName>
    <definedName name="_63__123Graph_BCHART_3" localSheetId="38" hidden="1">'[21]Employment Data Sectors (wages)'!$B$11:$B$8185</definedName>
    <definedName name="_63__123Graph_BCHART_3" localSheetId="39" hidden="1">'[21]Employment Data Sectors (wages)'!$B$11:$B$8185</definedName>
    <definedName name="_63__123Graph_BCHART_3" localSheetId="40" hidden="1">'[21]Employment Data Sectors (wages)'!$B$11:$B$8185</definedName>
    <definedName name="_63__123Graph_BCHART_3" hidden="1">'[21]Employment Data Sectors (wages)'!$B$11:$B$8185</definedName>
    <definedName name="_63__123Graph_CCHART_3" localSheetId="70" hidden="1">'[22]Employment Data Sectors (wages)'!$C$11:$C$8185</definedName>
    <definedName name="_63__123Graph_CCHART_3" localSheetId="71" hidden="1">'[22]Employment Data Sectors (wages)'!$C$11:$C$8185</definedName>
    <definedName name="_63__123Graph_CCHART_3" localSheetId="72" hidden="1">'[22]Employment Data Sectors (wages)'!$C$11:$C$8185</definedName>
    <definedName name="_63__123Graph_CCHART_3" localSheetId="73" hidden="1">'[22]Employment Data Sectors (wages)'!$C$11:$C$8185</definedName>
    <definedName name="_63__123Graph_CCHART_3" localSheetId="74" hidden="1">'[22]Employment Data Sectors (wages)'!$C$11:$C$8185</definedName>
    <definedName name="_63__123Graph_CCHART_3" localSheetId="79" hidden="1">'[14]Employment Data Sectors (wages)'!$C$11:$C$8185</definedName>
    <definedName name="_63__123Graph_CCHART_3" localSheetId="80" hidden="1">'[22]Employment Data Sectors (wages)'!$C$11:$C$8185</definedName>
    <definedName name="_63__123Graph_CCHART_3" localSheetId="81" hidden="1">'[22]Employment Data Sectors (wages)'!$C$11:$C$8185</definedName>
    <definedName name="_63__123Graph_CCHART_3" localSheetId="101" hidden="1">'[22]Employment Data Sectors (wages)'!$C$11:$C$8185</definedName>
    <definedName name="_63__123Graph_CCHART_3" localSheetId="108" hidden="1">'[22]Employment Data Sectors (wages)'!$C$11:$C$8185</definedName>
    <definedName name="_63__123Graph_CCHART_3" localSheetId="115" hidden="1">'[22]Employment Data Sectors (wages)'!$C$11:$C$8185</definedName>
    <definedName name="_63__123Graph_CCHART_3" localSheetId="7" hidden="1">'[22]Employment Data Sectors (wages)'!$C$11:$C$8185</definedName>
    <definedName name="_63__123Graph_CCHART_3" localSheetId="8" hidden="1">'[22]Employment Data Sectors (wages)'!$C$11:$C$8185</definedName>
    <definedName name="_63__123Graph_CCHART_3" localSheetId="9" hidden="1">'[22]Employment Data Sectors (wages)'!$C$11:$C$8185</definedName>
    <definedName name="_63__123Graph_CCHART_3" localSheetId="10" hidden="1">'[22]Employment Data Sectors (wages)'!$C$11:$C$8185</definedName>
    <definedName name="_63__123Graph_CCHART_3" localSheetId="19" hidden="1">'[22]Employment Data Sectors (wages)'!$C$11:$C$8185</definedName>
    <definedName name="_63__123Graph_CCHART_3" localSheetId="21" hidden="1">'[22]Employment Data Sectors (wages)'!$C$11:$C$8185</definedName>
    <definedName name="_63__123Graph_CCHART_3" localSheetId="23" hidden="1">'[22]Employment Data Sectors (wages)'!$C$11:$C$8185</definedName>
    <definedName name="_63__123Graph_CCHART_3" localSheetId="24" hidden="1">'[22]Employment Data Sectors (wages)'!$C$11:$C$8185</definedName>
    <definedName name="_63__123Graph_CCHART_3" localSheetId="25" hidden="1">'[14]Employment Data Sectors (wages)'!$C$11:$C$8185</definedName>
    <definedName name="_63__123Graph_CCHART_3" localSheetId="27" hidden="1">'[22]Employment Data Sectors (wages)'!$C$11:$C$8185</definedName>
    <definedName name="_63__123Graph_CCHART_3" localSheetId="30" hidden="1">'[22]Employment Data Sectors (wages)'!$C$11:$C$8185</definedName>
    <definedName name="_63__123Graph_CCHART_3" localSheetId="33" hidden="1">'[22]Employment Data Sectors (wages)'!$C$11:$C$8185</definedName>
    <definedName name="_63__123Graph_CCHART_3" localSheetId="34" hidden="1">'[22]Employment Data Sectors (wages)'!$C$11:$C$8185</definedName>
    <definedName name="_63__123Graph_CCHART_3" localSheetId="35" hidden="1">'[22]Employment Data Sectors (wages)'!$C$11:$C$8185</definedName>
    <definedName name="_63__123Graph_CCHART_3" localSheetId="36" hidden="1">'[22]Employment Data Sectors (wages)'!$C$11:$C$8185</definedName>
    <definedName name="_63__123Graph_CCHART_3" localSheetId="37" hidden="1">'[22]Employment Data Sectors (wages)'!$C$11:$C$8185</definedName>
    <definedName name="_63__123Graph_CCHART_3" localSheetId="38" hidden="1">'[22]Employment Data Sectors (wages)'!$C$11:$C$8185</definedName>
    <definedName name="_63__123Graph_CCHART_3" localSheetId="39" hidden="1">'[22]Employment Data Sectors (wages)'!$C$11:$C$8185</definedName>
    <definedName name="_63__123Graph_CCHART_3" localSheetId="40" hidden="1">'[22]Employment Data Sectors (wages)'!$C$11:$C$8185</definedName>
    <definedName name="_63__123Graph_CCHART_3" hidden="1">'[22]Employment Data Sectors (wages)'!$C$11:$C$8185</definedName>
    <definedName name="_64__123Graph_CCHART_3" hidden="1">'[14]Employment Data Sectors (wages)'!$C$11:$C$8185</definedName>
    <definedName name="_64__123Graph_FCHART_8" hidden="1">'[15]Employment Data Sectors (wages)'!$H$6:$H$17</definedName>
    <definedName name="_65__123Graph_BCHART_1" hidden="1">'[14]Employment Data Sectors (wages)'!$B$8173:$B$8184</definedName>
    <definedName name="_66__123Graph_CCHART_4" localSheetId="70" hidden="1">'[22]Employment Data Sectors (wages)'!$C$12:$C$23</definedName>
    <definedName name="_66__123Graph_CCHART_4" localSheetId="71" hidden="1">'[22]Employment Data Sectors (wages)'!$C$12:$C$23</definedName>
    <definedName name="_66__123Graph_CCHART_4" localSheetId="72" hidden="1">'[22]Employment Data Sectors (wages)'!$C$12:$C$23</definedName>
    <definedName name="_66__123Graph_CCHART_4" localSheetId="73" hidden="1">'[22]Employment Data Sectors (wages)'!$C$12:$C$23</definedName>
    <definedName name="_66__123Graph_CCHART_4" localSheetId="74" hidden="1">'[22]Employment Data Sectors (wages)'!$C$12:$C$23</definedName>
    <definedName name="_66__123Graph_CCHART_4" localSheetId="79" hidden="1">'[14]Employment Data Sectors (wages)'!$C$12:$C$23</definedName>
    <definedName name="_66__123Graph_CCHART_4" localSheetId="80" hidden="1">'[22]Employment Data Sectors (wages)'!$C$12:$C$23</definedName>
    <definedName name="_66__123Graph_CCHART_4" localSheetId="81" hidden="1">'[22]Employment Data Sectors (wages)'!$C$12:$C$23</definedName>
    <definedName name="_66__123Graph_CCHART_4" localSheetId="101" hidden="1">'[22]Employment Data Sectors (wages)'!$C$12:$C$23</definedName>
    <definedName name="_66__123Graph_CCHART_4" localSheetId="108" hidden="1">'[22]Employment Data Sectors (wages)'!$C$12:$C$23</definedName>
    <definedName name="_66__123Graph_CCHART_4" localSheetId="115" hidden="1">'[22]Employment Data Sectors (wages)'!$C$12:$C$23</definedName>
    <definedName name="_66__123Graph_CCHART_4" localSheetId="7" hidden="1">'[22]Employment Data Sectors (wages)'!$C$12:$C$23</definedName>
    <definedName name="_66__123Graph_CCHART_4" localSheetId="8" hidden="1">'[22]Employment Data Sectors (wages)'!$C$12:$C$23</definedName>
    <definedName name="_66__123Graph_CCHART_4" localSheetId="9" hidden="1">'[22]Employment Data Sectors (wages)'!$C$12:$C$23</definedName>
    <definedName name="_66__123Graph_CCHART_4" localSheetId="10" hidden="1">'[22]Employment Data Sectors (wages)'!$C$12:$C$23</definedName>
    <definedName name="_66__123Graph_CCHART_4" localSheetId="19" hidden="1">'[22]Employment Data Sectors (wages)'!$C$12:$C$23</definedName>
    <definedName name="_66__123Graph_CCHART_4" localSheetId="21" hidden="1">'[22]Employment Data Sectors (wages)'!$C$12:$C$23</definedName>
    <definedName name="_66__123Graph_CCHART_4" localSheetId="23" hidden="1">'[22]Employment Data Sectors (wages)'!$C$12:$C$23</definedName>
    <definedName name="_66__123Graph_CCHART_4" localSheetId="24" hidden="1">'[22]Employment Data Sectors (wages)'!$C$12:$C$23</definedName>
    <definedName name="_66__123Graph_CCHART_4" localSheetId="25" hidden="1">'[14]Employment Data Sectors (wages)'!$C$12:$C$23</definedName>
    <definedName name="_66__123Graph_CCHART_4" localSheetId="27" hidden="1">'[22]Employment Data Sectors (wages)'!$C$12:$C$23</definedName>
    <definedName name="_66__123Graph_CCHART_4" localSheetId="30" hidden="1">'[22]Employment Data Sectors (wages)'!$C$12:$C$23</definedName>
    <definedName name="_66__123Graph_CCHART_4" localSheetId="33" hidden="1">'[22]Employment Data Sectors (wages)'!$C$12:$C$23</definedName>
    <definedName name="_66__123Graph_CCHART_4" localSheetId="34" hidden="1">'[22]Employment Data Sectors (wages)'!$C$12:$C$23</definedName>
    <definedName name="_66__123Graph_CCHART_4" localSheetId="35" hidden="1">'[22]Employment Data Sectors (wages)'!$C$12:$C$23</definedName>
    <definedName name="_66__123Graph_CCHART_4" localSheetId="36" hidden="1">'[22]Employment Data Sectors (wages)'!$C$12:$C$23</definedName>
    <definedName name="_66__123Graph_CCHART_4" localSheetId="37" hidden="1">'[22]Employment Data Sectors (wages)'!$C$12:$C$23</definedName>
    <definedName name="_66__123Graph_CCHART_4" localSheetId="38" hidden="1">'[22]Employment Data Sectors (wages)'!$C$12:$C$23</definedName>
    <definedName name="_66__123Graph_CCHART_4" localSheetId="39" hidden="1">'[22]Employment Data Sectors (wages)'!$C$12:$C$23</definedName>
    <definedName name="_66__123Graph_CCHART_4" localSheetId="40" hidden="1">'[22]Employment Data Sectors (wages)'!$C$12:$C$23</definedName>
    <definedName name="_66__123Graph_CCHART_4" hidden="1">'[22]Employment Data Sectors (wages)'!$C$12:$C$23</definedName>
    <definedName name="_67__123Graph_CCHART_4" hidden="1">'[14]Employment Data Sectors (wages)'!$C$12:$C$23</definedName>
    <definedName name="_68__123Graph_BCHART_4" localSheetId="70" hidden="1">'[21]Employment Data Sectors (wages)'!$B$12:$B$23</definedName>
    <definedName name="_68__123Graph_BCHART_4" localSheetId="71" hidden="1">'[21]Employment Data Sectors (wages)'!$B$12:$B$23</definedName>
    <definedName name="_68__123Graph_BCHART_4" localSheetId="72" hidden="1">'[21]Employment Data Sectors (wages)'!$B$12:$B$23</definedName>
    <definedName name="_68__123Graph_BCHART_4" localSheetId="73" hidden="1">'[21]Employment Data Sectors (wages)'!$B$12:$B$23</definedName>
    <definedName name="_68__123Graph_BCHART_4" localSheetId="74" hidden="1">'[21]Employment Data Sectors (wages)'!$B$12:$B$23</definedName>
    <definedName name="_68__123Graph_BCHART_4" localSheetId="79" hidden="1">'[14]Employment Data Sectors (wages)'!$B$12:$B$23</definedName>
    <definedName name="_68__123Graph_BCHART_4" localSheetId="80" hidden="1">'[21]Employment Data Sectors (wages)'!$B$12:$B$23</definedName>
    <definedName name="_68__123Graph_BCHART_4" localSheetId="81" hidden="1">'[21]Employment Data Sectors (wages)'!$B$12:$B$23</definedName>
    <definedName name="_68__123Graph_BCHART_4" localSheetId="101" hidden="1">'[21]Employment Data Sectors (wages)'!$B$12:$B$23</definedName>
    <definedName name="_68__123Graph_BCHART_4" localSheetId="108" hidden="1">'[21]Employment Data Sectors (wages)'!$B$12:$B$23</definedName>
    <definedName name="_68__123Graph_BCHART_4" localSheetId="115" hidden="1">'[21]Employment Data Sectors (wages)'!$B$12:$B$23</definedName>
    <definedName name="_68__123Graph_BCHART_4" localSheetId="7" hidden="1">'[21]Employment Data Sectors (wages)'!$B$12:$B$23</definedName>
    <definedName name="_68__123Graph_BCHART_4" localSheetId="8" hidden="1">'[21]Employment Data Sectors (wages)'!$B$12:$B$23</definedName>
    <definedName name="_68__123Graph_BCHART_4" localSheetId="9" hidden="1">'[21]Employment Data Sectors (wages)'!$B$12:$B$23</definedName>
    <definedName name="_68__123Graph_BCHART_4" localSheetId="10" hidden="1">'[21]Employment Data Sectors (wages)'!$B$12:$B$23</definedName>
    <definedName name="_68__123Graph_BCHART_4" localSheetId="19" hidden="1">'[21]Employment Data Sectors (wages)'!$B$12:$B$23</definedName>
    <definedName name="_68__123Graph_BCHART_4" localSheetId="21" hidden="1">'[21]Employment Data Sectors (wages)'!$B$12:$B$23</definedName>
    <definedName name="_68__123Graph_BCHART_4" localSheetId="23" hidden="1">'[21]Employment Data Sectors (wages)'!$B$12:$B$23</definedName>
    <definedName name="_68__123Graph_BCHART_4" localSheetId="24" hidden="1">'[21]Employment Data Sectors (wages)'!$B$12:$B$23</definedName>
    <definedName name="_68__123Graph_BCHART_4" localSheetId="25" hidden="1">'[21]Employment Data Sectors (wages)'!$B$12:$B$23</definedName>
    <definedName name="_68__123Graph_BCHART_4" localSheetId="27" hidden="1">'[21]Employment Data Sectors (wages)'!$B$12:$B$23</definedName>
    <definedName name="_68__123Graph_BCHART_4" localSheetId="30" hidden="1">'[21]Employment Data Sectors (wages)'!$B$12:$B$23</definedName>
    <definedName name="_68__123Graph_BCHART_4" localSheetId="33" hidden="1">'[21]Employment Data Sectors (wages)'!$B$12:$B$23</definedName>
    <definedName name="_68__123Graph_BCHART_4" localSheetId="34" hidden="1">'[21]Employment Data Sectors (wages)'!$B$12:$B$23</definedName>
    <definedName name="_68__123Graph_BCHART_4" localSheetId="35" hidden="1">'[21]Employment Data Sectors (wages)'!$B$12:$B$23</definedName>
    <definedName name="_68__123Graph_BCHART_4" localSheetId="36" hidden="1">'[21]Employment Data Sectors (wages)'!$B$12:$B$23</definedName>
    <definedName name="_68__123Graph_BCHART_4" localSheetId="37" hidden="1">'[21]Employment Data Sectors (wages)'!$B$12:$B$23</definedName>
    <definedName name="_68__123Graph_BCHART_4" localSheetId="38" hidden="1">'[21]Employment Data Sectors (wages)'!$B$12:$B$23</definedName>
    <definedName name="_68__123Graph_BCHART_4" localSheetId="39" hidden="1">'[21]Employment Data Sectors (wages)'!$B$12:$B$23</definedName>
    <definedName name="_68__123Graph_BCHART_4" localSheetId="40" hidden="1">'[21]Employment Data Sectors (wages)'!$B$12:$B$23</definedName>
    <definedName name="_68__123Graph_BCHART_4" hidden="1">'[21]Employment Data Sectors (wages)'!$B$12:$B$23</definedName>
    <definedName name="_69__123Graph_CCHART_5" localSheetId="70" hidden="1">'[22]Employment Data Sectors (wages)'!$C$24:$C$35</definedName>
    <definedName name="_69__123Graph_CCHART_5" localSheetId="71" hidden="1">'[22]Employment Data Sectors (wages)'!$C$24:$C$35</definedName>
    <definedName name="_69__123Graph_CCHART_5" localSheetId="72" hidden="1">'[22]Employment Data Sectors (wages)'!$C$24:$C$35</definedName>
    <definedName name="_69__123Graph_CCHART_5" localSheetId="73" hidden="1">'[22]Employment Data Sectors (wages)'!$C$24:$C$35</definedName>
    <definedName name="_69__123Graph_CCHART_5" localSheetId="74" hidden="1">'[22]Employment Data Sectors (wages)'!$C$24:$C$35</definedName>
    <definedName name="_69__123Graph_CCHART_5" localSheetId="79" hidden="1">'[14]Employment Data Sectors (wages)'!$C$24:$C$35</definedName>
    <definedName name="_69__123Graph_CCHART_5" localSheetId="80" hidden="1">'[22]Employment Data Sectors (wages)'!$C$24:$C$35</definedName>
    <definedName name="_69__123Graph_CCHART_5" localSheetId="81" hidden="1">'[22]Employment Data Sectors (wages)'!$C$24:$C$35</definedName>
    <definedName name="_69__123Graph_CCHART_5" localSheetId="101" hidden="1">'[22]Employment Data Sectors (wages)'!$C$24:$C$35</definedName>
    <definedName name="_69__123Graph_CCHART_5" localSheetId="108" hidden="1">'[22]Employment Data Sectors (wages)'!$C$24:$C$35</definedName>
    <definedName name="_69__123Graph_CCHART_5" localSheetId="115" hidden="1">'[22]Employment Data Sectors (wages)'!$C$24:$C$35</definedName>
    <definedName name="_69__123Graph_CCHART_5" localSheetId="7" hidden="1">'[22]Employment Data Sectors (wages)'!$C$24:$C$35</definedName>
    <definedName name="_69__123Graph_CCHART_5" localSheetId="8" hidden="1">'[22]Employment Data Sectors (wages)'!$C$24:$C$35</definedName>
    <definedName name="_69__123Graph_CCHART_5" localSheetId="9" hidden="1">'[22]Employment Data Sectors (wages)'!$C$24:$C$35</definedName>
    <definedName name="_69__123Graph_CCHART_5" localSheetId="10" hidden="1">'[22]Employment Data Sectors (wages)'!$C$24:$C$35</definedName>
    <definedName name="_69__123Graph_CCHART_5" localSheetId="19" hidden="1">'[22]Employment Data Sectors (wages)'!$C$24:$C$35</definedName>
    <definedName name="_69__123Graph_CCHART_5" localSheetId="21" hidden="1">'[22]Employment Data Sectors (wages)'!$C$24:$C$35</definedName>
    <definedName name="_69__123Graph_CCHART_5" localSheetId="23" hidden="1">'[22]Employment Data Sectors (wages)'!$C$24:$C$35</definedName>
    <definedName name="_69__123Graph_CCHART_5" localSheetId="24" hidden="1">'[22]Employment Data Sectors (wages)'!$C$24:$C$35</definedName>
    <definedName name="_69__123Graph_CCHART_5" localSheetId="25" hidden="1">'[14]Employment Data Sectors (wages)'!$C$24:$C$35</definedName>
    <definedName name="_69__123Graph_CCHART_5" localSheetId="27" hidden="1">'[22]Employment Data Sectors (wages)'!$C$24:$C$35</definedName>
    <definedName name="_69__123Graph_CCHART_5" localSheetId="30" hidden="1">'[22]Employment Data Sectors (wages)'!$C$24:$C$35</definedName>
    <definedName name="_69__123Graph_CCHART_5" localSheetId="33" hidden="1">'[22]Employment Data Sectors (wages)'!$C$24:$C$35</definedName>
    <definedName name="_69__123Graph_CCHART_5" localSheetId="34" hidden="1">'[22]Employment Data Sectors (wages)'!$C$24:$C$35</definedName>
    <definedName name="_69__123Graph_CCHART_5" localSheetId="35" hidden="1">'[22]Employment Data Sectors (wages)'!$C$24:$C$35</definedName>
    <definedName name="_69__123Graph_CCHART_5" localSheetId="36" hidden="1">'[22]Employment Data Sectors (wages)'!$C$24:$C$35</definedName>
    <definedName name="_69__123Graph_CCHART_5" localSheetId="37" hidden="1">'[22]Employment Data Sectors (wages)'!$C$24:$C$35</definedName>
    <definedName name="_69__123Graph_CCHART_5" localSheetId="38" hidden="1">'[22]Employment Data Sectors (wages)'!$C$24:$C$35</definedName>
    <definedName name="_69__123Graph_CCHART_5" localSheetId="39" hidden="1">'[22]Employment Data Sectors (wages)'!$C$24:$C$35</definedName>
    <definedName name="_69__123Graph_CCHART_5" localSheetId="40" hidden="1">'[22]Employment Data Sectors (wages)'!$C$24:$C$35</definedName>
    <definedName name="_69__123Graph_CCHART_5" hidden="1">'[22]Employment Data Sectors (wages)'!$C$24:$C$35</definedName>
    <definedName name="_7__123Graph_ACHART_5" localSheetId="55" hidden="1">'[16]Employment Data Sectors (wages)'!$A$24:$A$35</definedName>
    <definedName name="_7__123Graph_ACHART_5" localSheetId="70" hidden="1">'[16]Employment Data Sectors (wages)'!$A$24:$A$35</definedName>
    <definedName name="_7__123Graph_ACHART_5" localSheetId="71" hidden="1">'[17]Employment Data Sectors (wages)'!$A$24:$A$35</definedName>
    <definedName name="_7__123Graph_ACHART_5" localSheetId="72" hidden="1">'[17]Employment Data Sectors (wages)'!$A$24:$A$35</definedName>
    <definedName name="_7__123Graph_ACHART_5" localSheetId="73" hidden="1">'[17]Employment Data Sectors (wages)'!$A$24:$A$35</definedName>
    <definedName name="_7__123Graph_ACHART_5" localSheetId="74" hidden="1">'[17]Employment Data Sectors (wages)'!$A$24:$A$35</definedName>
    <definedName name="_7__123Graph_ACHART_5" localSheetId="79" hidden="1">'[18]Employment Data Sectors (wages)'!$A$24:$A$35</definedName>
    <definedName name="_7__123Graph_ACHART_5" localSheetId="80" hidden="1">'[16]Employment Data Sectors (wages)'!$A$24:$A$35</definedName>
    <definedName name="_7__123Graph_ACHART_5" localSheetId="81" hidden="1">'[16]Employment Data Sectors (wages)'!$A$24:$A$35</definedName>
    <definedName name="_7__123Graph_ACHART_5" localSheetId="101" hidden="1">'[16]Employment Data Sectors (wages)'!$A$24:$A$35</definedName>
    <definedName name="_7__123Graph_ACHART_5" localSheetId="108" hidden="1">'[16]Employment Data Sectors (wages)'!$A$24:$A$35</definedName>
    <definedName name="_7__123Graph_ACHART_5" localSheetId="115" hidden="1">'[17]Employment Data Sectors (wages)'!$A$24:$A$35</definedName>
    <definedName name="_7__123Graph_ACHART_5" localSheetId="7" hidden="1">'[16]Employment Data Sectors (wages)'!$A$24:$A$35</definedName>
    <definedName name="_7__123Graph_ACHART_5" localSheetId="8" hidden="1">'[16]Employment Data Sectors (wages)'!$A$24:$A$35</definedName>
    <definedName name="_7__123Graph_ACHART_5" localSheetId="9" hidden="1">'[16]Employment Data Sectors (wages)'!$A$24:$A$35</definedName>
    <definedName name="_7__123Graph_ACHART_5" localSheetId="10" hidden="1">'[17]Employment Data Sectors (wages)'!$A$24:$A$35</definedName>
    <definedName name="_7__123Graph_ACHART_5" localSheetId="19" hidden="1">'[16]Employment Data Sectors (wages)'!$A$24:$A$35</definedName>
    <definedName name="_7__123Graph_ACHART_5" localSheetId="21" hidden="1">'[16]Employment Data Sectors (wages)'!$A$24:$A$35</definedName>
    <definedName name="_7__123Graph_ACHART_5" localSheetId="23" hidden="1">'[16]Employment Data Sectors (wages)'!$A$24:$A$35</definedName>
    <definedName name="_7__123Graph_ACHART_5" localSheetId="24" hidden="1">'[16]Employment Data Sectors (wages)'!$A$24:$A$35</definedName>
    <definedName name="_7__123Graph_ACHART_5" localSheetId="25" hidden="1">'[16]Employment Data Sectors (wages)'!$A$24:$A$35</definedName>
    <definedName name="_7__123Graph_ACHART_5" localSheetId="27" hidden="1">'[16]Employment Data Sectors (wages)'!$A$24:$A$35</definedName>
    <definedName name="_7__123Graph_ACHART_5" localSheetId="30" hidden="1">'[16]Employment Data Sectors (wages)'!$A$24:$A$35</definedName>
    <definedName name="_7__123Graph_ACHART_5" localSheetId="33" hidden="1">'[16]Employment Data Sectors (wages)'!$A$24:$A$35</definedName>
    <definedName name="_7__123Graph_ACHART_5" localSheetId="34" hidden="1">'[17]Employment Data Sectors (wages)'!$A$24:$A$35</definedName>
    <definedName name="_7__123Graph_ACHART_5" localSheetId="35" hidden="1">'[17]Employment Data Sectors (wages)'!$A$24:$A$35</definedName>
    <definedName name="_7__123Graph_ACHART_5" localSheetId="36" hidden="1">'[17]Employment Data Sectors (wages)'!$A$24:$A$35</definedName>
    <definedName name="_7__123Graph_ACHART_5" localSheetId="37" hidden="1">'[17]Employment Data Sectors (wages)'!$A$24:$A$35</definedName>
    <definedName name="_7__123Graph_ACHART_5" localSheetId="38" hidden="1">'[17]Employment Data Sectors (wages)'!$A$24:$A$35</definedName>
    <definedName name="_7__123Graph_ACHART_5" localSheetId="39" hidden="1">'[16]Employment Data Sectors (wages)'!$A$24:$A$35</definedName>
    <definedName name="_7__123Graph_ACHART_5" localSheetId="40" hidden="1">'[16]Employment Data Sectors (wages)'!$A$24:$A$35</definedName>
    <definedName name="_7__123Graph_ACHART_5" hidden="1">'[17]Employment Data Sectors (wages)'!$A$24:$A$35</definedName>
    <definedName name="_7__123Graph_ACHART_6" localSheetId="55" hidden="1">'[19]Employment Data Sectors (wages)'!$Y$49:$Y$8103</definedName>
    <definedName name="_7__123Graph_ACHART_6" localSheetId="71" hidden="1">'[20]Employment Data Sectors (wages)'!$Y$49:$Y$8103</definedName>
    <definedName name="_7__123Graph_ACHART_6" localSheetId="72" hidden="1">'[20]Employment Data Sectors (wages)'!$Y$49:$Y$8103</definedName>
    <definedName name="_7__123Graph_ACHART_6" localSheetId="73" hidden="1">'[20]Employment Data Sectors (wages)'!$Y$49:$Y$8103</definedName>
    <definedName name="_7__123Graph_ACHART_6" localSheetId="74" hidden="1">'[20]Employment Data Sectors (wages)'!$Y$49:$Y$8103</definedName>
    <definedName name="_7__123Graph_ACHART_6" localSheetId="79" hidden="1">'[19]Employment Data Sectors (wages)'!$Y$49:$Y$8103</definedName>
    <definedName name="_7__123Graph_ACHART_6" localSheetId="115" hidden="1">'[20]Employment Data Sectors (wages)'!$Y$49:$Y$8103</definedName>
    <definedName name="_7__123Graph_ACHART_6" localSheetId="10" hidden="1">'[20]Employment Data Sectors (wages)'!$Y$49:$Y$8103</definedName>
    <definedName name="_7__123Graph_ACHART_6" localSheetId="23" hidden="1">'[20]Employment Data Sectors (wages)'!$Y$49:$Y$8103</definedName>
    <definedName name="_7__123Graph_ACHART_6" localSheetId="34" hidden="1">'[20]Employment Data Sectors (wages)'!$Y$49:$Y$8103</definedName>
    <definedName name="_7__123Graph_ACHART_6" localSheetId="35" hidden="1">'[20]Employment Data Sectors (wages)'!$Y$49:$Y$8103</definedName>
    <definedName name="_7__123Graph_ACHART_6" localSheetId="36" hidden="1">'[20]Employment Data Sectors (wages)'!$Y$49:$Y$8103</definedName>
    <definedName name="_7__123Graph_ACHART_6" localSheetId="37" hidden="1">'[20]Employment Data Sectors (wages)'!$Y$49:$Y$8103</definedName>
    <definedName name="_7__123Graph_ACHART_6" localSheetId="38" hidden="1">'[20]Employment Data Sectors (wages)'!$Y$49:$Y$8103</definedName>
    <definedName name="_7__123Graph_ACHART_6" hidden="1">'[20]Employment Data Sectors (wages)'!$Y$49:$Y$8103</definedName>
    <definedName name="_70__123Graph_BCHART_2" hidden="1">'[14]Employment Data Sectors (wages)'!$B$8173:$B$8184</definedName>
    <definedName name="_70__123Graph_CCHART_5" hidden="1">'[14]Employment Data Sectors (wages)'!$C$24:$C$35</definedName>
    <definedName name="_72__123Graph_CCHART_6" localSheetId="70" hidden="1">'[22]Employment Data Sectors (wages)'!$U$49:$U$8103</definedName>
    <definedName name="_72__123Graph_CCHART_6" localSheetId="71" hidden="1">'[22]Employment Data Sectors (wages)'!$U$49:$U$8103</definedName>
    <definedName name="_72__123Graph_CCHART_6" localSheetId="72" hidden="1">'[22]Employment Data Sectors (wages)'!$U$49:$U$8103</definedName>
    <definedName name="_72__123Graph_CCHART_6" localSheetId="73" hidden="1">'[22]Employment Data Sectors (wages)'!$U$49:$U$8103</definedName>
    <definedName name="_72__123Graph_CCHART_6" localSheetId="74" hidden="1">'[22]Employment Data Sectors (wages)'!$U$49:$U$8103</definedName>
    <definedName name="_72__123Graph_CCHART_6" localSheetId="79" hidden="1">'[14]Employment Data Sectors (wages)'!$U$49:$U$8103</definedName>
    <definedName name="_72__123Graph_CCHART_6" localSheetId="80" hidden="1">'[22]Employment Data Sectors (wages)'!$U$49:$U$8103</definedName>
    <definedName name="_72__123Graph_CCHART_6" localSheetId="81" hidden="1">'[22]Employment Data Sectors (wages)'!$U$49:$U$8103</definedName>
    <definedName name="_72__123Graph_CCHART_6" localSheetId="101" hidden="1">'[22]Employment Data Sectors (wages)'!$U$49:$U$8103</definedName>
    <definedName name="_72__123Graph_CCHART_6" localSheetId="108" hidden="1">'[22]Employment Data Sectors (wages)'!$U$49:$U$8103</definedName>
    <definedName name="_72__123Graph_CCHART_6" localSheetId="115" hidden="1">'[22]Employment Data Sectors (wages)'!$U$49:$U$8103</definedName>
    <definedName name="_72__123Graph_CCHART_6" localSheetId="7" hidden="1">'[22]Employment Data Sectors (wages)'!$U$49:$U$8103</definedName>
    <definedName name="_72__123Graph_CCHART_6" localSheetId="8" hidden="1">'[22]Employment Data Sectors (wages)'!$U$49:$U$8103</definedName>
    <definedName name="_72__123Graph_CCHART_6" localSheetId="9" hidden="1">'[22]Employment Data Sectors (wages)'!$U$49:$U$8103</definedName>
    <definedName name="_72__123Graph_CCHART_6" localSheetId="10" hidden="1">'[22]Employment Data Sectors (wages)'!$U$49:$U$8103</definedName>
    <definedName name="_72__123Graph_CCHART_6" localSheetId="19" hidden="1">'[22]Employment Data Sectors (wages)'!$U$49:$U$8103</definedName>
    <definedName name="_72__123Graph_CCHART_6" localSheetId="21" hidden="1">'[22]Employment Data Sectors (wages)'!$U$49:$U$8103</definedName>
    <definedName name="_72__123Graph_CCHART_6" localSheetId="23" hidden="1">'[22]Employment Data Sectors (wages)'!$U$49:$U$8103</definedName>
    <definedName name="_72__123Graph_CCHART_6" localSheetId="24" hidden="1">'[22]Employment Data Sectors (wages)'!$U$49:$U$8103</definedName>
    <definedName name="_72__123Graph_CCHART_6" localSheetId="25" hidden="1">'[14]Employment Data Sectors (wages)'!$U$49:$U$8103</definedName>
    <definedName name="_72__123Graph_CCHART_6" localSheetId="27" hidden="1">'[22]Employment Data Sectors (wages)'!$U$49:$U$8103</definedName>
    <definedName name="_72__123Graph_CCHART_6" localSheetId="30" hidden="1">'[22]Employment Data Sectors (wages)'!$U$49:$U$8103</definedName>
    <definedName name="_72__123Graph_CCHART_6" localSheetId="33" hidden="1">'[22]Employment Data Sectors (wages)'!$U$49:$U$8103</definedName>
    <definedName name="_72__123Graph_CCHART_6" localSheetId="34" hidden="1">'[22]Employment Data Sectors (wages)'!$U$49:$U$8103</definedName>
    <definedName name="_72__123Graph_CCHART_6" localSheetId="35" hidden="1">'[22]Employment Data Sectors (wages)'!$U$49:$U$8103</definedName>
    <definedName name="_72__123Graph_CCHART_6" localSheetId="36" hidden="1">'[22]Employment Data Sectors (wages)'!$U$49:$U$8103</definedName>
    <definedName name="_72__123Graph_CCHART_6" localSheetId="37" hidden="1">'[22]Employment Data Sectors (wages)'!$U$49:$U$8103</definedName>
    <definedName name="_72__123Graph_CCHART_6" localSheetId="38" hidden="1">'[22]Employment Data Sectors (wages)'!$U$49:$U$8103</definedName>
    <definedName name="_72__123Graph_CCHART_6" localSheetId="39" hidden="1">'[22]Employment Data Sectors (wages)'!$U$49:$U$8103</definedName>
    <definedName name="_72__123Graph_CCHART_6" localSheetId="40" hidden="1">'[22]Employment Data Sectors (wages)'!$U$49:$U$8103</definedName>
    <definedName name="_72__123Graph_CCHART_6" hidden="1">'[22]Employment Data Sectors (wages)'!$U$49:$U$8103</definedName>
    <definedName name="_73__123Graph_BCHART_5" localSheetId="70" hidden="1">'[21]Employment Data Sectors (wages)'!$B$24:$B$35</definedName>
    <definedName name="_73__123Graph_BCHART_5" localSheetId="71" hidden="1">'[21]Employment Data Sectors (wages)'!$B$24:$B$35</definedName>
    <definedName name="_73__123Graph_BCHART_5" localSheetId="72" hidden="1">'[21]Employment Data Sectors (wages)'!$B$24:$B$35</definedName>
    <definedName name="_73__123Graph_BCHART_5" localSheetId="73" hidden="1">'[21]Employment Data Sectors (wages)'!$B$24:$B$35</definedName>
    <definedName name="_73__123Graph_BCHART_5" localSheetId="74" hidden="1">'[21]Employment Data Sectors (wages)'!$B$24:$B$35</definedName>
    <definedName name="_73__123Graph_BCHART_5" localSheetId="79" hidden="1">'[14]Employment Data Sectors (wages)'!$B$24:$B$35</definedName>
    <definedName name="_73__123Graph_BCHART_5" localSheetId="80" hidden="1">'[21]Employment Data Sectors (wages)'!$B$24:$B$35</definedName>
    <definedName name="_73__123Graph_BCHART_5" localSheetId="81" hidden="1">'[21]Employment Data Sectors (wages)'!$B$24:$B$35</definedName>
    <definedName name="_73__123Graph_BCHART_5" localSheetId="101" hidden="1">'[21]Employment Data Sectors (wages)'!$B$24:$B$35</definedName>
    <definedName name="_73__123Graph_BCHART_5" localSheetId="108" hidden="1">'[21]Employment Data Sectors (wages)'!$B$24:$B$35</definedName>
    <definedName name="_73__123Graph_BCHART_5" localSheetId="115" hidden="1">'[21]Employment Data Sectors (wages)'!$B$24:$B$35</definedName>
    <definedName name="_73__123Graph_BCHART_5" localSheetId="7" hidden="1">'[21]Employment Data Sectors (wages)'!$B$24:$B$35</definedName>
    <definedName name="_73__123Graph_BCHART_5" localSheetId="8" hidden="1">'[21]Employment Data Sectors (wages)'!$B$24:$B$35</definedName>
    <definedName name="_73__123Graph_BCHART_5" localSheetId="9" hidden="1">'[21]Employment Data Sectors (wages)'!$B$24:$B$35</definedName>
    <definedName name="_73__123Graph_BCHART_5" localSheetId="10" hidden="1">'[21]Employment Data Sectors (wages)'!$B$24:$B$35</definedName>
    <definedName name="_73__123Graph_BCHART_5" localSheetId="19" hidden="1">'[21]Employment Data Sectors (wages)'!$B$24:$B$35</definedName>
    <definedName name="_73__123Graph_BCHART_5" localSheetId="21" hidden="1">'[21]Employment Data Sectors (wages)'!$B$24:$B$35</definedName>
    <definedName name="_73__123Graph_BCHART_5" localSheetId="23" hidden="1">'[21]Employment Data Sectors (wages)'!$B$24:$B$35</definedName>
    <definedName name="_73__123Graph_BCHART_5" localSheetId="24" hidden="1">'[21]Employment Data Sectors (wages)'!$B$24:$B$35</definedName>
    <definedName name="_73__123Graph_BCHART_5" localSheetId="25" hidden="1">'[21]Employment Data Sectors (wages)'!$B$24:$B$35</definedName>
    <definedName name="_73__123Graph_BCHART_5" localSheetId="27" hidden="1">'[21]Employment Data Sectors (wages)'!$B$24:$B$35</definedName>
    <definedName name="_73__123Graph_BCHART_5" localSheetId="30" hidden="1">'[21]Employment Data Sectors (wages)'!$B$24:$B$35</definedName>
    <definedName name="_73__123Graph_BCHART_5" localSheetId="33" hidden="1">'[21]Employment Data Sectors (wages)'!$B$24:$B$35</definedName>
    <definedName name="_73__123Graph_BCHART_5" localSheetId="34" hidden="1">'[21]Employment Data Sectors (wages)'!$B$24:$B$35</definedName>
    <definedName name="_73__123Graph_BCHART_5" localSheetId="35" hidden="1">'[21]Employment Data Sectors (wages)'!$B$24:$B$35</definedName>
    <definedName name="_73__123Graph_BCHART_5" localSheetId="36" hidden="1">'[21]Employment Data Sectors (wages)'!$B$24:$B$35</definedName>
    <definedName name="_73__123Graph_BCHART_5" localSheetId="37" hidden="1">'[21]Employment Data Sectors (wages)'!$B$24:$B$35</definedName>
    <definedName name="_73__123Graph_BCHART_5" localSheetId="38" hidden="1">'[21]Employment Data Sectors (wages)'!$B$24:$B$35</definedName>
    <definedName name="_73__123Graph_BCHART_5" localSheetId="39" hidden="1">'[21]Employment Data Sectors (wages)'!$B$24:$B$35</definedName>
    <definedName name="_73__123Graph_BCHART_5" localSheetId="40" hidden="1">'[21]Employment Data Sectors (wages)'!$B$24:$B$35</definedName>
    <definedName name="_73__123Graph_BCHART_5" hidden="1">'[21]Employment Data Sectors (wages)'!$B$24:$B$35</definedName>
    <definedName name="_73__123Graph_CCHART_6" hidden="1">'[14]Employment Data Sectors (wages)'!$U$49:$U$8103</definedName>
    <definedName name="_75__123Graph_BCHART_3" hidden="1">'[14]Employment Data Sectors (wages)'!$B$11:$B$8185</definedName>
    <definedName name="_75__123Graph_CCHART_7" localSheetId="70" hidden="1">'[22]Employment Data Sectors (wages)'!$Y$14:$Y$25</definedName>
    <definedName name="_75__123Graph_CCHART_7" localSheetId="71" hidden="1">'[22]Employment Data Sectors (wages)'!$Y$14:$Y$25</definedName>
    <definedName name="_75__123Graph_CCHART_7" localSheetId="72" hidden="1">'[22]Employment Data Sectors (wages)'!$Y$14:$Y$25</definedName>
    <definedName name="_75__123Graph_CCHART_7" localSheetId="73" hidden="1">'[22]Employment Data Sectors (wages)'!$Y$14:$Y$25</definedName>
    <definedName name="_75__123Graph_CCHART_7" localSheetId="74" hidden="1">'[22]Employment Data Sectors (wages)'!$Y$14:$Y$25</definedName>
    <definedName name="_75__123Graph_CCHART_7" localSheetId="79" hidden="1">'[14]Employment Data Sectors (wages)'!$Y$14:$Y$25</definedName>
    <definedName name="_75__123Graph_CCHART_7" localSheetId="80" hidden="1">'[22]Employment Data Sectors (wages)'!$Y$14:$Y$25</definedName>
    <definedName name="_75__123Graph_CCHART_7" localSheetId="81" hidden="1">'[22]Employment Data Sectors (wages)'!$Y$14:$Y$25</definedName>
    <definedName name="_75__123Graph_CCHART_7" localSheetId="101" hidden="1">'[22]Employment Data Sectors (wages)'!$Y$14:$Y$25</definedName>
    <definedName name="_75__123Graph_CCHART_7" localSheetId="108" hidden="1">'[22]Employment Data Sectors (wages)'!$Y$14:$Y$25</definedName>
    <definedName name="_75__123Graph_CCHART_7" localSheetId="115" hidden="1">'[22]Employment Data Sectors (wages)'!$Y$14:$Y$25</definedName>
    <definedName name="_75__123Graph_CCHART_7" localSheetId="7" hidden="1">'[22]Employment Data Sectors (wages)'!$Y$14:$Y$25</definedName>
    <definedName name="_75__123Graph_CCHART_7" localSheetId="8" hidden="1">'[22]Employment Data Sectors (wages)'!$Y$14:$Y$25</definedName>
    <definedName name="_75__123Graph_CCHART_7" localSheetId="9" hidden="1">'[22]Employment Data Sectors (wages)'!$Y$14:$Y$25</definedName>
    <definedName name="_75__123Graph_CCHART_7" localSheetId="10" hidden="1">'[22]Employment Data Sectors (wages)'!$Y$14:$Y$25</definedName>
    <definedName name="_75__123Graph_CCHART_7" localSheetId="19" hidden="1">'[22]Employment Data Sectors (wages)'!$Y$14:$Y$25</definedName>
    <definedName name="_75__123Graph_CCHART_7" localSheetId="21" hidden="1">'[22]Employment Data Sectors (wages)'!$Y$14:$Y$25</definedName>
    <definedName name="_75__123Graph_CCHART_7" localSheetId="23" hidden="1">'[22]Employment Data Sectors (wages)'!$Y$14:$Y$25</definedName>
    <definedName name="_75__123Graph_CCHART_7" localSheetId="24" hidden="1">'[22]Employment Data Sectors (wages)'!$Y$14:$Y$25</definedName>
    <definedName name="_75__123Graph_CCHART_7" localSheetId="25" hidden="1">'[14]Employment Data Sectors (wages)'!$Y$14:$Y$25</definedName>
    <definedName name="_75__123Graph_CCHART_7" localSheetId="27" hidden="1">'[22]Employment Data Sectors (wages)'!$Y$14:$Y$25</definedName>
    <definedName name="_75__123Graph_CCHART_7" localSheetId="30" hidden="1">'[22]Employment Data Sectors (wages)'!$Y$14:$Y$25</definedName>
    <definedName name="_75__123Graph_CCHART_7" localSheetId="33" hidden="1">'[22]Employment Data Sectors (wages)'!$Y$14:$Y$25</definedName>
    <definedName name="_75__123Graph_CCHART_7" localSheetId="34" hidden="1">'[22]Employment Data Sectors (wages)'!$Y$14:$Y$25</definedName>
    <definedName name="_75__123Graph_CCHART_7" localSheetId="35" hidden="1">'[22]Employment Data Sectors (wages)'!$Y$14:$Y$25</definedName>
    <definedName name="_75__123Graph_CCHART_7" localSheetId="36" hidden="1">'[22]Employment Data Sectors (wages)'!$Y$14:$Y$25</definedName>
    <definedName name="_75__123Graph_CCHART_7" localSheetId="37" hidden="1">'[22]Employment Data Sectors (wages)'!$Y$14:$Y$25</definedName>
    <definedName name="_75__123Graph_CCHART_7" localSheetId="38" hidden="1">'[22]Employment Data Sectors (wages)'!$Y$14:$Y$25</definedName>
    <definedName name="_75__123Graph_CCHART_7" localSheetId="39" hidden="1">'[22]Employment Data Sectors (wages)'!$Y$14:$Y$25</definedName>
    <definedName name="_75__123Graph_CCHART_7" localSheetId="40" hidden="1">'[22]Employment Data Sectors (wages)'!$Y$14:$Y$25</definedName>
    <definedName name="_75__123Graph_CCHART_7" hidden="1">'[22]Employment Data Sectors (wages)'!$Y$14:$Y$25</definedName>
    <definedName name="_76__123Graph_CCHART_7" hidden="1">'[14]Employment Data Sectors (wages)'!$Y$14:$Y$25</definedName>
    <definedName name="_78__123Graph_BCHART_6" localSheetId="70" hidden="1">'[21]Employment Data Sectors (wages)'!$AS$49:$AS$8103</definedName>
    <definedName name="_78__123Graph_BCHART_6" localSheetId="71" hidden="1">'[21]Employment Data Sectors (wages)'!$AS$49:$AS$8103</definedName>
    <definedName name="_78__123Graph_BCHART_6" localSheetId="72" hidden="1">'[21]Employment Data Sectors (wages)'!$AS$49:$AS$8103</definedName>
    <definedName name="_78__123Graph_BCHART_6" localSheetId="73" hidden="1">'[21]Employment Data Sectors (wages)'!$AS$49:$AS$8103</definedName>
    <definedName name="_78__123Graph_BCHART_6" localSheetId="74" hidden="1">'[21]Employment Data Sectors (wages)'!$AS$49:$AS$8103</definedName>
    <definedName name="_78__123Graph_BCHART_6" localSheetId="79" hidden="1">'[14]Employment Data Sectors (wages)'!$AS$49:$AS$8103</definedName>
    <definedName name="_78__123Graph_BCHART_6" localSheetId="80" hidden="1">'[21]Employment Data Sectors (wages)'!$AS$49:$AS$8103</definedName>
    <definedName name="_78__123Graph_BCHART_6" localSheetId="81" hidden="1">'[21]Employment Data Sectors (wages)'!$AS$49:$AS$8103</definedName>
    <definedName name="_78__123Graph_BCHART_6" localSheetId="101" hidden="1">'[21]Employment Data Sectors (wages)'!$AS$49:$AS$8103</definedName>
    <definedName name="_78__123Graph_BCHART_6" localSheetId="108" hidden="1">'[21]Employment Data Sectors (wages)'!$AS$49:$AS$8103</definedName>
    <definedName name="_78__123Graph_BCHART_6" localSheetId="115" hidden="1">'[21]Employment Data Sectors (wages)'!$AS$49:$AS$8103</definedName>
    <definedName name="_78__123Graph_BCHART_6" localSheetId="7" hidden="1">'[21]Employment Data Sectors (wages)'!$AS$49:$AS$8103</definedName>
    <definedName name="_78__123Graph_BCHART_6" localSheetId="8" hidden="1">'[21]Employment Data Sectors (wages)'!$AS$49:$AS$8103</definedName>
    <definedName name="_78__123Graph_BCHART_6" localSheetId="9" hidden="1">'[21]Employment Data Sectors (wages)'!$AS$49:$AS$8103</definedName>
    <definedName name="_78__123Graph_BCHART_6" localSheetId="10" hidden="1">'[21]Employment Data Sectors (wages)'!$AS$49:$AS$8103</definedName>
    <definedName name="_78__123Graph_BCHART_6" localSheetId="19" hidden="1">'[21]Employment Data Sectors (wages)'!$AS$49:$AS$8103</definedName>
    <definedName name="_78__123Graph_BCHART_6" localSheetId="21" hidden="1">'[21]Employment Data Sectors (wages)'!$AS$49:$AS$8103</definedName>
    <definedName name="_78__123Graph_BCHART_6" localSheetId="23" hidden="1">'[21]Employment Data Sectors (wages)'!$AS$49:$AS$8103</definedName>
    <definedName name="_78__123Graph_BCHART_6" localSheetId="24" hidden="1">'[21]Employment Data Sectors (wages)'!$AS$49:$AS$8103</definedName>
    <definedName name="_78__123Graph_BCHART_6" localSheetId="25" hidden="1">'[21]Employment Data Sectors (wages)'!$AS$49:$AS$8103</definedName>
    <definedName name="_78__123Graph_BCHART_6" localSheetId="27" hidden="1">'[21]Employment Data Sectors (wages)'!$AS$49:$AS$8103</definedName>
    <definedName name="_78__123Graph_BCHART_6" localSheetId="30" hidden="1">'[21]Employment Data Sectors (wages)'!$AS$49:$AS$8103</definedName>
    <definedName name="_78__123Graph_BCHART_6" localSheetId="33" hidden="1">'[21]Employment Data Sectors (wages)'!$AS$49:$AS$8103</definedName>
    <definedName name="_78__123Graph_BCHART_6" localSheetId="34" hidden="1">'[21]Employment Data Sectors (wages)'!$AS$49:$AS$8103</definedName>
    <definedName name="_78__123Graph_BCHART_6" localSheetId="35" hidden="1">'[21]Employment Data Sectors (wages)'!$AS$49:$AS$8103</definedName>
    <definedName name="_78__123Graph_BCHART_6" localSheetId="36" hidden="1">'[21]Employment Data Sectors (wages)'!$AS$49:$AS$8103</definedName>
    <definedName name="_78__123Graph_BCHART_6" localSheetId="37" hidden="1">'[21]Employment Data Sectors (wages)'!$AS$49:$AS$8103</definedName>
    <definedName name="_78__123Graph_BCHART_6" localSheetId="38" hidden="1">'[21]Employment Data Sectors (wages)'!$AS$49:$AS$8103</definedName>
    <definedName name="_78__123Graph_BCHART_6" localSheetId="39" hidden="1">'[21]Employment Data Sectors (wages)'!$AS$49:$AS$8103</definedName>
    <definedName name="_78__123Graph_BCHART_6" localSheetId="40" hidden="1">'[21]Employment Data Sectors (wages)'!$AS$49:$AS$8103</definedName>
    <definedName name="_78__123Graph_BCHART_6" hidden="1">'[21]Employment Data Sectors (wages)'!$AS$49:$AS$8103</definedName>
    <definedName name="_78__123Graph_CCHART_8" localSheetId="70" hidden="1">'[22]Employment Data Sectors (wages)'!$W$14:$W$25</definedName>
    <definedName name="_78__123Graph_CCHART_8" localSheetId="71" hidden="1">'[22]Employment Data Sectors (wages)'!$W$14:$W$25</definedName>
    <definedName name="_78__123Graph_CCHART_8" localSheetId="72" hidden="1">'[22]Employment Data Sectors (wages)'!$W$14:$W$25</definedName>
    <definedName name="_78__123Graph_CCHART_8" localSheetId="73" hidden="1">'[22]Employment Data Sectors (wages)'!$W$14:$W$25</definedName>
    <definedName name="_78__123Graph_CCHART_8" localSheetId="74" hidden="1">'[22]Employment Data Sectors (wages)'!$W$14:$W$25</definedName>
    <definedName name="_78__123Graph_CCHART_8" localSheetId="79" hidden="1">'[14]Employment Data Sectors (wages)'!$W$14:$W$25</definedName>
    <definedName name="_78__123Graph_CCHART_8" localSheetId="80" hidden="1">'[22]Employment Data Sectors (wages)'!$W$14:$W$25</definedName>
    <definedName name="_78__123Graph_CCHART_8" localSheetId="81" hidden="1">'[22]Employment Data Sectors (wages)'!$W$14:$W$25</definedName>
    <definedName name="_78__123Graph_CCHART_8" localSheetId="101" hidden="1">'[22]Employment Data Sectors (wages)'!$W$14:$W$25</definedName>
    <definedName name="_78__123Graph_CCHART_8" localSheetId="108" hidden="1">'[22]Employment Data Sectors (wages)'!$W$14:$W$25</definedName>
    <definedName name="_78__123Graph_CCHART_8" localSheetId="115" hidden="1">'[22]Employment Data Sectors (wages)'!$W$14:$W$25</definedName>
    <definedName name="_78__123Graph_CCHART_8" localSheetId="7" hidden="1">'[22]Employment Data Sectors (wages)'!$W$14:$W$25</definedName>
    <definedName name="_78__123Graph_CCHART_8" localSheetId="8" hidden="1">'[22]Employment Data Sectors (wages)'!$W$14:$W$25</definedName>
    <definedName name="_78__123Graph_CCHART_8" localSheetId="9" hidden="1">'[22]Employment Data Sectors (wages)'!$W$14:$W$25</definedName>
    <definedName name="_78__123Graph_CCHART_8" localSheetId="10" hidden="1">'[22]Employment Data Sectors (wages)'!$W$14:$W$25</definedName>
    <definedName name="_78__123Graph_CCHART_8" localSheetId="19" hidden="1">'[22]Employment Data Sectors (wages)'!$W$14:$W$25</definedName>
    <definedName name="_78__123Graph_CCHART_8" localSheetId="21" hidden="1">'[22]Employment Data Sectors (wages)'!$W$14:$W$25</definedName>
    <definedName name="_78__123Graph_CCHART_8" localSheetId="23" hidden="1">'[22]Employment Data Sectors (wages)'!$W$14:$W$25</definedName>
    <definedName name="_78__123Graph_CCHART_8" localSheetId="24" hidden="1">'[22]Employment Data Sectors (wages)'!$W$14:$W$25</definedName>
    <definedName name="_78__123Graph_CCHART_8" localSheetId="25" hidden="1">'[14]Employment Data Sectors (wages)'!$W$14:$W$25</definedName>
    <definedName name="_78__123Graph_CCHART_8" localSheetId="27" hidden="1">'[22]Employment Data Sectors (wages)'!$W$14:$W$25</definedName>
    <definedName name="_78__123Graph_CCHART_8" localSheetId="30" hidden="1">'[22]Employment Data Sectors (wages)'!$W$14:$W$25</definedName>
    <definedName name="_78__123Graph_CCHART_8" localSheetId="33" hidden="1">'[22]Employment Data Sectors (wages)'!$W$14:$W$25</definedName>
    <definedName name="_78__123Graph_CCHART_8" localSheetId="34" hidden="1">'[22]Employment Data Sectors (wages)'!$W$14:$W$25</definedName>
    <definedName name="_78__123Graph_CCHART_8" localSheetId="35" hidden="1">'[22]Employment Data Sectors (wages)'!$W$14:$W$25</definedName>
    <definedName name="_78__123Graph_CCHART_8" localSheetId="36" hidden="1">'[22]Employment Data Sectors (wages)'!$W$14:$W$25</definedName>
    <definedName name="_78__123Graph_CCHART_8" localSheetId="37" hidden="1">'[22]Employment Data Sectors (wages)'!$W$14:$W$25</definedName>
    <definedName name="_78__123Graph_CCHART_8" localSheetId="38" hidden="1">'[22]Employment Data Sectors (wages)'!$W$14:$W$25</definedName>
    <definedName name="_78__123Graph_CCHART_8" localSheetId="39" hidden="1">'[22]Employment Data Sectors (wages)'!$W$14:$W$25</definedName>
    <definedName name="_78__123Graph_CCHART_8" localSheetId="40" hidden="1">'[22]Employment Data Sectors (wages)'!$W$14:$W$25</definedName>
    <definedName name="_78__123Graph_CCHART_8" hidden="1">'[22]Employment Data Sectors (wages)'!$W$14:$W$25</definedName>
    <definedName name="_79__123Graph_CCHART_8" hidden="1">'[14]Employment Data Sectors (wages)'!$W$14:$W$25</definedName>
    <definedName name="_8__123Graph_ACHART_1" hidden="1">'[15]Employment Data Sectors (wages)'!$A$8173:$A$8184</definedName>
    <definedName name="_8__123Graph_ACHART_6" localSheetId="55" hidden="1">'[16]Employment Data Sectors (wages)'!$Y$49:$Y$8103</definedName>
    <definedName name="_8__123Graph_ACHART_6" localSheetId="70" hidden="1">'[16]Employment Data Sectors (wages)'!$Y$49:$Y$8103</definedName>
    <definedName name="_8__123Graph_ACHART_6" localSheetId="71" hidden="1">'[17]Employment Data Sectors (wages)'!$Y$49:$Y$8103</definedName>
    <definedName name="_8__123Graph_ACHART_6" localSheetId="72" hidden="1">'[17]Employment Data Sectors (wages)'!$Y$49:$Y$8103</definedName>
    <definedName name="_8__123Graph_ACHART_6" localSheetId="73" hidden="1">'[17]Employment Data Sectors (wages)'!$Y$49:$Y$8103</definedName>
    <definedName name="_8__123Graph_ACHART_6" localSheetId="74" hidden="1">'[17]Employment Data Sectors (wages)'!$Y$49:$Y$8103</definedName>
    <definedName name="_8__123Graph_ACHART_6" localSheetId="79" hidden="1">'[18]Employment Data Sectors (wages)'!$Y$49:$Y$8103</definedName>
    <definedName name="_8__123Graph_ACHART_6" localSheetId="80" hidden="1">'[16]Employment Data Sectors (wages)'!$Y$49:$Y$8103</definedName>
    <definedName name="_8__123Graph_ACHART_6" localSheetId="81" hidden="1">'[16]Employment Data Sectors (wages)'!$Y$49:$Y$8103</definedName>
    <definedName name="_8__123Graph_ACHART_6" localSheetId="101" hidden="1">'[16]Employment Data Sectors (wages)'!$Y$49:$Y$8103</definedName>
    <definedName name="_8__123Graph_ACHART_6" localSheetId="108" hidden="1">'[16]Employment Data Sectors (wages)'!$Y$49:$Y$8103</definedName>
    <definedName name="_8__123Graph_ACHART_6" localSheetId="115" hidden="1">'[17]Employment Data Sectors (wages)'!$Y$49:$Y$8103</definedName>
    <definedName name="_8__123Graph_ACHART_6" localSheetId="7" hidden="1">'[16]Employment Data Sectors (wages)'!$Y$49:$Y$8103</definedName>
    <definedName name="_8__123Graph_ACHART_6" localSheetId="8" hidden="1">'[16]Employment Data Sectors (wages)'!$Y$49:$Y$8103</definedName>
    <definedName name="_8__123Graph_ACHART_6" localSheetId="9" hidden="1">'[16]Employment Data Sectors (wages)'!$Y$49:$Y$8103</definedName>
    <definedName name="_8__123Graph_ACHART_6" localSheetId="10" hidden="1">'[17]Employment Data Sectors (wages)'!$Y$49:$Y$8103</definedName>
    <definedName name="_8__123Graph_ACHART_6" localSheetId="19" hidden="1">'[16]Employment Data Sectors (wages)'!$Y$49:$Y$8103</definedName>
    <definedName name="_8__123Graph_ACHART_6" localSheetId="21" hidden="1">'[16]Employment Data Sectors (wages)'!$Y$49:$Y$8103</definedName>
    <definedName name="_8__123Graph_ACHART_6" localSheetId="23" hidden="1">'[16]Employment Data Sectors (wages)'!$Y$49:$Y$8103</definedName>
    <definedName name="_8__123Graph_ACHART_6" localSheetId="24" hidden="1">'[16]Employment Data Sectors (wages)'!$Y$49:$Y$8103</definedName>
    <definedName name="_8__123Graph_ACHART_6" localSheetId="25" hidden="1">'[16]Employment Data Sectors (wages)'!$Y$49:$Y$8103</definedName>
    <definedName name="_8__123Graph_ACHART_6" localSheetId="27" hidden="1">'[16]Employment Data Sectors (wages)'!$Y$49:$Y$8103</definedName>
    <definedName name="_8__123Graph_ACHART_6" localSheetId="30" hidden="1">'[16]Employment Data Sectors (wages)'!$Y$49:$Y$8103</definedName>
    <definedName name="_8__123Graph_ACHART_6" localSheetId="33" hidden="1">'[16]Employment Data Sectors (wages)'!$Y$49:$Y$8103</definedName>
    <definedName name="_8__123Graph_ACHART_6" localSheetId="34" hidden="1">'[17]Employment Data Sectors (wages)'!$Y$49:$Y$8103</definedName>
    <definedName name="_8__123Graph_ACHART_6" localSheetId="35" hidden="1">'[17]Employment Data Sectors (wages)'!$Y$49:$Y$8103</definedName>
    <definedName name="_8__123Graph_ACHART_6" localSheetId="36" hidden="1">'[17]Employment Data Sectors (wages)'!$Y$49:$Y$8103</definedName>
    <definedName name="_8__123Graph_ACHART_6" localSheetId="37" hidden="1">'[17]Employment Data Sectors (wages)'!$Y$49:$Y$8103</definedName>
    <definedName name="_8__123Graph_ACHART_6" localSheetId="38" hidden="1">'[17]Employment Data Sectors (wages)'!$Y$49:$Y$8103</definedName>
    <definedName name="_8__123Graph_ACHART_6" localSheetId="39" hidden="1">'[16]Employment Data Sectors (wages)'!$Y$49:$Y$8103</definedName>
    <definedName name="_8__123Graph_ACHART_6" localSheetId="40" hidden="1">'[16]Employment Data Sectors (wages)'!$Y$49:$Y$8103</definedName>
    <definedName name="_8__123Graph_ACHART_6" hidden="1">'[17]Employment Data Sectors (wages)'!$Y$49:$Y$8103</definedName>
    <definedName name="_8__123Graph_ACHART_7" localSheetId="55" hidden="1">'[19]Employment Data Sectors (wages)'!$Y$8175:$Y$8186</definedName>
    <definedName name="_8__123Graph_ACHART_7" localSheetId="71" hidden="1">'[20]Employment Data Sectors (wages)'!$Y$8175:$Y$8186</definedName>
    <definedName name="_8__123Graph_ACHART_7" localSheetId="72" hidden="1">'[20]Employment Data Sectors (wages)'!$Y$8175:$Y$8186</definedName>
    <definedName name="_8__123Graph_ACHART_7" localSheetId="73" hidden="1">'[20]Employment Data Sectors (wages)'!$Y$8175:$Y$8186</definedName>
    <definedName name="_8__123Graph_ACHART_7" localSheetId="74" hidden="1">'[20]Employment Data Sectors (wages)'!$Y$8175:$Y$8186</definedName>
    <definedName name="_8__123Graph_ACHART_7" localSheetId="79" hidden="1">'[19]Employment Data Sectors (wages)'!$Y$8175:$Y$8186</definedName>
    <definedName name="_8__123Graph_ACHART_7" localSheetId="115" hidden="1">'[20]Employment Data Sectors (wages)'!$Y$8175:$Y$8186</definedName>
    <definedName name="_8__123Graph_ACHART_7" localSheetId="10" hidden="1">'[20]Employment Data Sectors (wages)'!$Y$8175:$Y$8186</definedName>
    <definedName name="_8__123Graph_ACHART_7" localSheetId="23" hidden="1">'[20]Employment Data Sectors (wages)'!$Y$8175:$Y$8186</definedName>
    <definedName name="_8__123Graph_ACHART_7" localSheetId="34" hidden="1">'[20]Employment Data Sectors (wages)'!$Y$8175:$Y$8186</definedName>
    <definedName name="_8__123Graph_ACHART_7" localSheetId="35" hidden="1">'[20]Employment Data Sectors (wages)'!$Y$8175:$Y$8186</definedName>
    <definedName name="_8__123Graph_ACHART_7" localSheetId="36" hidden="1">'[20]Employment Data Sectors (wages)'!$Y$8175:$Y$8186</definedName>
    <definedName name="_8__123Graph_ACHART_7" localSheetId="37" hidden="1">'[20]Employment Data Sectors (wages)'!$Y$8175:$Y$8186</definedName>
    <definedName name="_8__123Graph_ACHART_7" localSheetId="38" hidden="1">'[20]Employment Data Sectors (wages)'!$Y$8175:$Y$8186</definedName>
    <definedName name="_8__123Graph_ACHART_7" hidden="1">'[20]Employment Data Sectors (wages)'!$Y$8175:$Y$8186</definedName>
    <definedName name="_80__123Graph_BCHART_4" hidden="1">'[14]Employment Data Sectors (wages)'!$B$12:$B$23</definedName>
    <definedName name="_81__123Graph_DCHART_7" localSheetId="70" hidden="1">'[22]Employment Data Sectors (wages)'!$Y$26:$Y$37</definedName>
    <definedName name="_81__123Graph_DCHART_7" localSheetId="71" hidden="1">'[22]Employment Data Sectors (wages)'!$Y$26:$Y$37</definedName>
    <definedName name="_81__123Graph_DCHART_7" localSheetId="72" hidden="1">'[22]Employment Data Sectors (wages)'!$Y$26:$Y$37</definedName>
    <definedName name="_81__123Graph_DCHART_7" localSheetId="73" hidden="1">'[22]Employment Data Sectors (wages)'!$Y$26:$Y$37</definedName>
    <definedName name="_81__123Graph_DCHART_7" localSheetId="74" hidden="1">'[22]Employment Data Sectors (wages)'!$Y$26:$Y$37</definedName>
    <definedName name="_81__123Graph_DCHART_7" localSheetId="79" hidden="1">'[14]Employment Data Sectors (wages)'!$Y$26:$Y$37</definedName>
    <definedName name="_81__123Graph_DCHART_7" localSheetId="80" hidden="1">'[22]Employment Data Sectors (wages)'!$Y$26:$Y$37</definedName>
    <definedName name="_81__123Graph_DCHART_7" localSheetId="81" hidden="1">'[22]Employment Data Sectors (wages)'!$Y$26:$Y$37</definedName>
    <definedName name="_81__123Graph_DCHART_7" localSheetId="101" hidden="1">'[22]Employment Data Sectors (wages)'!$Y$26:$Y$37</definedName>
    <definedName name="_81__123Graph_DCHART_7" localSheetId="108" hidden="1">'[22]Employment Data Sectors (wages)'!$Y$26:$Y$37</definedName>
    <definedName name="_81__123Graph_DCHART_7" localSheetId="115" hidden="1">'[22]Employment Data Sectors (wages)'!$Y$26:$Y$37</definedName>
    <definedName name="_81__123Graph_DCHART_7" localSheetId="7" hidden="1">'[22]Employment Data Sectors (wages)'!$Y$26:$Y$37</definedName>
    <definedName name="_81__123Graph_DCHART_7" localSheetId="8" hidden="1">'[22]Employment Data Sectors (wages)'!$Y$26:$Y$37</definedName>
    <definedName name="_81__123Graph_DCHART_7" localSheetId="9" hidden="1">'[22]Employment Data Sectors (wages)'!$Y$26:$Y$37</definedName>
    <definedName name="_81__123Graph_DCHART_7" localSheetId="10" hidden="1">'[22]Employment Data Sectors (wages)'!$Y$26:$Y$37</definedName>
    <definedName name="_81__123Graph_DCHART_7" localSheetId="19" hidden="1">'[22]Employment Data Sectors (wages)'!$Y$26:$Y$37</definedName>
    <definedName name="_81__123Graph_DCHART_7" localSheetId="21" hidden="1">'[22]Employment Data Sectors (wages)'!$Y$26:$Y$37</definedName>
    <definedName name="_81__123Graph_DCHART_7" localSheetId="23" hidden="1">'[22]Employment Data Sectors (wages)'!$Y$26:$Y$37</definedName>
    <definedName name="_81__123Graph_DCHART_7" localSheetId="24" hidden="1">'[22]Employment Data Sectors (wages)'!$Y$26:$Y$37</definedName>
    <definedName name="_81__123Graph_DCHART_7" localSheetId="25" hidden="1">'[14]Employment Data Sectors (wages)'!$Y$26:$Y$37</definedName>
    <definedName name="_81__123Graph_DCHART_7" localSheetId="27" hidden="1">'[22]Employment Data Sectors (wages)'!$Y$26:$Y$37</definedName>
    <definedName name="_81__123Graph_DCHART_7" localSheetId="30" hidden="1">'[22]Employment Data Sectors (wages)'!$Y$26:$Y$37</definedName>
    <definedName name="_81__123Graph_DCHART_7" localSheetId="33" hidden="1">'[22]Employment Data Sectors (wages)'!$Y$26:$Y$37</definedName>
    <definedName name="_81__123Graph_DCHART_7" localSheetId="34" hidden="1">'[22]Employment Data Sectors (wages)'!$Y$26:$Y$37</definedName>
    <definedName name="_81__123Graph_DCHART_7" localSheetId="35" hidden="1">'[22]Employment Data Sectors (wages)'!$Y$26:$Y$37</definedName>
    <definedName name="_81__123Graph_DCHART_7" localSheetId="36" hidden="1">'[22]Employment Data Sectors (wages)'!$Y$26:$Y$37</definedName>
    <definedName name="_81__123Graph_DCHART_7" localSheetId="37" hidden="1">'[22]Employment Data Sectors (wages)'!$Y$26:$Y$37</definedName>
    <definedName name="_81__123Graph_DCHART_7" localSheetId="38" hidden="1">'[22]Employment Data Sectors (wages)'!$Y$26:$Y$37</definedName>
    <definedName name="_81__123Graph_DCHART_7" localSheetId="39" hidden="1">'[22]Employment Data Sectors (wages)'!$Y$26:$Y$37</definedName>
    <definedName name="_81__123Graph_DCHART_7" localSheetId="40" hidden="1">'[22]Employment Data Sectors (wages)'!$Y$26:$Y$37</definedName>
    <definedName name="_81__123Graph_DCHART_7" hidden="1">'[22]Employment Data Sectors (wages)'!$Y$26:$Y$37</definedName>
    <definedName name="_82__123Graph_DCHART_7" hidden="1">'[14]Employment Data Sectors (wages)'!$Y$26:$Y$37</definedName>
    <definedName name="_83__123Graph_BCHART_7" localSheetId="70" hidden="1">'[21]Employment Data Sectors (wages)'!$Y$13:$Y$8187</definedName>
    <definedName name="_83__123Graph_BCHART_7" localSheetId="71" hidden="1">'[21]Employment Data Sectors (wages)'!$Y$13:$Y$8187</definedName>
    <definedName name="_83__123Graph_BCHART_7" localSheetId="72" hidden="1">'[21]Employment Data Sectors (wages)'!$Y$13:$Y$8187</definedName>
    <definedName name="_83__123Graph_BCHART_7" localSheetId="73" hidden="1">'[21]Employment Data Sectors (wages)'!$Y$13:$Y$8187</definedName>
    <definedName name="_83__123Graph_BCHART_7" localSheetId="74" hidden="1">'[21]Employment Data Sectors (wages)'!$Y$13:$Y$8187</definedName>
    <definedName name="_83__123Graph_BCHART_7" localSheetId="79" hidden="1">'[14]Employment Data Sectors (wages)'!$Y$13:$Y$8187</definedName>
    <definedName name="_83__123Graph_BCHART_7" localSheetId="80" hidden="1">'[21]Employment Data Sectors (wages)'!$Y$13:$Y$8187</definedName>
    <definedName name="_83__123Graph_BCHART_7" localSheetId="81" hidden="1">'[21]Employment Data Sectors (wages)'!$Y$13:$Y$8187</definedName>
    <definedName name="_83__123Graph_BCHART_7" localSheetId="101" hidden="1">'[21]Employment Data Sectors (wages)'!$Y$13:$Y$8187</definedName>
    <definedName name="_83__123Graph_BCHART_7" localSheetId="108" hidden="1">'[21]Employment Data Sectors (wages)'!$Y$13:$Y$8187</definedName>
    <definedName name="_83__123Graph_BCHART_7" localSheetId="115" hidden="1">'[21]Employment Data Sectors (wages)'!$Y$13:$Y$8187</definedName>
    <definedName name="_83__123Graph_BCHART_7" localSheetId="7" hidden="1">'[21]Employment Data Sectors (wages)'!$Y$13:$Y$8187</definedName>
    <definedName name="_83__123Graph_BCHART_7" localSheetId="8" hidden="1">'[21]Employment Data Sectors (wages)'!$Y$13:$Y$8187</definedName>
    <definedName name="_83__123Graph_BCHART_7" localSheetId="9" hidden="1">'[21]Employment Data Sectors (wages)'!$Y$13:$Y$8187</definedName>
    <definedName name="_83__123Graph_BCHART_7" localSheetId="10" hidden="1">'[21]Employment Data Sectors (wages)'!$Y$13:$Y$8187</definedName>
    <definedName name="_83__123Graph_BCHART_7" localSheetId="19" hidden="1">'[21]Employment Data Sectors (wages)'!$Y$13:$Y$8187</definedName>
    <definedName name="_83__123Graph_BCHART_7" localSheetId="21" hidden="1">'[21]Employment Data Sectors (wages)'!$Y$13:$Y$8187</definedName>
    <definedName name="_83__123Graph_BCHART_7" localSheetId="23" hidden="1">'[21]Employment Data Sectors (wages)'!$Y$13:$Y$8187</definedName>
    <definedName name="_83__123Graph_BCHART_7" localSheetId="24" hidden="1">'[21]Employment Data Sectors (wages)'!$Y$13:$Y$8187</definedName>
    <definedName name="_83__123Graph_BCHART_7" localSheetId="25" hidden="1">'[21]Employment Data Sectors (wages)'!$Y$13:$Y$8187</definedName>
    <definedName name="_83__123Graph_BCHART_7" localSheetId="27" hidden="1">'[21]Employment Data Sectors (wages)'!$Y$13:$Y$8187</definedName>
    <definedName name="_83__123Graph_BCHART_7" localSheetId="30" hidden="1">'[21]Employment Data Sectors (wages)'!$Y$13:$Y$8187</definedName>
    <definedName name="_83__123Graph_BCHART_7" localSheetId="33" hidden="1">'[21]Employment Data Sectors (wages)'!$Y$13:$Y$8187</definedName>
    <definedName name="_83__123Graph_BCHART_7" localSheetId="34" hidden="1">'[21]Employment Data Sectors (wages)'!$Y$13:$Y$8187</definedName>
    <definedName name="_83__123Graph_BCHART_7" localSheetId="35" hidden="1">'[21]Employment Data Sectors (wages)'!$Y$13:$Y$8187</definedName>
    <definedName name="_83__123Graph_BCHART_7" localSheetId="36" hidden="1">'[21]Employment Data Sectors (wages)'!$Y$13:$Y$8187</definedName>
    <definedName name="_83__123Graph_BCHART_7" localSheetId="37" hidden="1">'[21]Employment Data Sectors (wages)'!$Y$13:$Y$8187</definedName>
    <definedName name="_83__123Graph_BCHART_7" localSheetId="38" hidden="1">'[21]Employment Data Sectors (wages)'!$Y$13:$Y$8187</definedName>
    <definedName name="_83__123Graph_BCHART_7" localSheetId="39" hidden="1">'[21]Employment Data Sectors (wages)'!$Y$13:$Y$8187</definedName>
    <definedName name="_83__123Graph_BCHART_7" localSheetId="40" hidden="1">'[21]Employment Data Sectors (wages)'!$Y$13:$Y$8187</definedName>
    <definedName name="_83__123Graph_BCHART_7" hidden="1">'[21]Employment Data Sectors (wages)'!$Y$13:$Y$8187</definedName>
    <definedName name="_84__123Graph_DCHART_8" localSheetId="70" hidden="1">'[22]Employment Data Sectors (wages)'!$W$26:$W$37</definedName>
    <definedName name="_84__123Graph_DCHART_8" localSheetId="71" hidden="1">'[22]Employment Data Sectors (wages)'!$W$26:$W$37</definedName>
    <definedName name="_84__123Graph_DCHART_8" localSheetId="72" hidden="1">'[22]Employment Data Sectors (wages)'!$W$26:$W$37</definedName>
    <definedName name="_84__123Graph_DCHART_8" localSheetId="73" hidden="1">'[22]Employment Data Sectors (wages)'!$W$26:$W$37</definedName>
    <definedName name="_84__123Graph_DCHART_8" localSheetId="74" hidden="1">'[22]Employment Data Sectors (wages)'!$W$26:$W$37</definedName>
    <definedName name="_84__123Graph_DCHART_8" localSheetId="79" hidden="1">'[14]Employment Data Sectors (wages)'!$W$26:$W$37</definedName>
    <definedName name="_84__123Graph_DCHART_8" localSheetId="80" hidden="1">'[22]Employment Data Sectors (wages)'!$W$26:$W$37</definedName>
    <definedName name="_84__123Graph_DCHART_8" localSheetId="81" hidden="1">'[22]Employment Data Sectors (wages)'!$W$26:$W$37</definedName>
    <definedName name="_84__123Graph_DCHART_8" localSheetId="101" hidden="1">'[22]Employment Data Sectors (wages)'!$W$26:$W$37</definedName>
    <definedName name="_84__123Graph_DCHART_8" localSheetId="108" hidden="1">'[22]Employment Data Sectors (wages)'!$W$26:$W$37</definedName>
    <definedName name="_84__123Graph_DCHART_8" localSheetId="115" hidden="1">'[22]Employment Data Sectors (wages)'!$W$26:$W$37</definedName>
    <definedName name="_84__123Graph_DCHART_8" localSheetId="7" hidden="1">'[22]Employment Data Sectors (wages)'!$W$26:$W$37</definedName>
    <definedName name="_84__123Graph_DCHART_8" localSheetId="8" hidden="1">'[22]Employment Data Sectors (wages)'!$W$26:$W$37</definedName>
    <definedName name="_84__123Graph_DCHART_8" localSheetId="9" hidden="1">'[22]Employment Data Sectors (wages)'!$W$26:$W$37</definedName>
    <definedName name="_84__123Graph_DCHART_8" localSheetId="10" hidden="1">'[22]Employment Data Sectors (wages)'!$W$26:$W$37</definedName>
    <definedName name="_84__123Graph_DCHART_8" localSheetId="19" hidden="1">'[22]Employment Data Sectors (wages)'!$W$26:$W$37</definedName>
    <definedName name="_84__123Graph_DCHART_8" localSheetId="21" hidden="1">'[22]Employment Data Sectors (wages)'!$W$26:$W$37</definedName>
    <definedName name="_84__123Graph_DCHART_8" localSheetId="23" hidden="1">'[22]Employment Data Sectors (wages)'!$W$26:$W$37</definedName>
    <definedName name="_84__123Graph_DCHART_8" localSheetId="24" hidden="1">'[22]Employment Data Sectors (wages)'!$W$26:$W$37</definedName>
    <definedName name="_84__123Graph_DCHART_8" localSheetId="25" hidden="1">'[14]Employment Data Sectors (wages)'!$W$26:$W$37</definedName>
    <definedName name="_84__123Graph_DCHART_8" localSheetId="27" hidden="1">'[22]Employment Data Sectors (wages)'!$W$26:$W$37</definedName>
    <definedName name="_84__123Graph_DCHART_8" localSheetId="30" hidden="1">'[22]Employment Data Sectors (wages)'!$W$26:$W$37</definedName>
    <definedName name="_84__123Graph_DCHART_8" localSheetId="33" hidden="1">'[22]Employment Data Sectors (wages)'!$W$26:$W$37</definedName>
    <definedName name="_84__123Graph_DCHART_8" localSheetId="34" hidden="1">'[22]Employment Data Sectors (wages)'!$W$26:$W$37</definedName>
    <definedName name="_84__123Graph_DCHART_8" localSheetId="35" hidden="1">'[22]Employment Data Sectors (wages)'!$W$26:$W$37</definedName>
    <definedName name="_84__123Graph_DCHART_8" localSheetId="36" hidden="1">'[22]Employment Data Sectors (wages)'!$W$26:$W$37</definedName>
    <definedName name="_84__123Graph_DCHART_8" localSheetId="37" hidden="1">'[22]Employment Data Sectors (wages)'!$W$26:$W$37</definedName>
    <definedName name="_84__123Graph_DCHART_8" localSheetId="38" hidden="1">'[22]Employment Data Sectors (wages)'!$W$26:$W$37</definedName>
    <definedName name="_84__123Graph_DCHART_8" localSheetId="39" hidden="1">'[22]Employment Data Sectors (wages)'!$W$26:$W$37</definedName>
    <definedName name="_84__123Graph_DCHART_8" localSheetId="40" hidden="1">'[22]Employment Data Sectors (wages)'!$W$26:$W$37</definedName>
    <definedName name="_84__123Graph_DCHART_8" hidden="1">'[22]Employment Data Sectors (wages)'!$W$26:$W$37</definedName>
    <definedName name="_85__123Graph_BCHART_5" hidden="1">'[14]Employment Data Sectors (wages)'!$B$24:$B$35</definedName>
    <definedName name="_85__123Graph_DCHART_8" hidden="1">'[14]Employment Data Sectors (wages)'!$W$26:$W$37</definedName>
    <definedName name="_87__123Graph_ECHART_7" localSheetId="70" hidden="1">'[22]Employment Data Sectors (wages)'!$Y$38:$Y$49</definedName>
    <definedName name="_87__123Graph_ECHART_7" localSheetId="71" hidden="1">'[22]Employment Data Sectors (wages)'!$Y$38:$Y$49</definedName>
    <definedName name="_87__123Graph_ECHART_7" localSheetId="72" hidden="1">'[22]Employment Data Sectors (wages)'!$Y$38:$Y$49</definedName>
    <definedName name="_87__123Graph_ECHART_7" localSheetId="73" hidden="1">'[22]Employment Data Sectors (wages)'!$Y$38:$Y$49</definedName>
    <definedName name="_87__123Graph_ECHART_7" localSheetId="74" hidden="1">'[22]Employment Data Sectors (wages)'!$Y$38:$Y$49</definedName>
    <definedName name="_87__123Graph_ECHART_7" localSheetId="79" hidden="1">'[14]Employment Data Sectors (wages)'!$Y$38:$Y$49</definedName>
    <definedName name="_87__123Graph_ECHART_7" localSheetId="80" hidden="1">'[22]Employment Data Sectors (wages)'!$Y$38:$Y$49</definedName>
    <definedName name="_87__123Graph_ECHART_7" localSheetId="81" hidden="1">'[22]Employment Data Sectors (wages)'!$Y$38:$Y$49</definedName>
    <definedName name="_87__123Graph_ECHART_7" localSheetId="101" hidden="1">'[22]Employment Data Sectors (wages)'!$Y$38:$Y$49</definedName>
    <definedName name="_87__123Graph_ECHART_7" localSheetId="108" hidden="1">'[22]Employment Data Sectors (wages)'!$Y$38:$Y$49</definedName>
    <definedName name="_87__123Graph_ECHART_7" localSheetId="115" hidden="1">'[22]Employment Data Sectors (wages)'!$Y$38:$Y$49</definedName>
    <definedName name="_87__123Graph_ECHART_7" localSheetId="7" hidden="1">'[22]Employment Data Sectors (wages)'!$Y$38:$Y$49</definedName>
    <definedName name="_87__123Graph_ECHART_7" localSheetId="8" hidden="1">'[22]Employment Data Sectors (wages)'!$Y$38:$Y$49</definedName>
    <definedName name="_87__123Graph_ECHART_7" localSheetId="9" hidden="1">'[22]Employment Data Sectors (wages)'!$Y$38:$Y$49</definedName>
    <definedName name="_87__123Graph_ECHART_7" localSheetId="10" hidden="1">'[22]Employment Data Sectors (wages)'!$Y$38:$Y$49</definedName>
    <definedName name="_87__123Graph_ECHART_7" localSheetId="19" hidden="1">'[22]Employment Data Sectors (wages)'!$Y$38:$Y$49</definedName>
    <definedName name="_87__123Graph_ECHART_7" localSheetId="21" hidden="1">'[22]Employment Data Sectors (wages)'!$Y$38:$Y$49</definedName>
    <definedName name="_87__123Graph_ECHART_7" localSheetId="23" hidden="1">'[22]Employment Data Sectors (wages)'!$Y$38:$Y$49</definedName>
    <definedName name="_87__123Graph_ECHART_7" localSheetId="24" hidden="1">'[22]Employment Data Sectors (wages)'!$Y$38:$Y$49</definedName>
    <definedName name="_87__123Graph_ECHART_7" localSheetId="25" hidden="1">'[14]Employment Data Sectors (wages)'!$Y$38:$Y$49</definedName>
    <definedName name="_87__123Graph_ECHART_7" localSheetId="27" hidden="1">'[22]Employment Data Sectors (wages)'!$Y$38:$Y$49</definedName>
    <definedName name="_87__123Graph_ECHART_7" localSheetId="30" hidden="1">'[22]Employment Data Sectors (wages)'!$Y$38:$Y$49</definedName>
    <definedName name="_87__123Graph_ECHART_7" localSheetId="33" hidden="1">'[22]Employment Data Sectors (wages)'!$Y$38:$Y$49</definedName>
    <definedName name="_87__123Graph_ECHART_7" localSheetId="34" hidden="1">'[22]Employment Data Sectors (wages)'!$Y$38:$Y$49</definedName>
    <definedName name="_87__123Graph_ECHART_7" localSheetId="35" hidden="1">'[22]Employment Data Sectors (wages)'!$Y$38:$Y$49</definedName>
    <definedName name="_87__123Graph_ECHART_7" localSheetId="36" hidden="1">'[22]Employment Data Sectors (wages)'!$Y$38:$Y$49</definedName>
    <definedName name="_87__123Graph_ECHART_7" localSheetId="37" hidden="1">'[22]Employment Data Sectors (wages)'!$Y$38:$Y$49</definedName>
    <definedName name="_87__123Graph_ECHART_7" localSheetId="38" hidden="1">'[22]Employment Data Sectors (wages)'!$Y$38:$Y$49</definedName>
    <definedName name="_87__123Graph_ECHART_7" localSheetId="39" hidden="1">'[22]Employment Data Sectors (wages)'!$Y$38:$Y$49</definedName>
    <definedName name="_87__123Graph_ECHART_7" localSheetId="40" hidden="1">'[22]Employment Data Sectors (wages)'!$Y$38:$Y$49</definedName>
    <definedName name="_87__123Graph_ECHART_7" hidden="1">'[22]Employment Data Sectors (wages)'!$Y$38:$Y$49</definedName>
    <definedName name="_88__123Graph_BCHART_8" localSheetId="70" hidden="1">'[21]Employment Data Sectors (wages)'!$W$13:$W$8187</definedName>
    <definedName name="_88__123Graph_BCHART_8" localSheetId="71" hidden="1">'[21]Employment Data Sectors (wages)'!$W$13:$W$8187</definedName>
    <definedName name="_88__123Graph_BCHART_8" localSheetId="72" hidden="1">'[21]Employment Data Sectors (wages)'!$W$13:$W$8187</definedName>
    <definedName name="_88__123Graph_BCHART_8" localSheetId="73" hidden="1">'[21]Employment Data Sectors (wages)'!$W$13:$W$8187</definedName>
    <definedName name="_88__123Graph_BCHART_8" localSheetId="74" hidden="1">'[21]Employment Data Sectors (wages)'!$W$13:$W$8187</definedName>
    <definedName name="_88__123Graph_BCHART_8" localSheetId="79" hidden="1">'[14]Employment Data Sectors (wages)'!$W$13:$W$8187</definedName>
    <definedName name="_88__123Graph_BCHART_8" localSheetId="80" hidden="1">'[21]Employment Data Sectors (wages)'!$W$13:$W$8187</definedName>
    <definedName name="_88__123Graph_BCHART_8" localSheetId="81" hidden="1">'[21]Employment Data Sectors (wages)'!$W$13:$W$8187</definedName>
    <definedName name="_88__123Graph_BCHART_8" localSheetId="101" hidden="1">'[21]Employment Data Sectors (wages)'!$W$13:$W$8187</definedName>
    <definedName name="_88__123Graph_BCHART_8" localSheetId="108" hidden="1">'[21]Employment Data Sectors (wages)'!$W$13:$W$8187</definedName>
    <definedName name="_88__123Graph_BCHART_8" localSheetId="115" hidden="1">'[21]Employment Data Sectors (wages)'!$W$13:$W$8187</definedName>
    <definedName name="_88__123Graph_BCHART_8" localSheetId="7" hidden="1">'[21]Employment Data Sectors (wages)'!$W$13:$W$8187</definedName>
    <definedName name="_88__123Graph_BCHART_8" localSheetId="8" hidden="1">'[21]Employment Data Sectors (wages)'!$W$13:$W$8187</definedName>
    <definedName name="_88__123Graph_BCHART_8" localSheetId="9" hidden="1">'[21]Employment Data Sectors (wages)'!$W$13:$W$8187</definedName>
    <definedName name="_88__123Graph_BCHART_8" localSheetId="10" hidden="1">'[21]Employment Data Sectors (wages)'!$W$13:$W$8187</definedName>
    <definedName name="_88__123Graph_BCHART_8" localSheetId="19" hidden="1">'[21]Employment Data Sectors (wages)'!$W$13:$W$8187</definedName>
    <definedName name="_88__123Graph_BCHART_8" localSheetId="21" hidden="1">'[21]Employment Data Sectors (wages)'!$W$13:$W$8187</definedName>
    <definedName name="_88__123Graph_BCHART_8" localSheetId="23" hidden="1">'[21]Employment Data Sectors (wages)'!$W$13:$W$8187</definedName>
    <definedName name="_88__123Graph_BCHART_8" localSheetId="24" hidden="1">'[21]Employment Data Sectors (wages)'!$W$13:$W$8187</definedName>
    <definedName name="_88__123Graph_BCHART_8" localSheetId="25" hidden="1">'[21]Employment Data Sectors (wages)'!$W$13:$W$8187</definedName>
    <definedName name="_88__123Graph_BCHART_8" localSheetId="27" hidden="1">'[21]Employment Data Sectors (wages)'!$W$13:$W$8187</definedName>
    <definedName name="_88__123Graph_BCHART_8" localSheetId="30" hidden="1">'[21]Employment Data Sectors (wages)'!$W$13:$W$8187</definedName>
    <definedName name="_88__123Graph_BCHART_8" localSheetId="33" hidden="1">'[21]Employment Data Sectors (wages)'!$W$13:$W$8187</definedName>
    <definedName name="_88__123Graph_BCHART_8" localSheetId="34" hidden="1">'[21]Employment Data Sectors (wages)'!$W$13:$W$8187</definedName>
    <definedName name="_88__123Graph_BCHART_8" localSheetId="35" hidden="1">'[21]Employment Data Sectors (wages)'!$W$13:$W$8187</definedName>
    <definedName name="_88__123Graph_BCHART_8" localSheetId="36" hidden="1">'[21]Employment Data Sectors (wages)'!$W$13:$W$8187</definedName>
    <definedName name="_88__123Graph_BCHART_8" localSheetId="37" hidden="1">'[21]Employment Data Sectors (wages)'!$W$13:$W$8187</definedName>
    <definedName name="_88__123Graph_BCHART_8" localSheetId="38" hidden="1">'[21]Employment Data Sectors (wages)'!$W$13:$W$8187</definedName>
    <definedName name="_88__123Graph_BCHART_8" localSheetId="39" hidden="1">'[21]Employment Data Sectors (wages)'!$W$13:$W$8187</definedName>
    <definedName name="_88__123Graph_BCHART_8" localSheetId="40" hidden="1">'[21]Employment Data Sectors (wages)'!$W$13:$W$8187</definedName>
    <definedName name="_88__123Graph_BCHART_8" hidden="1">'[21]Employment Data Sectors (wages)'!$W$13:$W$8187</definedName>
    <definedName name="_88__123Graph_ECHART_7" hidden="1">'[14]Employment Data Sectors (wages)'!$Y$38:$Y$49</definedName>
    <definedName name="_9__123Graph_ACHART_1" localSheetId="70" hidden="1">'[22]Employment Data Sectors (wages)'!$A$8173:$A$8184</definedName>
    <definedName name="_9__123Graph_ACHART_1" localSheetId="71" hidden="1">'[22]Employment Data Sectors (wages)'!$A$8173:$A$8184</definedName>
    <definedName name="_9__123Graph_ACHART_1" localSheetId="72" hidden="1">'[22]Employment Data Sectors (wages)'!$A$8173:$A$8184</definedName>
    <definedName name="_9__123Graph_ACHART_1" localSheetId="73" hidden="1">'[22]Employment Data Sectors (wages)'!$A$8173:$A$8184</definedName>
    <definedName name="_9__123Graph_ACHART_1" localSheetId="74" hidden="1">'[22]Employment Data Sectors (wages)'!$A$8173:$A$8184</definedName>
    <definedName name="_9__123Graph_ACHART_1" localSheetId="79" hidden="1">'[14]Employment Data Sectors (wages)'!$A$8173:$A$8184</definedName>
    <definedName name="_9__123Graph_ACHART_1" localSheetId="80" hidden="1">'[22]Employment Data Sectors (wages)'!$A$8173:$A$8184</definedName>
    <definedName name="_9__123Graph_ACHART_1" localSheetId="81" hidden="1">'[22]Employment Data Sectors (wages)'!$A$8173:$A$8184</definedName>
    <definedName name="_9__123Graph_ACHART_1" localSheetId="101" hidden="1">'[22]Employment Data Sectors (wages)'!$A$8173:$A$8184</definedName>
    <definedName name="_9__123Graph_ACHART_1" localSheetId="108" hidden="1">'[22]Employment Data Sectors (wages)'!$A$8173:$A$8184</definedName>
    <definedName name="_9__123Graph_ACHART_1" localSheetId="115" hidden="1">'[22]Employment Data Sectors (wages)'!$A$8173:$A$8184</definedName>
    <definedName name="_9__123Graph_ACHART_1" localSheetId="7" hidden="1">'[22]Employment Data Sectors (wages)'!$A$8173:$A$8184</definedName>
    <definedName name="_9__123Graph_ACHART_1" localSheetId="8" hidden="1">'[22]Employment Data Sectors (wages)'!$A$8173:$A$8184</definedName>
    <definedName name="_9__123Graph_ACHART_1" localSheetId="9" hidden="1">'[22]Employment Data Sectors (wages)'!$A$8173:$A$8184</definedName>
    <definedName name="_9__123Graph_ACHART_1" localSheetId="10" hidden="1">'[22]Employment Data Sectors (wages)'!$A$8173:$A$8184</definedName>
    <definedName name="_9__123Graph_ACHART_1" localSheetId="19" hidden="1">'[22]Employment Data Sectors (wages)'!$A$8173:$A$8184</definedName>
    <definedName name="_9__123Graph_ACHART_1" localSheetId="21" hidden="1">'[22]Employment Data Sectors (wages)'!$A$8173:$A$8184</definedName>
    <definedName name="_9__123Graph_ACHART_1" localSheetId="23" hidden="1">'[22]Employment Data Sectors (wages)'!$A$8173:$A$8184</definedName>
    <definedName name="_9__123Graph_ACHART_1" localSheetId="24" hidden="1">'[22]Employment Data Sectors (wages)'!$A$8173:$A$8184</definedName>
    <definedName name="_9__123Graph_ACHART_1" localSheetId="25" hidden="1">'[14]Employment Data Sectors (wages)'!$A$8173:$A$8184</definedName>
    <definedName name="_9__123Graph_ACHART_1" localSheetId="27" hidden="1">'[22]Employment Data Sectors (wages)'!$A$8173:$A$8184</definedName>
    <definedName name="_9__123Graph_ACHART_1" localSheetId="30" hidden="1">'[22]Employment Data Sectors (wages)'!$A$8173:$A$8184</definedName>
    <definedName name="_9__123Graph_ACHART_1" localSheetId="33" hidden="1">'[22]Employment Data Sectors (wages)'!$A$8173:$A$8184</definedName>
    <definedName name="_9__123Graph_ACHART_1" localSheetId="34" hidden="1">'[22]Employment Data Sectors (wages)'!$A$8173:$A$8184</definedName>
    <definedName name="_9__123Graph_ACHART_1" localSheetId="35" hidden="1">'[22]Employment Data Sectors (wages)'!$A$8173:$A$8184</definedName>
    <definedName name="_9__123Graph_ACHART_1" localSheetId="36" hidden="1">'[22]Employment Data Sectors (wages)'!$A$8173:$A$8184</definedName>
    <definedName name="_9__123Graph_ACHART_1" localSheetId="37" hidden="1">'[22]Employment Data Sectors (wages)'!$A$8173:$A$8184</definedName>
    <definedName name="_9__123Graph_ACHART_1" localSheetId="38" hidden="1">'[22]Employment Data Sectors (wages)'!$A$8173:$A$8184</definedName>
    <definedName name="_9__123Graph_ACHART_1" localSheetId="39" hidden="1">'[22]Employment Data Sectors (wages)'!$A$8173:$A$8184</definedName>
    <definedName name="_9__123Graph_ACHART_1" localSheetId="40" hidden="1">'[22]Employment Data Sectors (wages)'!$A$8173:$A$8184</definedName>
    <definedName name="_9__123Graph_ACHART_1" hidden="1">'[22]Employment Data Sectors (wages)'!$A$8173:$A$8184</definedName>
    <definedName name="_9__123Graph_ACHART_7" localSheetId="55" hidden="1">'[16]Employment Data Sectors (wages)'!$Y$8175:$Y$8186</definedName>
    <definedName name="_9__123Graph_ACHART_7" localSheetId="70" hidden="1">'[16]Employment Data Sectors (wages)'!$Y$8175:$Y$8186</definedName>
    <definedName name="_9__123Graph_ACHART_7" localSheetId="71" hidden="1">'[17]Employment Data Sectors (wages)'!$Y$8175:$Y$8186</definedName>
    <definedName name="_9__123Graph_ACHART_7" localSheetId="72" hidden="1">'[17]Employment Data Sectors (wages)'!$Y$8175:$Y$8186</definedName>
    <definedName name="_9__123Graph_ACHART_7" localSheetId="73" hidden="1">'[17]Employment Data Sectors (wages)'!$Y$8175:$Y$8186</definedName>
    <definedName name="_9__123Graph_ACHART_7" localSheetId="74" hidden="1">'[17]Employment Data Sectors (wages)'!$Y$8175:$Y$8186</definedName>
    <definedName name="_9__123Graph_ACHART_7" localSheetId="79" hidden="1">'[18]Employment Data Sectors (wages)'!$Y$8175:$Y$8186</definedName>
    <definedName name="_9__123Graph_ACHART_7" localSheetId="80" hidden="1">'[16]Employment Data Sectors (wages)'!$Y$8175:$Y$8186</definedName>
    <definedName name="_9__123Graph_ACHART_7" localSheetId="81" hidden="1">'[16]Employment Data Sectors (wages)'!$Y$8175:$Y$8186</definedName>
    <definedName name="_9__123Graph_ACHART_7" localSheetId="101" hidden="1">'[16]Employment Data Sectors (wages)'!$Y$8175:$Y$8186</definedName>
    <definedName name="_9__123Graph_ACHART_7" localSheetId="108" hidden="1">'[16]Employment Data Sectors (wages)'!$Y$8175:$Y$8186</definedName>
    <definedName name="_9__123Graph_ACHART_7" localSheetId="115" hidden="1">'[17]Employment Data Sectors (wages)'!$Y$8175:$Y$8186</definedName>
    <definedName name="_9__123Graph_ACHART_7" localSheetId="7" hidden="1">'[16]Employment Data Sectors (wages)'!$Y$8175:$Y$8186</definedName>
    <definedName name="_9__123Graph_ACHART_7" localSheetId="8" hidden="1">'[16]Employment Data Sectors (wages)'!$Y$8175:$Y$8186</definedName>
    <definedName name="_9__123Graph_ACHART_7" localSheetId="9" hidden="1">'[16]Employment Data Sectors (wages)'!$Y$8175:$Y$8186</definedName>
    <definedName name="_9__123Graph_ACHART_7" localSheetId="10" hidden="1">'[17]Employment Data Sectors (wages)'!$Y$8175:$Y$8186</definedName>
    <definedName name="_9__123Graph_ACHART_7" localSheetId="19" hidden="1">'[16]Employment Data Sectors (wages)'!$Y$8175:$Y$8186</definedName>
    <definedName name="_9__123Graph_ACHART_7" localSheetId="21" hidden="1">'[16]Employment Data Sectors (wages)'!$Y$8175:$Y$8186</definedName>
    <definedName name="_9__123Graph_ACHART_7" localSheetId="23" hidden="1">'[16]Employment Data Sectors (wages)'!$Y$8175:$Y$8186</definedName>
    <definedName name="_9__123Graph_ACHART_7" localSheetId="24" hidden="1">'[16]Employment Data Sectors (wages)'!$Y$8175:$Y$8186</definedName>
    <definedName name="_9__123Graph_ACHART_7" localSheetId="25" hidden="1">'[16]Employment Data Sectors (wages)'!$Y$8175:$Y$8186</definedName>
    <definedName name="_9__123Graph_ACHART_7" localSheetId="27" hidden="1">'[16]Employment Data Sectors (wages)'!$Y$8175:$Y$8186</definedName>
    <definedName name="_9__123Graph_ACHART_7" localSheetId="30" hidden="1">'[16]Employment Data Sectors (wages)'!$Y$8175:$Y$8186</definedName>
    <definedName name="_9__123Graph_ACHART_7" localSheetId="33" hidden="1">'[16]Employment Data Sectors (wages)'!$Y$8175:$Y$8186</definedName>
    <definedName name="_9__123Graph_ACHART_7" localSheetId="34" hidden="1">'[17]Employment Data Sectors (wages)'!$Y$8175:$Y$8186</definedName>
    <definedName name="_9__123Graph_ACHART_7" localSheetId="35" hidden="1">'[17]Employment Data Sectors (wages)'!$Y$8175:$Y$8186</definedName>
    <definedName name="_9__123Graph_ACHART_7" localSheetId="36" hidden="1">'[17]Employment Data Sectors (wages)'!$Y$8175:$Y$8186</definedName>
    <definedName name="_9__123Graph_ACHART_7" localSheetId="37" hidden="1">'[17]Employment Data Sectors (wages)'!$Y$8175:$Y$8186</definedName>
    <definedName name="_9__123Graph_ACHART_7" localSheetId="38" hidden="1">'[17]Employment Data Sectors (wages)'!$Y$8175:$Y$8186</definedName>
    <definedName name="_9__123Graph_ACHART_7" localSheetId="39" hidden="1">'[16]Employment Data Sectors (wages)'!$Y$8175:$Y$8186</definedName>
    <definedName name="_9__123Graph_ACHART_7" localSheetId="40" hidden="1">'[16]Employment Data Sectors (wages)'!$Y$8175:$Y$8186</definedName>
    <definedName name="_9__123Graph_ACHART_7" hidden="1">'[17]Employment Data Sectors (wages)'!$Y$8175:$Y$8186</definedName>
    <definedName name="_9__123Graph_ACHART_8" localSheetId="55" hidden="1">'[19]Employment Data Sectors (wages)'!$W$8175:$W$8186</definedName>
    <definedName name="_9__123Graph_ACHART_8" localSheetId="71" hidden="1">'[20]Employment Data Sectors (wages)'!$W$8175:$W$8186</definedName>
    <definedName name="_9__123Graph_ACHART_8" localSheetId="72" hidden="1">'[20]Employment Data Sectors (wages)'!$W$8175:$W$8186</definedName>
    <definedName name="_9__123Graph_ACHART_8" localSheetId="73" hidden="1">'[20]Employment Data Sectors (wages)'!$W$8175:$W$8186</definedName>
    <definedName name="_9__123Graph_ACHART_8" localSheetId="74" hidden="1">'[20]Employment Data Sectors (wages)'!$W$8175:$W$8186</definedName>
    <definedName name="_9__123Graph_ACHART_8" localSheetId="79" hidden="1">'[19]Employment Data Sectors (wages)'!$W$8175:$W$8186</definedName>
    <definedName name="_9__123Graph_ACHART_8" localSheetId="115" hidden="1">'[20]Employment Data Sectors (wages)'!$W$8175:$W$8186</definedName>
    <definedName name="_9__123Graph_ACHART_8" localSheetId="10" hidden="1">'[20]Employment Data Sectors (wages)'!$W$8175:$W$8186</definedName>
    <definedName name="_9__123Graph_ACHART_8" localSheetId="23" hidden="1">'[20]Employment Data Sectors (wages)'!$W$8175:$W$8186</definedName>
    <definedName name="_9__123Graph_ACHART_8" localSheetId="34" hidden="1">'[20]Employment Data Sectors (wages)'!$W$8175:$W$8186</definedName>
    <definedName name="_9__123Graph_ACHART_8" localSheetId="35" hidden="1">'[20]Employment Data Sectors (wages)'!$W$8175:$W$8186</definedName>
    <definedName name="_9__123Graph_ACHART_8" localSheetId="36" hidden="1">'[20]Employment Data Sectors (wages)'!$W$8175:$W$8186</definedName>
    <definedName name="_9__123Graph_ACHART_8" localSheetId="37" hidden="1">'[20]Employment Data Sectors (wages)'!$W$8175:$W$8186</definedName>
    <definedName name="_9__123Graph_ACHART_8" localSheetId="38" hidden="1">'[20]Employment Data Sectors (wages)'!$W$8175:$W$8186</definedName>
    <definedName name="_9__123Graph_ACHART_8" hidden="1">'[20]Employment Data Sectors (wages)'!$W$8175:$W$8186</definedName>
    <definedName name="_90__123Graph_BCHART_6" hidden="1">'[14]Employment Data Sectors (wages)'!$AS$49:$AS$8103</definedName>
    <definedName name="_90__123Graph_ECHART_8" localSheetId="70" hidden="1">'[22]Employment Data Sectors (wages)'!$H$86:$H$99</definedName>
    <definedName name="_90__123Graph_ECHART_8" localSheetId="71" hidden="1">'[22]Employment Data Sectors (wages)'!$H$86:$H$99</definedName>
    <definedName name="_90__123Graph_ECHART_8" localSheetId="72" hidden="1">'[22]Employment Data Sectors (wages)'!$H$86:$H$99</definedName>
    <definedName name="_90__123Graph_ECHART_8" localSheetId="73" hidden="1">'[22]Employment Data Sectors (wages)'!$H$86:$H$99</definedName>
    <definedName name="_90__123Graph_ECHART_8" localSheetId="74" hidden="1">'[22]Employment Data Sectors (wages)'!$H$86:$H$99</definedName>
    <definedName name="_90__123Graph_ECHART_8" localSheetId="79" hidden="1">'[14]Employment Data Sectors (wages)'!$H$86:$H$99</definedName>
    <definedName name="_90__123Graph_ECHART_8" localSheetId="80" hidden="1">'[22]Employment Data Sectors (wages)'!$H$86:$H$99</definedName>
    <definedName name="_90__123Graph_ECHART_8" localSheetId="81" hidden="1">'[22]Employment Data Sectors (wages)'!$H$86:$H$99</definedName>
    <definedName name="_90__123Graph_ECHART_8" localSheetId="101" hidden="1">'[22]Employment Data Sectors (wages)'!$H$86:$H$99</definedName>
    <definedName name="_90__123Graph_ECHART_8" localSheetId="108" hidden="1">'[22]Employment Data Sectors (wages)'!$H$86:$H$99</definedName>
    <definedName name="_90__123Graph_ECHART_8" localSheetId="115" hidden="1">'[22]Employment Data Sectors (wages)'!$H$86:$H$99</definedName>
    <definedName name="_90__123Graph_ECHART_8" localSheetId="7" hidden="1">'[22]Employment Data Sectors (wages)'!$H$86:$H$99</definedName>
    <definedName name="_90__123Graph_ECHART_8" localSheetId="8" hidden="1">'[22]Employment Data Sectors (wages)'!$H$86:$H$99</definedName>
    <definedName name="_90__123Graph_ECHART_8" localSheetId="9" hidden="1">'[22]Employment Data Sectors (wages)'!$H$86:$H$99</definedName>
    <definedName name="_90__123Graph_ECHART_8" localSheetId="10" hidden="1">'[22]Employment Data Sectors (wages)'!$H$86:$H$99</definedName>
    <definedName name="_90__123Graph_ECHART_8" localSheetId="19" hidden="1">'[22]Employment Data Sectors (wages)'!$H$86:$H$99</definedName>
    <definedName name="_90__123Graph_ECHART_8" localSheetId="21" hidden="1">'[22]Employment Data Sectors (wages)'!$H$86:$H$99</definedName>
    <definedName name="_90__123Graph_ECHART_8" localSheetId="23" hidden="1">'[22]Employment Data Sectors (wages)'!$H$86:$H$99</definedName>
    <definedName name="_90__123Graph_ECHART_8" localSheetId="24" hidden="1">'[22]Employment Data Sectors (wages)'!$H$86:$H$99</definedName>
    <definedName name="_90__123Graph_ECHART_8" localSheetId="25" hidden="1">'[14]Employment Data Sectors (wages)'!$H$86:$H$99</definedName>
    <definedName name="_90__123Graph_ECHART_8" localSheetId="27" hidden="1">'[22]Employment Data Sectors (wages)'!$H$86:$H$99</definedName>
    <definedName name="_90__123Graph_ECHART_8" localSheetId="30" hidden="1">'[22]Employment Data Sectors (wages)'!$H$86:$H$99</definedName>
    <definedName name="_90__123Graph_ECHART_8" localSheetId="33" hidden="1">'[22]Employment Data Sectors (wages)'!$H$86:$H$99</definedName>
    <definedName name="_90__123Graph_ECHART_8" localSheetId="34" hidden="1">'[22]Employment Data Sectors (wages)'!$H$86:$H$99</definedName>
    <definedName name="_90__123Graph_ECHART_8" localSheetId="35" hidden="1">'[22]Employment Data Sectors (wages)'!$H$86:$H$99</definedName>
    <definedName name="_90__123Graph_ECHART_8" localSheetId="36" hidden="1">'[22]Employment Data Sectors (wages)'!$H$86:$H$99</definedName>
    <definedName name="_90__123Graph_ECHART_8" localSheetId="37" hidden="1">'[22]Employment Data Sectors (wages)'!$H$86:$H$99</definedName>
    <definedName name="_90__123Graph_ECHART_8" localSheetId="38" hidden="1">'[22]Employment Data Sectors (wages)'!$H$86:$H$99</definedName>
    <definedName name="_90__123Graph_ECHART_8" localSheetId="39" hidden="1">'[22]Employment Data Sectors (wages)'!$H$86:$H$99</definedName>
    <definedName name="_90__123Graph_ECHART_8" localSheetId="40" hidden="1">'[22]Employment Data Sectors (wages)'!$H$86:$H$99</definedName>
    <definedName name="_90__123Graph_ECHART_8" hidden="1">'[22]Employment Data Sectors (wages)'!$H$86:$H$99</definedName>
    <definedName name="_91__123Graph_ECHART_8" hidden="1">'[14]Employment Data Sectors (wages)'!$H$86:$H$99</definedName>
    <definedName name="_93__123Graph_CCHART_1" localSheetId="70" hidden="1">'[21]Employment Data Sectors (wages)'!$C$8173:$C$8184</definedName>
    <definedName name="_93__123Graph_CCHART_1" localSheetId="71" hidden="1">'[21]Employment Data Sectors (wages)'!$C$8173:$C$8184</definedName>
    <definedName name="_93__123Graph_CCHART_1" localSheetId="72" hidden="1">'[21]Employment Data Sectors (wages)'!$C$8173:$C$8184</definedName>
    <definedName name="_93__123Graph_CCHART_1" localSheetId="73" hidden="1">'[21]Employment Data Sectors (wages)'!$C$8173:$C$8184</definedName>
    <definedName name="_93__123Graph_CCHART_1" localSheetId="74" hidden="1">'[21]Employment Data Sectors (wages)'!$C$8173:$C$8184</definedName>
    <definedName name="_93__123Graph_CCHART_1" localSheetId="79" hidden="1">'[14]Employment Data Sectors (wages)'!$C$8173:$C$8184</definedName>
    <definedName name="_93__123Graph_CCHART_1" localSheetId="80" hidden="1">'[21]Employment Data Sectors (wages)'!$C$8173:$C$8184</definedName>
    <definedName name="_93__123Graph_CCHART_1" localSheetId="81" hidden="1">'[21]Employment Data Sectors (wages)'!$C$8173:$C$8184</definedName>
    <definedName name="_93__123Graph_CCHART_1" localSheetId="101" hidden="1">'[21]Employment Data Sectors (wages)'!$C$8173:$C$8184</definedName>
    <definedName name="_93__123Graph_CCHART_1" localSheetId="108" hidden="1">'[21]Employment Data Sectors (wages)'!$C$8173:$C$8184</definedName>
    <definedName name="_93__123Graph_CCHART_1" localSheetId="115" hidden="1">'[21]Employment Data Sectors (wages)'!$C$8173:$C$8184</definedName>
    <definedName name="_93__123Graph_CCHART_1" localSheetId="7" hidden="1">'[21]Employment Data Sectors (wages)'!$C$8173:$C$8184</definedName>
    <definedName name="_93__123Graph_CCHART_1" localSheetId="8" hidden="1">'[21]Employment Data Sectors (wages)'!$C$8173:$C$8184</definedName>
    <definedName name="_93__123Graph_CCHART_1" localSheetId="9" hidden="1">'[21]Employment Data Sectors (wages)'!$C$8173:$C$8184</definedName>
    <definedName name="_93__123Graph_CCHART_1" localSheetId="10" hidden="1">'[21]Employment Data Sectors (wages)'!$C$8173:$C$8184</definedName>
    <definedName name="_93__123Graph_CCHART_1" localSheetId="19" hidden="1">'[21]Employment Data Sectors (wages)'!$C$8173:$C$8184</definedName>
    <definedName name="_93__123Graph_CCHART_1" localSheetId="21" hidden="1">'[21]Employment Data Sectors (wages)'!$C$8173:$C$8184</definedName>
    <definedName name="_93__123Graph_CCHART_1" localSheetId="23" hidden="1">'[21]Employment Data Sectors (wages)'!$C$8173:$C$8184</definedName>
    <definedName name="_93__123Graph_CCHART_1" localSheetId="24" hidden="1">'[21]Employment Data Sectors (wages)'!$C$8173:$C$8184</definedName>
    <definedName name="_93__123Graph_CCHART_1" localSheetId="25" hidden="1">'[21]Employment Data Sectors (wages)'!$C$8173:$C$8184</definedName>
    <definedName name="_93__123Graph_CCHART_1" localSheetId="27" hidden="1">'[21]Employment Data Sectors (wages)'!$C$8173:$C$8184</definedName>
    <definedName name="_93__123Graph_CCHART_1" localSheetId="30" hidden="1">'[21]Employment Data Sectors (wages)'!$C$8173:$C$8184</definedName>
    <definedName name="_93__123Graph_CCHART_1" localSheetId="33" hidden="1">'[21]Employment Data Sectors (wages)'!$C$8173:$C$8184</definedName>
    <definedName name="_93__123Graph_CCHART_1" localSheetId="34" hidden="1">'[21]Employment Data Sectors (wages)'!$C$8173:$C$8184</definedName>
    <definedName name="_93__123Graph_CCHART_1" localSheetId="35" hidden="1">'[21]Employment Data Sectors (wages)'!$C$8173:$C$8184</definedName>
    <definedName name="_93__123Graph_CCHART_1" localSheetId="36" hidden="1">'[21]Employment Data Sectors (wages)'!$C$8173:$C$8184</definedName>
    <definedName name="_93__123Graph_CCHART_1" localSheetId="37" hidden="1">'[21]Employment Data Sectors (wages)'!$C$8173:$C$8184</definedName>
    <definedName name="_93__123Graph_CCHART_1" localSheetId="38" hidden="1">'[21]Employment Data Sectors (wages)'!$C$8173:$C$8184</definedName>
    <definedName name="_93__123Graph_CCHART_1" localSheetId="39" hidden="1">'[21]Employment Data Sectors (wages)'!$C$8173:$C$8184</definedName>
    <definedName name="_93__123Graph_CCHART_1" localSheetId="40" hidden="1">'[21]Employment Data Sectors (wages)'!$C$8173:$C$8184</definedName>
    <definedName name="_93__123Graph_CCHART_1" hidden="1">'[21]Employment Data Sectors (wages)'!$C$8173:$C$8184</definedName>
    <definedName name="_93__123Graph_FCHART_8" localSheetId="70" hidden="1">'[22]Employment Data Sectors (wages)'!$H$6:$H$17</definedName>
    <definedName name="_93__123Graph_FCHART_8" localSheetId="71" hidden="1">'[22]Employment Data Sectors (wages)'!$H$6:$H$17</definedName>
    <definedName name="_93__123Graph_FCHART_8" localSheetId="72" hidden="1">'[22]Employment Data Sectors (wages)'!$H$6:$H$17</definedName>
    <definedName name="_93__123Graph_FCHART_8" localSheetId="73" hidden="1">'[22]Employment Data Sectors (wages)'!$H$6:$H$17</definedName>
    <definedName name="_93__123Graph_FCHART_8" localSheetId="74" hidden="1">'[22]Employment Data Sectors (wages)'!$H$6:$H$17</definedName>
    <definedName name="_93__123Graph_FCHART_8" localSheetId="79" hidden="1">'[14]Employment Data Sectors (wages)'!$H$6:$H$17</definedName>
    <definedName name="_93__123Graph_FCHART_8" localSheetId="80" hidden="1">'[22]Employment Data Sectors (wages)'!$H$6:$H$17</definedName>
    <definedName name="_93__123Graph_FCHART_8" localSheetId="81" hidden="1">'[22]Employment Data Sectors (wages)'!$H$6:$H$17</definedName>
    <definedName name="_93__123Graph_FCHART_8" localSheetId="101" hidden="1">'[22]Employment Data Sectors (wages)'!$H$6:$H$17</definedName>
    <definedName name="_93__123Graph_FCHART_8" localSheetId="108" hidden="1">'[22]Employment Data Sectors (wages)'!$H$6:$H$17</definedName>
    <definedName name="_93__123Graph_FCHART_8" localSheetId="115" hidden="1">'[22]Employment Data Sectors (wages)'!$H$6:$H$17</definedName>
    <definedName name="_93__123Graph_FCHART_8" localSheetId="7" hidden="1">'[22]Employment Data Sectors (wages)'!$H$6:$H$17</definedName>
    <definedName name="_93__123Graph_FCHART_8" localSheetId="8" hidden="1">'[22]Employment Data Sectors (wages)'!$H$6:$H$17</definedName>
    <definedName name="_93__123Graph_FCHART_8" localSheetId="9" hidden="1">'[22]Employment Data Sectors (wages)'!$H$6:$H$17</definedName>
    <definedName name="_93__123Graph_FCHART_8" localSheetId="10" hidden="1">'[22]Employment Data Sectors (wages)'!$H$6:$H$17</definedName>
    <definedName name="_93__123Graph_FCHART_8" localSheetId="19" hidden="1">'[22]Employment Data Sectors (wages)'!$H$6:$H$17</definedName>
    <definedName name="_93__123Graph_FCHART_8" localSheetId="21" hidden="1">'[22]Employment Data Sectors (wages)'!$H$6:$H$17</definedName>
    <definedName name="_93__123Graph_FCHART_8" localSheetId="23" hidden="1">'[22]Employment Data Sectors (wages)'!$H$6:$H$17</definedName>
    <definedName name="_93__123Graph_FCHART_8" localSheetId="24" hidden="1">'[22]Employment Data Sectors (wages)'!$H$6:$H$17</definedName>
    <definedName name="_93__123Graph_FCHART_8" localSheetId="25" hidden="1">'[14]Employment Data Sectors (wages)'!$H$6:$H$17</definedName>
    <definedName name="_93__123Graph_FCHART_8" localSheetId="27" hidden="1">'[22]Employment Data Sectors (wages)'!$H$6:$H$17</definedName>
    <definedName name="_93__123Graph_FCHART_8" localSheetId="30" hidden="1">'[22]Employment Data Sectors (wages)'!$H$6:$H$17</definedName>
    <definedName name="_93__123Graph_FCHART_8" localSheetId="33" hidden="1">'[22]Employment Data Sectors (wages)'!$H$6:$H$17</definedName>
    <definedName name="_93__123Graph_FCHART_8" localSheetId="34" hidden="1">'[22]Employment Data Sectors (wages)'!$H$6:$H$17</definedName>
    <definedName name="_93__123Graph_FCHART_8" localSheetId="35" hidden="1">'[22]Employment Data Sectors (wages)'!$H$6:$H$17</definedName>
    <definedName name="_93__123Graph_FCHART_8" localSheetId="36" hidden="1">'[22]Employment Data Sectors (wages)'!$H$6:$H$17</definedName>
    <definedName name="_93__123Graph_FCHART_8" localSheetId="37" hidden="1">'[22]Employment Data Sectors (wages)'!$H$6:$H$17</definedName>
    <definedName name="_93__123Graph_FCHART_8" localSheetId="38" hidden="1">'[22]Employment Data Sectors (wages)'!$H$6:$H$17</definedName>
    <definedName name="_93__123Graph_FCHART_8" localSheetId="39" hidden="1">'[22]Employment Data Sectors (wages)'!$H$6:$H$17</definedName>
    <definedName name="_93__123Graph_FCHART_8" localSheetId="40" hidden="1">'[22]Employment Data Sectors (wages)'!$H$6:$H$17</definedName>
    <definedName name="_93__123Graph_FCHART_8" hidden="1">'[22]Employment Data Sectors (wages)'!$H$6:$H$17</definedName>
    <definedName name="_94__123Graph_FCHART_8" hidden="1">'[14]Employment Data Sectors (wages)'!$H$6:$H$17</definedName>
    <definedName name="_95__123Graph_BCHART_7" hidden="1">'[14]Employment Data Sectors (wages)'!$Y$13:$Y$8187</definedName>
    <definedName name="_98__123Graph_CCHART_2" localSheetId="70" hidden="1">'[21]Employment Data Sectors (wages)'!$C$8173:$C$8184</definedName>
    <definedName name="_98__123Graph_CCHART_2" localSheetId="71" hidden="1">'[21]Employment Data Sectors (wages)'!$C$8173:$C$8184</definedName>
    <definedName name="_98__123Graph_CCHART_2" localSheetId="72" hidden="1">'[21]Employment Data Sectors (wages)'!$C$8173:$C$8184</definedName>
    <definedName name="_98__123Graph_CCHART_2" localSheetId="73" hidden="1">'[21]Employment Data Sectors (wages)'!$C$8173:$C$8184</definedName>
    <definedName name="_98__123Graph_CCHART_2" localSheetId="74" hidden="1">'[21]Employment Data Sectors (wages)'!$C$8173:$C$8184</definedName>
    <definedName name="_98__123Graph_CCHART_2" localSheetId="79" hidden="1">'[14]Employment Data Sectors (wages)'!$C$8173:$C$8184</definedName>
    <definedName name="_98__123Graph_CCHART_2" localSheetId="80" hidden="1">'[21]Employment Data Sectors (wages)'!$C$8173:$C$8184</definedName>
    <definedName name="_98__123Graph_CCHART_2" localSheetId="81" hidden="1">'[21]Employment Data Sectors (wages)'!$C$8173:$C$8184</definedName>
    <definedName name="_98__123Graph_CCHART_2" localSheetId="101" hidden="1">'[21]Employment Data Sectors (wages)'!$C$8173:$C$8184</definedName>
    <definedName name="_98__123Graph_CCHART_2" localSheetId="108" hidden="1">'[21]Employment Data Sectors (wages)'!$C$8173:$C$8184</definedName>
    <definedName name="_98__123Graph_CCHART_2" localSheetId="115" hidden="1">'[21]Employment Data Sectors (wages)'!$C$8173:$C$8184</definedName>
    <definedName name="_98__123Graph_CCHART_2" localSheetId="7" hidden="1">'[21]Employment Data Sectors (wages)'!$C$8173:$C$8184</definedName>
    <definedName name="_98__123Graph_CCHART_2" localSheetId="8" hidden="1">'[21]Employment Data Sectors (wages)'!$C$8173:$C$8184</definedName>
    <definedName name="_98__123Graph_CCHART_2" localSheetId="9" hidden="1">'[21]Employment Data Sectors (wages)'!$C$8173:$C$8184</definedName>
    <definedName name="_98__123Graph_CCHART_2" localSheetId="10" hidden="1">'[21]Employment Data Sectors (wages)'!$C$8173:$C$8184</definedName>
    <definedName name="_98__123Graph_CCHART_2" localSheetId="19" hidden="1">'[21]Employment Data Sectors (wages)'!$C$8173:$C$8184</definedName>
    <definedName name="_98__123Graph_CCHART_2" localSheetId="21" hidden="1">'[21]Employment Data Sectors (wages)'!$C$8173:$C$8184</definedName>
    <definedName name="_98__123Graph_CCHART_2" localSheetId="23" hidden="1">'[21]Employment Data Sectors (wages)'!$C$8173:$C$8184</definedName>
    <definedName name="_98__123Graph_CCHART_2" localSheetId="24" hidden="1">'[21]Employment Data Sectors (wages)'!$C$8173:$C$8184</definedName>
    <definedName name="_98__123Graph_CCHART_2" localSheetId="25" hidden="1">'[21]Employment Data Sectors (wages)'!$C$8173:$C$8184</definedName>
    <definedName name="_98__123Graph_CCHART_2" localSheetId="27" hidden="1">'[21]Employment Data Sectors (wages)'!$C$8173:$C$8184</definedName>
    <definedName name="_98__123Graph_CCHART_2" localSheetId="30" hidden="1">'[21]Employment Data Sectors (wages)'!$C$8173:$C$8184</definedName>
    <definedName name="_98__123Graph_CCHART_2" localSheetId="33" hidden="1">'[21]Employment Data Sectors (wages)'!$C$8173:$C$8184</definedName>
    <definedName name="_98__123Graph_CCHART_2" localSheetId="34" hidden="1">'[21]Employment Data Sectors (wages)'!$C$8173:$C$8184</definedName>
    <definedName name="_98__123Graph_CCHART_2" localSheetId="35" hidden="1">'[21]Employment Data Sectors (wages)'!$C$8173:$C$8184</definedName>
    <definedName name="_98__123Graph_CCHART_2" localSheetId="36" hidden="1">'[21]Employment Data Sectors (wages)'!$C$8173:$C$8184</definedName>
    <definedName name="_98__123Graph_CCHART_2" localSheetId="37" hidden="1">'[21]Employment Data Sectors (wages)'!$C$8173:$C$8184</definedName>
    <definedName name="_98__123Graph_CCHART_2" localSheetId="38" hidden="1">'[21]Employment Data Sectors (wages)'!$C$8173:$C$8184</definedName>
    <definedName name="_98__123Graph_CCHART_2" localSheetId="39" hidden="1">'[21]Employment Data Sectors (wages)'!$C$8173:$C$8184</definedName>
    <definedName name="_98__123Graph_CCHART_2" localSheetId="40" hidden="1">'[21]Employment Data Sectors (wages)'!$C$8173:$C$8184</definedName>
    <definedName name="_98__123Graph_CCHART_2" hidden="1">'[21]Employment Data Sectors (wages)'!$C$8173:$C$8184</definedName>
    <definedName name="_cp10" localSheetId="50" hidden="1">{"'előző év december'!$A$2:$CP$214"}</definedName>
    <definedName name="_cp10" localSheetId="56" hidden="1">{"'előző év december'!$A$2:$CP$214"}</definedName>
    <definedName name="_cp10" localSheetId="57" hidden="1">{"'előző év december'!$A$2:$CP$214"}</definedName>
    <definedName name="_cp10" localSheetId="58" hidden="1">{"'előző év december'!$A$2:$CP$214"}</definedName>
    <definedName name="_cp10" localSheetId="59" hidden="1">{"'előző év december'!$A$2:$CP$214"}</definedName>
    <definedName name="_cp10" localSheetId="62" hidden="1">{"'előző év december'!$A$2:$CP$214"}</definedName>
    <definedName name="_cp10" localSheetId="70" hidden="1">{"'előző év december'!$A$2:$CP$214"}</definedName>
    <definedName name="_cp10" localSheetId="71" hidden="1">{"'előző év december'!$A$2:$CP$214"}</definedName>
    <definedName name="_cp10" localSheetId="72" hidden="1">{"'előző év december'!$A$2:$CP$214"}</definedName>
    <definedName name="_cp10" localSheetId="73" hidden="1">{"'előző év december'!$A$2:$CP$214"}</definedName>
    <definedName name="_cp10" localSheetId="74" hidden="1">{"'előző év december'!$A$2:$CP$214"}</definedName>
    <definedName name="_cp10" localSheetId="79" hidden="1">{"'előző év december'!$A$2:$CP$214"}</definedName>
    <definedName name="_cp10" localSheetId="80" hidden="1">{"'előző év december'!$A$2:$CP$214"}</definedName>
    <definedName name="_cp10" localSheetId="81" hidden="1">{"'előző év december'!$A$2:$CP$214"}</definedName>
    <definedName name="_cp10" localSheetId="97" hidden="1">{"'előző év december'!$A$2:$CP$214"}</definedName>
    <definedName name="_cp10" localSheetId="98" hidden="1">{"'előző év december'!$A$2:$CP$214"}</definedName>
    <definedName name="_cp10" localSheetId="99" hidden="1">{"'előző év december'!$A$2:$CP$214"}</definedName>
    <definedName name="_cp10" localSheetId="100" hidden="1">{"'előző év december'!$A$2:$CP$214"}</definedName>
    <definedName name="_cp10" localSheetId="101" hidden="1">{"'előző év december'!$A$2:$CP$214"}</definedName>
    <definedName name="_cp10" localSheetId="108" hidden="1">{"'előző év december'!$A$2:$CP$214"}</definedName>
    <definedName name="_cp10" localSheetId="115" hidden="1">{"'előző év december'!$A$2:$CP$214"}</definedName>
    <definedName name="_cp10" localSheetId="5" hidden="1">{"'előző év december'!$A$2:$CP$214"}</definedName>
    <definedName name="_cp10" localSheetId="7" hidden="1">{"'előző év december'!$A$2:$CP$214"}</definedName>
    <definedName name="_cp10" localSheetId="8" hidden="1">{"'előző év december'!$A$2:$CP$214"}</definedName>
    <definedName name="_cp10" localSheetId="9" hidden="1">{"'előző év december'!$A$2:$CP$214"}</definedName>
    <definedName name="_cp10" localSheetId="10" hidden="1">{"'előző év december'!$A$2:$CP$214"}</definedName>
    <definedName name="_cp10" localSheetId="14" hidden="1">{"'előző év december'!$A$2:$CP$214"}</definedName>
    <definedName name="_cp10" localSheetId="18" hidden="1">{"'előző év december'!$A$2:$CP$214"}</definedName>
    <definedName name="_cp10" localSheetId="19" hidden="1">{"'előző év december'!$A$2:$CP$214"}</definedName>
    <definedName name="_cp10" localSheetId="21" hidden="1">{"'előző év december'!$A$2:$CP$214"}</definedName>
    <definedName name="_cp10" localSheetId="23" hidden="1">{"'előző év december'!$A$2:$CP$214"}</definedName>
    <definedName name="_cp10" localSheetId="24" hidden="1">{"'előző év december'!$A$2:$CP$214"}</definedName>
    <definedName name="_cp10" localSheetId="25" hidden="1">{"'előző év december'!$A$2:$CP$214"}</definedName>
    <definedName name="_cp10" localSheetId="27" hidden="1">{"'előző év december'!$A$2:$CP$214"}</definedName>
    <definedName name="_cp10" localSheetId="30" hidden="1">{"'előző év december'!$A$2:$CP$214"}</definedName>
    <definedName name="_cp10" localSheetId="33" hidden="1">{"'előző év december'!$A$2:$CP$214"}</definedName>
    <definedName name="_cp10" localSheetId="34" hidden="1">{"'előző év december'!$A$2:$CP$214"}</definedName>
    <definedName name="_cp10" localSheetId="35" hidden="1">{"'előző év december'!$A$2:$CP$214"}</definedName>
    <definedName name="_cp10" localSheetId="36" hidden="1">{"'előző év december'!$A$2:$CP$214"}</definedName>
    <definedName name="_cp10" localSheetId="37" hidden="1">{"'előző év december'!$A$2:$CP$214"}</definedName>
    <definedName name="_cp10" localSheetId="38" hidden="1">{"'előző év december'!$A$2:$CP$214"}</definedName>
    <definedName name="_cp10" localSheetId="39" hidden="1">{"'előző év december'!$A$2:$CP$214"}</definedName>
    <definedName name="_cp10" localSheetId="40" hidden="1">{"'előző év december'!$A$2:$CP$214"}</definedName>
    <definedName name="_cp10" hidden="1">{"'előző év december'!$A$2:$CP$214"}</definedName>
    <definedName name="_cp11" localSheetId="50" hidden="1">{"'előző év december'!$A$2:$CP$214"}</definedName>
    <definedName name="_cp11" localSheetId="56" hidden="1">{"'előző év december'!$A$2:$CP$214"}</definedName>
    <definedName name="_cp11" localSheetId="57" hidden="1">{"'előző év december'!$A$2:$CP$214"}</definedName>
    <definedName name="_cp11" localSheetId="58" hidden="1">{"'előző év december'!$A$2:$CP$214"}</definedName>
    <definedName name="_cp11" localSheetId="59" hidden="1">{"'előző év december'!$A$2:$CP$214"}</definedName>
    <definedName name="_cp11" localSheetId="62" hidden="1">{"'előző év december'!$A$2:$CP$214"}</definedName>
    <definedName name="_cp11" localSheetId="70" hidden="1">{"'előző év december'!$A$2:$CP$214"}</definedName>
    <definedName name="_cp11" localSheetId="71" hidden="1">{"'előző év december'!$A$2:$CP$214"}</definedName>
    <definedName name="_cp11" localSheetId="72" hidden="1">{"'előző év december'!$A$2:$CP$214"}</definedName>
    <definedName name="_cp11" localSheetId="73" hidden="1">{"'előző év december'!$A$2:$CP$214"}</definedName>
    <definedName name="_cp11" localSheetId="74" hidden="1">{"'előző év december'!$A$2:$CP$214"}</definedName>
    <definedName name="_cp11" localSheetId="79" hidden="1">{"'előző év december'!$A$2:$CP$214"}</definedName>
    <definedName name="_cp11" localSheetId="80" hidden="1">{"'előző év december'!$A$2:$CP$214"}</definedName>
    <definedName name="_cp11" localSheetId="81" hidden="1">{"'előző év december'!$A$2:$CP$214"}</definedName>
    <definedName name="_cp11" localSheetId="97" hidden="1">{"'előző év december'!$A$2:$CP$214"}</definedName>
    <definedName name="_cp11" localSheetId="98" hidden="1">{"'előző év december'!$A$2:$CP$214"}</definedName>
    <definedName name="_cp11" localSheetId="99" hidden="1">{"'előző év december'!$A$2:$CP$214"}</definedName>
    <definedName name="_cp11" localSheetId="100" hidden="1">{"'előző év december'!$A$2:$CP$214"}</definedName>
    <definedName name="_cp11" localSheetId="101" hidden="1">{"'előző év december'!$A$2:$CP$214"}</definedName>
    <definedName name="_cp11" localSheetId="108" hidden="1">{"'előző év december'!$A$2:$CP$214"}</definedName>
    <definedName name="_cp11" localSheetId="115" hidden="1">{"'előző év december'!$A$2:$CP$214"}</definedName>
    <definedName name="_cp11" localSheetId="5" hidden="1">{"'előző év december'!$A$2:$CP$214"}</definedName>
    <definedName name="_cp11" localSheetId="7" hidden="1">{"'előző év december'!$A$2:$CP$214"}</definedName>
    <definedName name="_cp11" localSheetId="8" hidden="1">{"'előző év december'!$A$2:$CP$214"}</definedName>
    <definedName name="_cp11" localSheetId="9" hidden="1">{"'előző év december'!$A$2:$CP$214"}</definedName>
    <definedName name="_cp11" localSheetId="10" hidden="1">{"'előző év december'!$A$2:$CP$214"}</definedName>
    <definedName name="_cp11" localSheetId="14" hidden="1">{"'előző év december'!$A$2:$CP$214"}</definedName>
    <definedName name="_cp11" localSheetId="18" hidden="1">{"'előző év december'!$A$2:$CP$214"}</definedName>
    <definedName name="_cp11" localSheetId="19" hidden="1">{"'előző év december'!$A$2:$CP$214"}</definedName>
    <definedName name="_cp11" localSheetId="21" hidden="1">{"'előző év december'!$A$2:$CP$214"}</definedName>
    <definedName name="_cp11" localSheetId="23" hidden="1">{"'előző év december'!$A$2:$CP$214"}</definedName>
    <definedName name="_cp11" localSheetId="24" hidden="1">{"'előző év december'!$A$2:$CP$214"}</definedName>
    <definedName name="_cp11" localSheetId="25" hidden="1">{"'előző év december'!$A$2:$CP$214"}</definedName>
    <definedName name="_cp11" localSheetId="27" hidden="1">{"'előző év december'!$A$2:$CP$214"}</definedName>
    <definedName name="_cp11" localSheetId="30" hidden="1">{"'előző év december'!$A$2:$CP$214"}</definedName>
    <definedName name="_cp11" localSheetId="33" hidden="1">{"'előző év december'!$A$2:$CP$214"}</definedName>
    <definedName name="_cp11" localSheetId="34" hidden="1">{"'előző év december'!$A$2:$CP$214"}</definedName>
    <definedName name="_cp11" localSheetId="35" hidden="1">{"'előző év december'!$A$2:$CP$214"}</definedName>
    <definedName name="_cp11" localSheetId="36" hidden="1">{"'előző év december'!$A$2:$CP$214"}</definedName>
    <definedName name="_cp11" localSheetId="37" hidden="1">{"'előző év december'!$A$2:$CP$214"}</definedName>
    <definedName name="_cp11" localSheetId="38" hidden="1">{"'előző év december'!$A$2:$CP$214"}</definedName>
    <definedName name="_cp11" localSheetId="39" hidden="1">{"'előző év december'!$A$2:$CP$214"}</definedName>
    <definedName name="_cp11" localSheetId="40" hidden="1">{"'előző év december'!$A$2:$CP$214"}</definedName>
    <definedName name="_cp11" hidden="1">{"'előző év december'!$A$2:$CP$214"}</definedName>
    <definedName name="_cp2" localSheetId="50" hidden="1">{"'előző év december'!$A$2:$CP$214"}</definedName>
    <definedName name="_cp2" localSheetId="56" hidden="1">{"'előző év december'!$A$2:$CP$214"}</definedName>
    <definedName name="_cp2" localSheetId="57" hidden="1">{"'előző év december'!$A$2:$CP$214"}</definedName>
    <definedName name="_cp2" localSheetId="58" hidden="1">{"'előző év december'!$A$2:$CP$214"}</definedName>
    <definedName name="_cp2" localSheetId="59" hidden="1">{"'előző év december'!$A$2:$CP$214"}</definedName>
    <definedName name="_cp2" localSheetId="62" hidden="1">{"'előző év december'!$A$2:$CP$214"}</definedName>
    <definedName name="_cp2" localSheetId="70" hidden="1">{"'előző év december'!$A$2:$CP$214"}</definedName>
    <definedName name="_cp2" localSheetId="71" hidden="1">{"'előző év december'!$A$2:$CP$214"}</definedName>
    <definedName name="_cp2" localSheetId="72" hidden="1">{"'előző év december'!$A$2:$CP$214"}</definedName>
    <definedName name="_cp2" localSheetId="73" hidden="1">{"'előző év december'!$A$2:$CP$214"}</definedName>
    <definedName name="_cp2" localSheetId="74" hidden="1">{"'előző év december'!$A$2:$CP$214"}</definedName>
    <definedName name="_cp2" localSheetId="79" hidden="1">{"'előző év december'!$A$2:$CP$214"}</definedName>
    <definedName name="_cp2" localSheetId="80" hidden="1">{"'előző év december'!$A$2:$CP$214"}</definedName>
    <definedName name="_cp2" localSheetId="81" hidden="1">{"'előző év december'!$A$2:$CP$214"}</definedName>
    <definedName name="_cp2" localSheetId="97" hidden="1">{"'előző év december'!$A$2:$CP$214"}</definedName>
    <definedName name="_cp2" localSheetId="98" hidden="1">{"'előző év december'!$A$2:$CP$214"}</definedName>
    <definedName name="_cp2" localSheetId="99" hidden="1">{"'előző év december'!$A$2:$CP$214"}</definedName>
    <definedName name="_cp2" localSheetId="100" hidden="1">{"'előző év december'!$A$2:$CP$214"}</definedName>
    <definedName name="_cp2" localSheetId="101" hidden="1">{"'előző év december'!$A$2:$CP$214"}</definedName>
    <definedName name="_cp2" localSheetId="108" hidden="1">{"'előző év december'!$A$2:$CP$214"}</definedName>
    <definedName name="_cp2" localSheetId="115" hidden="1">{"'előző év december'!$A$2:$CP$214"}</definedName>
    <definedName name="_cp2" localSheetId="5" hidden="1">{"'előző év december'!$A$2:$CP$214"}</definedName>
    <definedName name="_cp2" localSheetId="7" hidden="1">{"'előző év december'!$A$2:$CP$214"}</definedName>
    <definedName name="_cp2" localSheetId="8" hidden="1">{"'előző év december'!$A$2:$CP$214"}</definedName>
    <definedName name="_cp2" localSheetId="9" hidden="1">{"'előző év december'!$A$2:$CP$214"}</definedName>
    <definedName name="_cp2" localSheetId="10" hidden="1">{"'előző év december'!$A$2:$CP$214"}</definedName>
    <definedName name="_cp2" localSheetId="14" hidden="1">{"'előző év december'!$A$2:$CP$214"}</definedName>
    <definedName name="_cp2" localSheetId="18" hidden="1">{"'előző év december'!$A$2:$CP$214"}</definedName>
    <definedName name="_cp2" localSheetId="19" hidden="1">{"'előző év december'!$A$2:$CP$214"}</definedName>
    <definedName name="_cp2" localSheetId="21" hidden="1">{"'előző év december'!$A$2:$CP$214"}</definedName>
    <definedName name="_cp2" localSheetId="23" hidden="1">{"'előző év december'!$A$2:$CP$214"}</definedName>
    <definedName name="_cp2" localSheetId="24" hidden="1">{"'előző év december'!$A$2:$CP$214"}</definedName>
    <definedName name="_cp2" localSheetId="25" hidden="1">{"'előző év december'!$A$2:$CP$214"}</definedName>
    <definedName name="_cp2" localSheetId="27" hidden="1">{"'előző év december'!$A$2:$CP$214"}</definedName>
    <definedName name="_cp2" localSheetId="30" hidden="1">{"'előző év december'!$A$2:$CP$214"}</definedName>
    <definedName name="_cp2" localSheetId="33" hidden="1">{"'előző év december'!$A$2:$CP$214"}</definedName>
    <definedName name="_cp2" localSheetId="34" hidden="1">{"'előző év december'!$A$2:$CP$214"}</definedName>
    <definedName name="_cp2" localSheetId="35" hidden="1">{"'előző év december'!$A$2:$CP$214"}</definedName>
    <definedName name="_cp2" localSheetId="36" hidden="1">{"'előző év december'!$A$2:$CP$214"}</definedName>
    <definedName name="_cp2" localSheetId="37" hidden="1">{"'előző év december'!$A$2:$CP$214"}</definedName>
    <definedName name="_cp2" localSheetId="38" hidden="1">{"'előző év december'!$A$2:$CP$214"}</definedName>
    <definedName name="_cp2" localSheetId="39" hidden="1">{"'előző év december'!$A$2:$CP$214"}</definedName>
    <definedName name="_cp2" localSheetId="40" hidden="1">{"'előző év december'!$A$2:$CP$214"}</definedName>
    <definedName name="_cp2" hidden="1">{"'előző év december'!$A$2:$CP$214"}</definedName>
    <definedName name="_cp3" localSheetId="50" hidden="1">{"'előző év december'!$A$2:$CP$214"}</definedName>
    <definedName name="_cp3" localSheetId="56" hidden="1">{"'előző év december'!$A$2:$CP$214"}</definedName>
    <definedName name="_cp3" localSheetId="57" hidden="1">{"'előző év december'!$A$2:$CP$214"}</definedName>
    <definedName name="_cp3" localSheetId="58" hidden="1">{"'előző év december'!$A$2:$CP$214"}</definedName>
    <definedName name="_cp3" localSheetId="59" hidden="1">{"'előző év december'!$A$2:$CP$214"}</definedName>
    <definedName name="_cp3" localSheetId="62" hidden="1">{"'előző év december'!$A$2:$CP$214"}</definedName>
    <definedName name="_cp3" localSheetId="70" hidden="1">{"'előző év december'!$A$2:$CP$214"}</definedName>
    <definedName name="_cp3" localSheetId="71" hidden="1">{"'előző év december'!$A$2:$CP$214"}</definedName>
    <definedName name="_cp3" localSheetId="72" hidden="1">{"'előző év december'!$A$2:$CP$214"}</definedName>
    <definedName name="_cp3" localSheetId="73" hidden="1">{"'előző év december'!$A$2:$CP$214"}</definedName>
    <definedName name="_cp3" localSheetId="74" hidden="1">{"'előző év december'!$A$2:$CP$214"}</definedName>
    <definedName name="_cp3" localSheetId="79" hidden="1">{"'előző év december'!$A$2:$CP$214"}</definedName>
    <definedName name="_cp3" localSheetId="80" hidden="1">{"'előző év december'!$A$2:$CP$214"}</definedName>
    <definedName name="_cp3" localSheetId="81" hidden="1">{"'előző év december'!$A$2:$CP$214"}</definedName>
    <definedName name="_cp3" localSheetId="97" hidden="1">{"'előző év december'!$A$2:$CP$214"}</definedName>
    <definedName name="_cp3" localSheetId="98" hidden="1">{"'előző év december'!$A$2:$CP$214"}</definedName>
    <definedName name="_cp3" localSheetId="99" hidden="1">{"'előző év december'!$A$2:$CP$214"}</definedName>
    <definedName name="_cp3" localSheetId="100" hidden="1">{"'előző év december'!$A$2:$CP$214"}</definedName>
    <definedName name="_cp3" localSheetId="101" hidden="1">{"'előző év december'!$A$2:$CP$214"}</definedName>
    <definedName name="_cp3" localSheetId="108" hidden="1">{"'előző év december'!$A$2:$CP$214"}</definedName>
    <definedName name="_cp3" localSheetId="115" hidden="1">{"'előző év december'!$A$2:$CP$214"}</definedName>
    <definedName name="_cp3" localSheetId="5" hidden="1">{"'előző év december'!$A$2:$CP$214"}</definedName>
    <definedName name="_cp3" localSheetId="7" hidden="1">{"'előző év december'!$A$2:$CP$214"}</definedName>
    <definedName name="_cp3" localSheetId="8" hidden="1">{"'előző év december'!$A$2:$CP$214"}</definedName>
    <definedName name="_cp3" localSheetId="9" hidden="1">{"'előző év december'!$A$2:$CP$214"}</definedName>
    <definedName name="_cp3" localSheetId="10" hidden="1">{"'előző év december'!$A$2:$CP$214"}</definedName>
    <definedName name="_cp3" localSheetId="14" hidden="1">{"'előző év december'!$A$2:$CP$214"}</definedName>
    <definedName name="_cp3" localSheetId="18" hidden="1">{"'előző év december'!$A$2:$CP$214"}</definedName>
    <definedName name="_cp3" localSheetId="19" hidden="1">{"'előző év december'!$A$2:$CP$214"}</definedName>
    <definedName name="_cp3" localSheetId="21" hidden="1">{"'előző év december'!$A$2:$CP$214"}</definedName>
    <definedName name="_cp3" localSheetId="23" hidden="1">{"'előző év december'!$A$2:$CP$214"}</definedName>
    <definedName name="_cp3" localSheetId="24" hidden="1">{"'előző év december'!$A$2:$CP$214"}</definedName>
    <definedName name="_cp3" localSheetId="25" hidden="1">{"'előző év december'!$A$2:$CP$214"}</definedName>
    <definedName name="_cp3" localSheetId="27" hidden="1">{"'előző év december'!$A$2:$CP$214"}</definedName>
    <definedName name="_cp3" localSheetId="30" hidden="1">{"'előző év december'!$A$2:$CP$214"}</definedName>
    <definedName name="_cp3" localSheetId="33" hidden="1">{"'előző év december'!$A$2:$CP$214"}</definedName>
    <definedName name="_cp3" localSheetId="34" hidden="1">{"'előző év december'!$A$2:$CP$214"}</definedName>
    <definedName name="_cp3" localSheetId="35" hidden="1">{"'előző év december'!$A$2:$CP$214"}</definedName>
    <definedName name="_cp3" localSheetId="36" hidden="1">{"'előző év december'!$A$2:$CP$214"}</definedName>
    <definedName name="_cp3" localSheetId="37" hidden="1">{"'előző év december'!$A$2:$CP$214"}</definedName>
    <definedName name="_cp3" localSheetId="38" hidden="1">{"'előző év december'!$A$2:$CP$214"}</definedName>
    <definedName name="_cp3" localSheetId="39" hidden="1">{"'előző év december'!$A$2:$CP$214"}</definedName>
    <definedName name="_cp3" localSheetId="40" hidden="1">{"'előző év december'!$A$2:$CP$214"}</definedName>
    <definedName name="_cp3" hidden="1">{"'előző év december'!$A$2:$CP$214"}</definedName>
    <definedName name="_cp4" localSheetId="50" hidden="1">{"'előző év december'!$A$2:$CP$214"}</definedName>
    <definedName name="_cp4" localSheetId="56" hidden="1">{"'előző év december'!$A$2:$CP$214"}</definedName>
    <definedName name="_cp4" localSheetId="57" hidden="1">{"'előző év december'!$A$2:$CP$214"}</definedName>
    <definedName name="_cp4" localSheetId="58" hidden="1">{"'előző év december'!$A$2:$CP$214"}</definedName>
    <definedName name="_cp4" localSheetId="59" hidden="1">{"'előző év december'!$A$2:$CP$214"}</definedName>
    <definedName name="_cp4" localSheetId="62" hidden="1">{"'előző év december'!$A$2:$CP$214"}</definedName>
    <definedName name="_cp4" localSheetId="70" hidden="1">{"'előző év december'!$A$2:$CP$214"}</definedName>
    <definedName name="_cp4" localSheetId="71" hidden="1">{"'előző év december'!$A$2:$CP$214"}</definedName>
    <definedName name="_cp4" localSheetId="72" hidden="1">{"'előző év december'!$A$2:$CP$214"}</definedName>
    <definedName name="_cp4" localSheetId="73" hidden="1">{"'előző év december'!$A$2:$CP$214"}</definedName>
    <definedName name="_cp4" localSheetId="74" hidden="1">{"'előző év december'!$A$2:$CP$214"}</definedName>
    <definedName name="_cp4" localSheetId="79" hidden="1">{"'előző év december'!$A$2:$CP$214"}</definedName>
    <definedName name="_cp4" localSheetId="80" hidden="1">{"'előző év december'!$A$2:$CP$214"}</definedName>
    <definedName name="_cp4" localSheetId="81" hidden="1">{"'előző év december'!$A$2:$CP$214"}</definedName>
    <definedName name="_cp4" localSheetId="97" hidden="1">{"'előző év december'!$A$2:$CP$214"}</definedName>
    <definedName name="_cp4" localSheetId="98" hidden="1">{"'előző év december'!$A$2:$CP$214"}</definedName>
    <definedName name="_cp4" localSheetId="99" hidden="1">{"'előző év december'!$A$2:$CP$214"}</definedName>
    <definedName name="_cp4" localSheetId="100" hidden="1">{"'előző év december'!$A$2:$CP$214"}</definedName>
    <definedName name="_cp4" localSheetId="101" hidden="1">{"'előző év december'!$A$2:$CP$214"}</definedName>
    <definedName name="_cp4" localSheetId="108" hidden="1">{"'előző év december'!$A$2:$CP$214"}</definedName>
    <definedName name="_cp4" localSheetId="115" hidden="1">{"'előző év december'!$A$2:$CP$214"}</definedName>
    <definedName name="_cp4" localSheetId="5" hidden="1">{"'előző év december'!$A$2:$CP$214"}</definedName>
    <definedName name="_cp4" localSheetId="7" hidden="1">{"'előző év december'!$A$2:$CP$214"}</definedName>
    <definedName name="_cp4" localSheetId="8" hidden="1">{"'előző év december'!$A$2:$CP$214"}</definedName>
    <definedName name="_cp4" localSheetId="9" hidden="1">{"'előző év december'!$A$2:$CP$214"}</definedName>
    <definedName name="_cp4" localSheetId="10" hidden="1">{"'előző év december'!$A$2:$CP$214"}</definedName>
    <definedName name="_cp4" localSheetId="14" hidden="1">{"'előző év december'!$A$2:$CP$214"}</definedName>
    <definedName name="_cp4" localSheetId="18" hidden="1">{"'előző év december'!$A$2:$CP$214"}</definedName>
    <definedName name="_cp4" localSheetId="19" hidden="1">{"'előző év december'!$A$2:$CP$214"}</definedName>
    <definedName name="_cp4" localSheetId="21" hidden="1">{"'előző év december'!$A$2:$CP$214"}</definedName>
    <definedName name="_cp4" localSheetId="23" hidden="1">{"'előző év december'!$A$2:$CP$214"}</definedName>
    <definedName name="_cp4" localSheetId="24" hidden="1">{"'előző év december'!$A$2:$CP$214"}</definedName>
    <definedName name="_cp4" localSheetId="25" hidden="1">{"'előző év december'!$A$2:$CP$214"}</definedName>
    <definedName name="_cp4" localSheetId="27" hidden="1">{"'előző év december'!$A$2:$CP$214"}</definedName>
    <definedName name="_cp4" localSheetId="30" hidden="1">{"'előző év december'!$A$2:$CP$214"}</definedName>
    <definedName name="_cp4" localSheetId="33" hidden="1">{"'előző év december'!$A$2:$CP$214"}</definedName>
    <definedName name="_cp4" localSheetId="34" hidden="1">{"'előző év december'!$A$2:$CP$214"}</definedName>
    <definedName name="_cp4" localSheetId="35" hidden="1">{"'előző év december'!$A$2:$CP$214"}</definedName>
    <definedName name="_cp4" localSheetId="36" hidden="1">{"'előző év december'!$A$2:$CP$214"}</definedName>
    <definedName name="_cp4" localSheetId="37" hidden="1">{"'előző év december'!$A$2:$CP$214"}</definedName>
    <definedName name="_cp4" localSheetId="38" hidden="1">{"'előző év december'!$A$2:$CP$214"}</definedName>
    <definedName name="_cp4" localSheetId="39" hidden="1">{"'előző év december'!$A$2:$CP$214"}</definedName>
    <definedName name="_cp4" localSheetId="40" hidden="1">{"'előző év december'!$A$2:$CP$214"}</definedName>
    <definedName name="_cp4" hidden="1">{"'előző év december'!$A$2:$CP$214"}</definedName>
    <definedName name="_cp5" localSheetId="50" hidden="1">{"'előző év december'!$A$2:$CP$214"}</definedName>
    <definedName name="_cp5" localSheetId="56" hidden="1">{"'előző év december'!$A$2:$CP$214"}</definedName>
    <definedName name="_cp5" localSheetId="57" hidden="1">{"'előző év december'!$A$2:$CP$214"}</definedName>
    <definedName name="_cp5" localSheetId="58" hidden="1">{"'előző év december'!$A$2:$CP$214"}</definedName>
    <definedName name="_cp5" localSheetId="59" hidden="1">{"'előző év december'!$A$2:$CP$214"}</definedName>
    <definedName name="_cp5" localSheetId="62" hidden="1">{"'előző év december'!$A$2:$CP$214"}</definedName>
    <definedName name="_cp5" localSheetId="70" hidden="1">{"'előző év december'!$A$2:$CP$214"}</definedName>
    <definedName name="_cp5" localSheetId="71" hidden="1">{"'előző év december'!$A$2:$CP$214"}</definedName>
    <definedName name="_cp5" localSheetId="72" hidden="1">{"'előző év december'!$A$2:$CP$214"}</definedName>
    <definedName name="_cp5" localSheetId="73" hidden="1">{"'előző év december'!$A$2:$CP$214"}</definedName>
    <definedName name="_cp5" localSheetId="74" hidden="1">{"'előző év december'!$A$2:$CP$214"}</definedName>
    <definedName name="_cp5" localSheetId="79" hidden="1">{"'előző év december'!$A$2:$CP$214"}</definedName>
    <definedName name="_cp5" localSheetId="80" hidden="1">{"'előző év december'!$A$2:$CP$214"}</definedName>
    <definedName name="_cp5" localSheetId="81" hidden="1">{"'előző év december'!$A$2:$CP$214"}</definedName>
    <definedName name="_cp5" localSheetId="97" hidden="1">{"'előző év december'!$A$2:$CP$214"}</definedName>
    <definedName name="_cp5" localSheetId="98" hidden="1">{"'előző év december'!$A$2:$CP$214"}</definedName>
    <definedName name="_cp5" localSheetId="99" hidden="1">{"'előző év december'!$A$2:$CP$214"}</definedName>
    <definedName name="_cp5" localSheetId="100" hidden="1">{"'előző év december'!$A$2:$CP$214"}</definedName>
    <definedName name="_cp5" localSheetId="101" hidden="1">{"'előző év december'!$A$2:$CP$214"}</definedName>
    <definedName name="_cp5" localSheetId="108" hidden="1">{"'előző év december'!$A$2:$CP$214"}</definedName>
    <definedName name="_cp5" localSheetId="115" hidden="1">{"'előző év december'!$A$2:$CP$214"}</definedName>
    <definedName name="_cp5" localSheetId="5" hidden="1">{"'előző év december'!$A$2:$CP$214"}</definedName>
    <definedName name="_cp5" localSheetId="7" hidden="1">{"'előző év december'!$A$2:$CP$214"}</definedName>
    <definedName name="_cp5" localSheetId="8" hidden="1">{"'előző év december'!$A$2:$CP$214"}</definedName>
    <definedName name="_cp5" localSheetId="9" hidden="1">{"'előző év december'!$A$2:$CP$214"}</definedName>
    <definedName name="_cp5" localSheetId="10" hidden="1">{"'előző év december'!$A$2:$CP$214"}</definedName>
    <definedName name="_cp5" localSheetId="14" hidden="1">{"'előző év december'!$A$2:$CP$214"}</definedName>
    <definedName name="_cp5" localSheetId="18" hidden="1">{"'előző év december'!$A$2:$CP$214"}</definedName>
    <definedName name="_cp5" localSheetId="19" hidden="1">{"'előző év december'!$A$2:$CP$214"}</definedName>
    <definedName name="_cp5" localSheetId="21" hidden="1">{"'előző év december'!$A$2:$CP$214"}</definedName>
    <definedName name="_cp5" localSheetId="23" hidden="1">{"'előző év december'!$A$2:$CP$214"}</definedName>
    <definedName name="_cp5" localSheetId="24" hidden="1">{"'előző év december'!$A$2:$CP$214"}</definedName>
    <definedName name="_cp5" localSheetId="25" hidden="1">{"'előző év december'!$A$2:$CP$214"}</definedName>
    <definedName name="_cp5" localSheetId="27" hidden="1">{"'előző év december'!$A$2:$CP$214"}</definedName>
    <definedName name="_cp5" localSheetId="30" hidden="1">{"'előző év december'!$A$2:$CP$214"}</definedName>
    <definedName name="_cp5" localSheetId="33" hidden="1">{"'előző év december'!$A$2:$CP$214"}</definedName>
    <definedName name="_cp5" localSheetId="34" hidden="1">{"'előző év december'!$A$2:$CP$214"}</definedName>
    <definedName name="_cp5" localSheetId="35" hidden="1">{"'előző év december'!$A$2:$CP$214"}</definedName>
    <definedName name="_cp5" localSheetId="36" hidden="1">{"'előző év december'!$A$2:$CP$214"}</definedName>
    <definedName name="_cp5" localSheetId="37" hidden="1">{"'előző év december'!$A$2:$CP$214"}</definedName>
    <definedName name="_cp5" localSheetId="38" hidden="1">{"'előző év december'!$A$2:$CP$214"}</definedName>
    <definedName name="_cp5" localSheetId="39" hidden="1">{"'előző év december'!$A$2:$CP$214"}</definedName>
    <definedName name="_cp5" localSheetId="40" hidden="1">{"'előző év december'!$A$2:$CP$214"}</definedName>
    <definedName name="_cp5" hidden="1">{"'előző év december'!$A$2:$CP$214"}</definedName>
    <definedName name="_cp7" localSheetId="50" hidden="1">{"'előző év december'!$A$2:$CP$214"}</definedName>
    <definedName name="_cp7" localSheetId="56" hidden="1">{"'előző év december'!$A$2:$CP$214"}</definedName>
    <definedName name="_cp7" localSheetId="57" hidden="1">{"'előző év december'!$A$2:$CP$214"}</definedName>
    <definedName name="_cp7" localSheetId="58" hidden="1">{"'előző év december'!$A$2:$CP$214"}</definedName>
    <definedName name="_cp7" localSheetId="59" hidden="1">{"'előző év december'!$A$2:$CP$214"}</definedName>
    <definedName name="_cp7" localSheetId="62" hidden="1">{"'előző év december'!$A$2:$CP$214"}</definedName>
    <definedName name="_cp7" localSheetId="70" hidden="1">{"'előző év december'!$A$2:$CP$214"}</definedName>
    <definedName name="_cp7" localSheetId="71" hidden="1">{"'előző év december'!$A$2:$CP$214"}</definedName>
    <definedName name="_cp7" localSheetId="72" hidden="1">{"'előző év december'!$A$2:$CP$214"}</definedName>
    <definedName name="_cp7" localSheetId="73" hidden="1">{"'előző év december'!$A$2:$CP$214"}</definedName>
    <definedName name="_cp7" localSheetId="74" hidden="1">{"'előző év december'!$A$2:$CP$214"}</definedName>
    <definedName name="_cp7" localSheetId="79" hidden="1">{"'előző év december'!$A$2:$CP$214"}</definedName>
    <definedName name="_cp7" localSheetId="80" hidden="1">{"'előző év december'!$A$2:$CP$214"}</definedName>
    <definedName name="_cp7" localSheetId="81" hidden="1">{"'előző év december'!$A$2:$CP$214"}</definedName>
    <definedName name="_cp7" localSheetId="97" hidden="1">{"'előző év december'!$A$2:$CP$214"}</definedName>
    <definedName name="_cp7" localSheetId="98" hidden="1">{"'előző év december'!$A$2:$CP$214"}</definedName>
    <definedName name="_cp7" localSheetId="99" hidden="1">{"'előző év december'!$A$2:$CP$214"}</definedName>
    <definedName name="_cp7" localSheetId="100" hidden="1">{"'előző év december'!$A$2:$CP$214"}</definedName>
    <definedName name="_cp7" localSheetId="101" hidden="1">{"'előző év december'!$A$2:$CP$214"}</definedName>
    <definedName name="_cp7" localSheetId="108" hidden="1">{"'előző év december'!$A$2:$CP$214"}</definedName>
    <definedName name="_cp7" localSheetId="115" hidden="1">{"'előző év december'!$A$2:$CP$214"}</definedName>
    <definedName name="_cp7" localSheetId="5" hidden="1">{"'előző év december'!$A$2:$CP$214"}</definedName>
    <definedName name="_cp7" localSheetId="7" hidden="1">{"'előző év december'!$A$2:$CP$214"}</definedName>
    <definedName name="_cp7" localSheetId="8" hidden="1">{"'előző év december'!$A$2:$CP$214"}</definedName>
    <definedName name="_cp7" localSheetId="9" hidden="1">{"'előző év december'!$A$2:$CP$214"}</definedName>
    <definedName name="_cp7" localSheetId="10" hidden="1">{"'előző év december'!$A$2:$CP$214"}</definedName>
    <definedName name="_cp7" localSheetId="14" hidden="1">{"'előző év december'!$A$2:$CP$214"}</definedName>
    <definedName name="_cp7" localSheetId="18" hidden="1">{"'előző év december'!$A$2:$CP$214"}</definedName>
    <definedName name="_cp7" localSheetId="19" hidden="1">{"'előző év december'!$A$2:$CP$214"}</definedName>
    <definedName name="_cp7" localSheetId="21" hidden="1">{"'előző év december'!$A$2:$CP$214"}</definedName>
    <definedName name="_cp7" localSheetId="23" hidden="1">{"'előző év december'!$A$2:$CP$214"}</definedName>
    <definedName name="_cp7" localSheetId="24" hidden="1">{"'előző év december'!$A$2:$CP$214"}</definedName>
    <definedName name="_cp7" localSheetId="25" hidden="1">{"'előző év december'!$A$2:$CP$214"}</definedName>
    <definedName name="_cp7" localSheetId="27" hidden="1">{"'előző év december'!$A$2:$CP$214"}</definedName>
    <definedName name="_cp7" localSheetId="30" hidden="1">{"'előző év december'!$A$2:$CP$214"}</definedName>
    <definedName name="_cp7" localSheetId="33" hidden="1">{"'előző év december'!$A$2:$CP$214"}</definedName>
    <definedName name="_cp7" localSheetId="34" hidden="1">{"'előző év december'!$A$2:$CP$214"}</definedName>
    <definedName name="_cp7" localSheetId="35" hidden="1">{"'előző év december'!$A$2:$CP$214"}</definedName>
    <definedName name="_cp7" localSheetId="36" hidden="1">{"'előző év december'!$A$2:$CP$214"}</definedName>
    <definedName name="_cp7" localSheetId="37" hidden="1">{"'előző év december'!$A$2:$CP$214"}</definedName>
    <definedName name="_cp7" localSheetId="38" hidden="1">{"'előző év december'!$A$2:$CP$214"}</definedName>
    <definedName name="_cp7" localSheetId="39" hidden="1">{"'előző év december'!$A$2:$CP$214"}</definedName>
    <definedName name="_cp7" localSheetId="40" hidden="1">{"'előző év december'!$A$2:$CP$214"}</definedName>
    <definedName name="_cp7" hidden="1">{"'előző év december'!$A$2:$CP$214"}</definedName>
    <definedName name="_cp8" localSheetId="50" hidden="1">{"'előző év december'!$A$2:$CP$214"}</definedName>
    <definedName name="_cp8" localSheetId="56" hidden="1">{"'előző év december'!$A$2:$CP$214"}</definedName>
    <definedName name="_cp8" localSheetId="57" hidden="1">{"'előző év december'!$A$2:$CP$214"}</definedName>
    <definedName name="_cp8" localSheetId="58" hidden="1">{"'előző év december'!$A$2:$CP$214"}</definedName>
    <definedName name="_cp8" localSheetId="59" hidden="1">{"'előző év december'!$A$2:$CP$214"}</definedName>
    <definedName name="_cp8" localSheetId="62" hidden="1">{"'előző év december'!$A$2:$CP$214"}</definedName>
    <definedName name="_cp8" localSheetId="70" hidden="1">{"'előző év december'!$A$2:$CP$214"}</definedName>
    <definedName name="_cp8" localSheetId="71" hidden="1">{"'előző év december'!$A$2:$CP$214"}</definedName>
    <definedName name="_cp8" localSheetId="72" hidden="1">{"'előző év december'!$A$2:$CP$214"}</definedName>
    <definedName name="_cp8" localSheetId="73" hidden="1">{"'előző év december'!$A$2:$CP$214"}</definedName>
    <definedName name="_cp8" localSheetId="74" hidden="1">{"'előző év december'!$A$2:$CP$214"}</definedName>
    <definedName name="_cp8" localSheetId="79" hidden="1">{"'előző év december'!$A$2:$CP$214"}</definedName>
    <definedName name="_cp8" localSheetId="80" hidden="1">{"'előző év december'!$A$2:$CP$214"}</definedName>
    <definedName name="_cp8" localSheetId="81" hidden="1">{"'előző év december'!$A$2:$CP$214"}</definedName>
    <definedName name="_cp8" localSheetId="97" hidden="1">{"'előző év december'!$A$2:$CP$214"}</definedName>
    <definedName name="_cp8" localSheetId="98" hidden="1">{"'előző év december'!$A$2:$CP$214"}</definedName>
    <definedName name="_cp8" localSheetId="99" hidden="1">{"'előző év december'!$A$2:$CP$214"}</definedName>
    <definedName name="_cp8" localSheetId="100" hidden="1">{"'előző év december'!$A$2:$CP$214"}</definedName>
    <definedName name="_cp8" localSheetId="101" hidden="1">{"'előző év december'!$A$2:$CP$214"}</definedName>
    <definedName name="_cp8" localSheetId="108" hidden="1">{"'előző év december'!$A$2:$CP$214"}</definedName>
    <definedName name="_cp8" localSheetId="115" hidden="1">{"'előző év december'!$A$2:$CP$214"}</definedName>
    <definedName name="_cp8" localSheetId="5" hidden="1">{"'előző év december'!$A$2:$CP$214"}</definedName>
    <definedName name="_cp8" localSheetId="7" hidden="1">{"'előző év december'!$A$2:$CP$214"}</definedName>
    <definedName name="_cp8" localSheetId="8" hidden="1">{"'előző év december'!$A$2:$CP$214"}</definedName>
    <definedName name="_cp8" localSheetId="9" hidden="1">{"'előző év december'!$A$2:$CP$214"}</definedName>
    <definedName name="_cp8" localSheetId="10" hidden="1">{"'előző év december'!$A$2:$CP$214"}</definedName>
    <definedName name="_cp8" localSheetId="14" hidden="1">{"'előző év december'!$A$2:$CP$214"}</definedName>
    <definedName name="_cp8" localSheetId="18" hidden="1">{"'előző év december'!$A$2:$CP$214"}</definedName>
    <definedName name="_cp8" localSheetId="19" hidden="1">{"'előző év december'!$A$2:$CP$214"}</definedName>
    <definedName name="_cp8" localSheetId="21" hidden="1">{"'előző év december'!$A$2:$CP$214"}</definedName>
    <definedName name="_cp8" localSheetId="23" hidden="1">{"'előző év december'!$A$2:$CP$214"}</definedName>
    <definedName name="_cp8" localSheetId="24" hidden="1">{"'előző év december'!$A$2:$CP$214"}</definedName>
    <definedName name="_cp8" localSheetId="25" hidden="1">{"'előző év december'!$A$2:$CP$214"}</definedName>
    <definedName name="_cp8" localSheetId="27" hidden="1">{"'előző év december'!$A$2:$CP$214"}</definedName>
    <definedName name="_cp8" localSheetId="30" hidden="1">{"'előző év december'!$A$2:$CP$214"}</definedName>
    <definedName name="_cp8" localSheetId="33" hidden="1">{"'előző év december'!$A$2:$CP$214"}</definedName>
    <definedName name="_cp8" localSheetId="34" hidden="1">{"'előző év december'!$A$2:$CP$214"}</definedName>
    <definedName name="_cp8" localSheetId="35" hidden="1">{"'előző év december'!$A$2:$CP$214"}</definedName>
    <definedName name="_cp8" localSheetId="36" hidden="1">{"'előző év december'!$A$2:$CP$214"}</definedName>
    <definedName name="_cp8" localSheetId="37" hidden="1">{"'előző év december'!$A$2:$CP$214"}</definedName>
    <definedName name="_cp8" localSheetId="38" hidden="1">{"'előző év december'!$A$2:$CP$214"}</definedName>
    <definedName name="_cp8" localSheetId="39" hidden="1">{"'előző év december'!$A$2:$CP$214"}</definedName>
    <definedName name="_cp8" localSheetId="40" hidden="1">{"'előző év december'!$A$2:$CP$214"}</definedName>
    <definedName name="_cp8" hidden="1">{"'előző év december'!$A$2:$CP$214"}</definedName>
    <definedName name="_cp9" localSheetId="50" hidden="1">{"'előző év december'!$A$2:$CP$214"}</definedName>
    <definedName name="_cp9" localSheetId="56" hidden="1">{"'előző év december'!$A$2:$CP$214"}</definedName>
    <definedName name="_cp9" localSheetId="57" hidden="1">{"'előző év december'!$A$2:$CP$214"}</definedName>
    <definedName name="_cp9" localSheetId="58" hidden="1">{"'előző év december'!$A$2:$CP$214"}</definedName>
    <definedName name="_cp9" localSheetId="59" hidden="1">{"'előző év december'!$A$2:$CP$214"}</definedName>
    <definedName name="_cp9" localSheetId="62" hidden="1">{"'előző év december'!$A$2:$CP$214"}</definedName>
    <definedName name="_cp9" localSheetId="70" hidden="1">{"'előző év december'!$A$2:$CP$214"}</definedName>
    <definedName name="_cp9" localSheetId="71" hidden="1">{"'előző év december'!$A$2:$CP$214"}</definedName>
    <definedName name="_cp9" localSheetId="72" hidden="1">{"'előző év december'!$A$2:$CP$214"}</definedName>
    <definedName name="_cp9" localSheetId="73" hidden="1">{"'előző év december'!$A$2:$CP$214"}</definedName>
    <definedName name="_cp9" localSheetId="74" hidden="1">{"'előző év december'!$A$2:$CP$214"}</definedName>
    <definedName name="_cp9" localSheetId="79" hidden="1">{"'előző év december'!$A$2:$CP$214"}</definedName>
    <definedName name="_cp9" localSheetId="80" hidden="1">{"'előző év december'!$A$2:$CP$214"}</definedName>
    <definedName name="_cp9" localSheetId="81" hidden="1">{"'előző év december'!$A$2:$CP$214"}</definedName>
    <definedName name="_cp9" localSheetId="97" hidden="1">{"'előző év december'!$A$2:$CP$214"}</definedName>
    <definedName name="_cp9" localSheetId="98" hidden="1">{"'előző év december'!$A$2:$CP$214"}</definedName>
    <definedName name="_cp9" localSheetId="99" hidden="1">{"'előző év december'!$A$2:$CP$214"}</definedName>
    <definedName name="_cp9" localSheetId="100" hidden="1">{"'előző év december'!$A$2:$CP$214"}</definedName>
    <definedName name="_cp9" localSheetId="101" hidden="1">{"'előző év december'!$A$2:$CP$214"}</definedName>
    <definedName name="_cp9" localSheetId="108" hidden="1">{"'előző év december'!$A$2:$CP$214"}</definedName>
    <definedName name="_cp9" localSheetId="115" hidden="1">{"'előző év december'!$A$2:$CP$214"}</definedName>
    <definedName name="_cp9" localSheetId="5" hidden="1">{"'előző év december'!$A$2:$CP$214"}</definedName>
    <definedName name="_cp9" localSheetId="7" hidden="1">{"'előző év december'!$A$2:$CP$214"}</definedName>
    <definedName name="_cp9" localSheetId="8" hidden="1">{"'előző év december'!$A$2:$CP$214"}</definedName>
    <definedName name="_cp9" localSheetId="9" hidden="1">{"'előző év december'!$A$2:$CP$214"}</definedName>
    <definedName name="_cp9" localSheetId="10" hidden="1">{"'előző év december'!$A$2:$CP$214"}</definedName>
    <definedName name="_cp9" localSheetId="14" hidden="1">{"'előző év december'!$A$2:$CP$214"}</definedName>
    <definedName name="_cp9" localSheetId="18" hidden="1">{"'előző év december'!$A$2:$CP$214"}</definedName>
    <definedName name="_cp9" localSheetId="19" hidden="1">{"'előző év december'!$A$2:$CP$214"}</definedName>
    <definedName name="_cp9" localSheetId="21" hidden="1">{"'előző év december'!$A$2:$CP$214"}</definedName>
    <definedName name="_cp9" localSheetId="23" hidden="1">{"'előző év december'!$A$2:$CP$214"}</definedName>
    <definedName name="_cp9" localSheetId="24" hidden="1">{"'előző év december'!$A$2:$CP$214"}</definedName>
    <definedName name="_cp9" localSheetId="25" hidden="1">{"'előző év december'!$A$2:$CP$214"}</definedName>
    <definedName name="_cp9" localSheetId="27" hidden="1">{"'előző év december'!$A$2:$CP$214"}</definedName>
    <definedName name="_cp9" localSheetId="30" hidden="1">{"'előző év december'!$A$2:$CP$214"}</definedName>
    <definedName name="_cp9" localSheetId="33" hidden="1">{"'előző év december'!$A$2:$CP$214"}</definedName>
    <definedName name="_cp9" localSheetId="34" hidden="1">{"'előző év december'!$A$2:$CP$214"}</definedName>
    <definedName name="_cp9" localSheetId="35" hidden="1">{"'előző év december'!$A$2:$CP$214"}</definedName>
    <definedName name="_cp9" localSheetId="36" hidden="1">{"'előző év december'!$A$2:$CP$214"}</definedName>
    <definedName name="_cp9" localSheetId="37" hidden="1">{"'előző év december'!$A$2:$CP$214"}</definedName>
    <definedName name="_cp9" localSheetId="38" hidden="1">{"'előző év december'!$A$2:$CP$214"}</definedName>
    <definedName name="_cp9" localSheetId="39" hidden="1">{"'előző év december'!$A$2:$CP$214"}</definedName>
    <definedName name="_cp9" localSheetId="40" hidden="1">{"'előző év december'!$A$2:$CP$214"}</definedName>
    <definedName name="_cp9" hidden="1">{"'előző év december'!$A$2:$CP$214"}</definedName>
    <definedName name="_cpr2" localSheetId="50" hidden="1">{"'előző év december'!$A$2:$CP$214"}</definedName>
    <definedName name="_cpr2" localSheetId="56" hidden="1">{"'előző év december'!$A$2:$CP$214"}</definedName>
    <definedName name="_cpr2" localSheetId="57" hidden="1">{"'előző év december'!$A$2:$CP$214"}</definedName>
    <definedName name="_cpr2" localSheetId="58" hidden="1">{"'előző év december'!$A$2:$CP$214"}</definedName>
    <definedName name="_cpr2" localSheetId="59" hidden="1">{"'előző év december'!$A$2:$CP$214"}</definedName>
    <definedName name="_cpr2" localSheetId="62" hidden="1">{"'előző év december'!$A$2:$CP$214"}</definedName>
    <definedName name="_cpr2" localSheetId="70" hidden="1">{"'előző év december'!$A$2:$CP$214"}</definedName>
    <definedName name="_cpr2" localSheetId="71" hidden="1">{"'előző év december'!$A$2:$CP$214"}</definedName>
    <definedName name="_cpr2" localSheetId="72" hidden="1">{"'előző év december'!$A$2:$CP$214"}</definedName>
    <definedName name="_cpr2" localSheetId="73" hidden="1">{"'előző év december'!$A$2:$CP$214"}</definedName>
    <definedName name="_cpr2" localSheetId="74" hidden="1">{"'előző év december'!$A$2:$CP$214"}</definedName>
    <definedName name="_cpr2" localSheetId="79" hidden="1">{"'előző év december'!$A$2:$CP$214"}</definedName>
    <definedName name="_cpr2" localSheetId="80" hidden="1">{"'előző év december'!$A$2:$CP$214"}</definedName>
    <definedName name="_cpr2" localSheetId="81" hidden="1">{"'előző év december'!$A$2:$CP$214"}</definedName>
    <definedName name="_cpr2" localSheetId="97" hidden="1">{"'előző év december'!$A$2:$CP$214"}</definedName>
    <definedName name="_cpr2" localSheetId="98" hidden="1">{"'előző év december'!$A$2:$CP$214"}</definedName>
    <definedName name="_cpr2" localSheetId="99" hidden="1">{"'előző év december'!$A$2:$CP$214"}</definedName>
    <definedName name="_cpr2" localSheetId="100" hidden="1">{"'előző év december'!$A$2:$CP$214"}</definedName>
    <definedName name="_cpr2" localSheetId="101" hidden="1">{"'előző év december'!$A$2:$CP$214"}</definedName>
    <definedName name="_cpr2" localSheetId="108" hidden="1">{"'előző év december'!$A$2:$CP$214"}</definedName>
    <definedName name="_cpr2" localSheetId="115" hidden="1">{"'előző év december'!$A$2:$CP$214"}</definedName>
    <definedName name="_cpr2" localSheetId="5" hidden="1">{"'előző év december'!$A$2:$CP$214"}</definedName>
    <definedName name="_cpr2" localSheetId="7" hidden="1">{"'előző év december'!$A$2:$CP$214"}</definedName>
    <definedName name="_cpr2" localSheetId="8" hidden="1">{"'előző év december'!$A$2:$CP$214"}</definedName>
    <definedName name="_cpr2" localSheetId="9" hidden="1">{"'előző év december'!$A$2:$CP$214"}</definedName>
    <definedName name="_cpr2" localSheetId="10" hidden="1">{"'előző év december'!$A$2:$CP$214"}</definedName>
    <definedName name="_cpr2" localSheetId="14" hidden="1">{"'előző év december'!$A$2:$CP$214"}</definedName>
    <definedName name="_cpr2" localSheetId="18" hidden="1">{"'előző év december'!$A$2:$CP$214"}</definedName>
    <definedName name="_cpr2" localSheetId="19" hidden="1">{"'előző év december'!$A$2:$CP$214"}</definedName>
    <definedName name="_cpr2" localSheetId="21" hidden="1">{"'előző év december'!$A$2:$CP$214"}</definedName>
    <definedName name="_cpr2" localSheetId="23" hidden="1">{"'előző év december'!$A$2:$CP$214"}</definedName>
    <definedName name="_cpr2" localSheetId="24" hidden="1">{"'előző év december'!$A$2:$CP$214"}</definedName>
    <definedName name="_cpr2" localSheetId="25" hidden="1">{"'előző év december'!$A$2:$CP$214"}</definedName>
    <definedName name="_cpr2" localSheetId="27" hidden="1">{"'előző év december'!$A$2:$CP$214"}</definedName>
    <definedName name="_cpr2" localSheetId="30" hidden="1">{"'előző év december'!$A$2:$CP$214"}</definedName>
    <definedName name="_cpr2" localSheetId="33" hidden="1">{"'előző év december'!$A$2:$CP$214"}</definedName>
    <definedName name="_cpr2" localSheetId="34" hidden="1">{"'előző év december'!$A$2:$CP$214"}</definedName>
    <definedName name="_cpr2" localSheetId="35" hidden="1">{"'előző év december'!$A$2:$CP$214"}</definedName>
    <definedName name="_cpr2" localSheetId="36" hidden="1">{"'előző év december'!$A$2:$CP$214"}</definedName>
    <definedName name="_cpr2" localSheetId="37" hidden="1">{"'előző év december'!$A$2:$CP$214"}</definedName>
    <definedName name="_cpr2" localSheetId="38" hidden="1">{"'előző év december'!$A$2:$CP$214"}</definedName>
    <definedName name="_cpr2" localSheetId="39" hidden="1">{"'előző év december'!$A$2:$CP$214"}</definedName>
    <definedName name="_cpr2" localSheetId="40" hidden="1">{"'előző év december'!$A$2:$CP$214"}</definedName>
    <definedName name="_cpr2" hidden="1">{"'előző év december'!$A$2:$CP$214"}</definedName>
    <definedName name="_cpr4" localSheetId="50" hidden="1">{"'előző év december'!$A$2:$CP$214"}</definedName>
    <definedName name="_cpr4" localSheetId="56" hidden="1">{"'előző év december'!$A$2:$CP$214"}</definedName>
    <definedName name="_cpr4" localSheetId="57" hidden="1">{"'előző év december'!$A$2:$CP$214"}</definedName>
    <definedName name="_cpr4" localSheetId="58" hidden="1">{"'előző év december'!$A$2:$CP$214"}</definedName>
    <definedName name="_cpr4" localSheetId="59" hidden="1">{"'előző év december'!$A$2:$CP$214"}</definedName>
    <definedName name="_cpr4" localSheetId="62" hidden="1">{"'előző év december'!$A$2:$CP$214"}</definedName>
    <definedName name="_cpr4" localSheetId="70" hidden="1">{"'előző év december'!$A$2:$CP$214"}</definedName>
    <definedName name="_cpr4" localSheetId="71" hidden="1">{"'előző év december'!$A$2:$CP$214"}</definedName>
    <definedName name="_cpr4" localSheetId="72" hidden="1">{"'előző év december'!$A$2:$CP$214"}</definedName>
    <definedName name="_cpr4" localSheetId="73" hidden="1">{"'előző év december'!$A$2:$CP$214"}</definedName>
    <definedName name="_cpr4" localSheetId="74" hidden="1">{"'előző év december'!$A$2:$CP$214"}</definedName>
    <definedName name="_cpr4" localSheetId="79" hidden="1">{"'előző év december'!$A$2:$CP$214"}</definedName>
    <definedName name="_cpr4" localSheetId="80" hidden="1">{"'előző év december'!$A$2:$CP$214"}</definedName>
    <definedName name="_cpr4" localSheetId="81" hidden="1">{"'előző év december'!$A$2:$CP$214"}</definedName>
    <definedName name="_cpr4" localSheetId="97" hidden="1">{"'előző év december'!$A$2:$CP$214"}</definedName>
    <definedName name="_cpr4" localSheetId="98" hidden="1">{"'előző év december'!$A$2:$CP$214"}</definedName>
    <definedName name="_cpr4" localSheetId="99" hidden="1">{"'előző év december'!$A$2:$CP$214"}</definedName>
    <definedName name="_cpr4" localSheetId="100" hidden="1">{"'előző év december'!$A$2:$CP$214"}</definedName>
    <definedName name="_cpr4" localSheetId="101" hidden="1">{"'előző év december'!$A$2:$CP$214"}</definedName>
    <definedName name="_cpr4" localSheetId="108" hidden="1">{"'előző év december'!$A$2:$CP$214"}</definedName>
    <definedName name="_cpr4" localSheetId="115" hidden="1">{"'előző év december'!$A$2:$CP$214"}</definedName>
    <definedName name="_cpr4" localSheetId="5" hidden="1">{"'előző év december'!$A$2:$CP$214"}</definedName>
    <definedName name="_cpr4" localSheetId="7" hidden="1">{"'előző év december'!$A$2:$CP$214"}</definedName>
    <definedName name="_cpr4" localSheetId="8" hidden="1">{"'előző év december'!$A$2:$CP$214"}</definedName>
    <definedName name="_cpr4" localSheetId="9" hidden="1">{"'előző év december'!$A$2:$CP$214"}</definedName>
    <definedName name="_cpr4" localSheetId="10" hidden="1">{"'előző év december'!$A$2:$CP$214"}</definedName>
    <definedName name="_cpr4" localSheetId="14" hidden="1">{"'előző év december'!$A$2:$CP$214"}</definedName>
    <definedName name="_cpr4" localSheetId="18" hidden="1">{"'előző év december'!$A$2:$CP$214"}</definedName>
    <definedName name="_cpr4" localSheetId="19" hidden="1">{"'előző év december'!$A$2:$CP$214"}</definedName>
    <definedName name="_cpr4" localSheetId="21" hidden="1">{"'előző év december'!$A$2:$CP$214"}</definedName>
    <definedName name="_cpr4" localSheetId="23" hidden="1">{"'előző év december'!$A$2:$CP$214"}</definedName>
    <definedName name="_cpr4" localSheetId="24" hidden="1">{"'előző év december'!$A$2:$CP$214"}</definedName>
    <definedName name="_cpr4" localSheetId="25" hidden="1">{"'előző év december'!$A$2:$CP$214"}</definedName>
    <definedName name="_cpr4" localSheetId="27" hidden="1">{"'előző év december'!$A$2:$CP$214"}</definedName>
    <definedName name="_cpr4" localSheetId="30" hidden="1">{"'előző év december'!$A$2:$CP$214"}</definedName>
    <definedName name="_cpr4" localSheetId="33" hidden="1">{"'előző év december'!$A$2:$CP$214"}</definedName>
    <definedName name="_cpr4" localSheetId="34" hidden="1">{"'előző év december'!$A$2:$CP$214"}</definedName>
    <definedName name="_cpr4" localSheetId="35" hidden="1">{"'előző év december'!$A$2:$CP$214"}</definedName>
    <definedName name="_cpr4" localSheetId="36" hidden="1">{"'előző év december'!$A$2:$CP$214"}</definedName>
    <definedName name="_cpr4" localSheetId="37" hidden="1">{"'előző év december'!$A$2:$CP$214"}</definedName>
    <definedName name="_cpr4" localSheetId="38" hidden="1">{"'előző év december'!$A$2:$CP$214"}</definedName>
    <definedName name="_cpr4" localSheetId="39" hidden="1">{"'előző év december'!$A$2:$CP$214"}</definedName>
    <definedName name="_cpr4" localSheetId="40" hidden="1">{"'előző év december'!$A$2:$CP$214"}</definedName>
    <definedName name="_cpr4" hidden="1">{"'előző év december'!$A$2:$CP$214"}</definedName>
    <definedName name="_Fill" localSheetId="49" hidden="1">#REF!</definedName>
    <definedName name="_Fill" localSheetId="50" hidden="1">#REF!</definedName>
    <definedName name="_Fill" localSheetId="51" hidden="1">#REF!</definedName>
    <definedName name="_Fill" localSheetId="53" hidden="1">#REF!</definedName>
    <definedName name="_Fill" localSheetId="54" hidden="1">#REF!</definedName>
    <definedName name="_Fill" localSheetId="55" hidden="1">#REF!</definedName>
    <definedName name="_Fill" localSheetId="56" hidden="1">#REF!</definedName>
    <definedName name="_Fill" localSheetId="57" hidden="1">#REF!</definedName>
    <definedName name="_Fill" localSheetId="58" hidden="1">#REF!</definedName>
    <definedName name="_Fill" localSheetId="59" hidden="1">#REF!</definedName>
    <definedName name="_Fill" localSheetId="62" hidden="1">#REF!</definedName>
    <definedName name="_Fill" localSheetId="70" hidden="1">#REF!</definedName>
    <definedName name="_Fill" localSheetId="71" hidden="1">#REF!</definedName>
    <definedName name="_Fill" localSheetId="72" hidden="1">#REF!</definedName>
    <definedName name="_Fill" localSheetId="73" hidden="1">#REF!</definedName>
    <definedName name="_Fill" localSheetId="74" hidden="1">#REF!</definedName>
    <definedName name="_Fill" localSheetId="75" hidden="1">#REF!</definedName>
    <definedName name="_Fill" localSheetId="76" hidden="1">#REF!</definedName>
    <definedName name="_Fill" localSheetId="79" hidden="1">#REF!</definedName>
    <definedName name="_Fill" localSheetId="80" hidden="1">#REF!</definedName>
    <definedName name="_Fill" localSheetId="81" hidden="1">#REF!</definedName>
    <definedName name="_Fill" localSheetId="83" hidden="1">#REF!</definedName>
    <definedName name="_Fill" localSheetId="87" hidden="1">#REF!</definedName>
    <definedName name="_Fill" localSheetId="95" hidden="1">#REF!</definedName>
    <definedName name="_Fill" localSheetId="97" hidden="1">#REF!</definedName>
    <definedName name="_Fill" localSheetId="98" hidden="1">#REF!</definedName>
    <definedName name="_Fill" localSheetId="99" hidden="1">#REF!</definedName>
    <definedName name="_Fill" localSheetId="100" hidden="1">#REF!</definedName>
    <definedName name="_Fill" localSheetId="101" hidden="1">#REF!</definedName>
    <definedName name="_Fill" localSheetId="108" hidden="1">#REF!</definedName>
    <definedName name="_Fill" localSheetId="115" hidden="1">#REF!</definedName>
    <definedName name="_Fill" localSheetId="5" hidden="1">#REF!</definedName>
    <definedName name="_Fill" localSheetId="6" hidden="1">#REF!</definedName>
    <definedName name="_Fill" localSheetId="7" hidden="1">#REF!</definedName>
    <definedName name="_Fill" localSheetId="8" hidden="1">#REF!</definedName>
    <definedName name="_Fill" localSheetId="9" hidden="1">#REF!</definedName>
    <definedName name="_Fill" localSheetId="10" hidden="1">#REF!</definedName>
    <definedName name="_Fill" localSheetId="14" hidden="1">#REF!</definedName>
    <definedName name="_Fill" localSheetId="15" hidden="1">#REF!</definedName>
    <definedName name="_Fill" localSheetId="16" hidden="1">#REF!</definedName>
    <definedName name="_Fill" localSheetId="17" hidden="1">#REF!</definedName>
    <definedName name="_Fill" localSheetId="19" hidden="1">#REF!</definedName>
    <definedName name="_Fill" localSheetId="21" hidden="1">#REF!</definedName>
    <definedName name="_Fill" localSheetId="23" hidden="1">#REF!</definedName>
    <definedName name="_Fill" localSheetId="24" hidden="1">#REF!</definedName>
    <definedName name="_Fill" localSheetId="25" hidden="1">#REF!</definedName>
    <definedName name="_Fill" localSheetId="27" hidden="1">#REF!</definedName>
    <definedName name="_Fill" localSheetId="30" hidden="1">#REF!</definedName>
    <definedName name="_Fill" localSheetId="33" hidden="1">#REF!</definedName>
    <definedName name="_Fill" localSheetId="34" hidden="1">#REF!</definedName>
    <definedName name="_Fill" localSheetId="35" hidden="1">#REF!</definedName>
    <definedName name="_Fill" localSheetId="36" hidden="1">#REF!</definedName>
    <definedName name="_Fill" localSheetId="37" hidden="1">#REF!</definedName>
    <definedName name="_Fill" localSheetId="38" hidden="1">#REF!</definedName>
    <definedName name="_Fill" localSheetId="39" hidden="1">#REF!</definedName>
    <definedName name="_Fill" localSheetId="40" hidden="1">#REF!</definedName>
    <definedName name="_Fill" localSheetId="44" hidden="1">#REF!</definedName>
    <definedName name="_Fill" hidden="1">#REF!</definedName>
    <definedName name="_Order1" localSheetId="55" hidden="1">255</definedName>
    <definedName name="_Order1" localSheetId="71" hidden="1">0</definedName>
    <definedName name="_Order1" localSheetId="72" hidden="1">0</definedName>
    <definedName name="_Order1" localSheetId="73" hidden="1">0</definedName>
    <definedName name="_Order1" localSheetId="74" hidden="1">0</definedName>
    <definedName name="_Order1" localSheetId="79" hidden="1">255</definedName>
    <definedName name="_Order1" localSheetId="115" hidden="1">0</definedName>
    <definedName name="_Order1" localSheetId="10" hidden="1">0</definedName>
    <definedName name="_Order1" localSheetId="34" hidden="1">0</definedName>
    <definedName name="_Order1" localSheetId="35" hidden="1">0</definedName>
    <definedName name="_Order1" localSheetId="36" hidden="1">0</definedName>
    <definedName name="_Order1" localSheetId="37" hidden="1">0</definedName>
    <definedName name="_Order1" localSheetId="38" hidden="1">0</definedName>
    <definedName name="_Order1" localSheetId="44" hidden="1">255</definedName>
    <definedName name="_Order1" hidden="1">0</definedName>
    <definedName name="_Order2" localSheetId="55" hidden="1">255</definedName>
    <definedName name="_Order2" localSheetId="71" hidden="1">0</definedName>
    <definedName name="_Order2" localSheetId="72" hidden="1">0</definedName>
    <definedName name="_Order2" localSheetId="73" hidden="1">0</definedName>
    <definedName name="_Order2" localSheetId="74" hidden="1">0</definedName>
    <definedName name="_Order2" localSheetId="79" hidden="1">255</definedName>
    <definedName name="_Order2" localSheetId="115" hidden="1">0</definedName>
    <definedName name="_Order2" localSheetId="10" hidden="1">0</definedName>
    <definedName name="_Order2" localSheetId="34" hidden="1">0</definedName>
    <definedName name="_Order2" localSheetId="35" hidden="1">0</definedName>
    <definedName name="_Order2" localSheetId="36" hidden="1">0</definedName>
    <definedName name="_Order2" localSheetId="37" hidden="1">0</definedName>
    <definedName name="_Order2" localSheetId="38" hidden="1">0</definedName>
    <definedName name="_Order2" localSheetId="44" hidden="1">255</definedName>
    <definedName name="_Order2" hidden="1">0</definedName>
    <definedName name="_Regression_X" localSheetId="49" hidden="1">#REF!</definedName>
    <definedName name="_Regression_X" localSheetId="50" hidden="1">#REF!</definedName>
    <definedName name="_Regression_X" localSheetId="51" hidden="1">#REF!</definedName>
    <definedName name="_Regression_X" localSheetId="53" hidden="1">#REF!</definedName>
    <definedName name="_Regression_X" localSheetId="54" hidden="1">#REF!</definedName>
    <definedName name="_Regression_X" localSheetId="55" hidden="1">#REF!</definedName>
    <definedName name="_Regression_X" localSheetId="56" hidden="1">#REF!</definedName>
    <definedName name="_Regression_X" localSheetId="57" hidden="1">#REF!</definedName>
    <definedName name="_Regression_X" localSheetId="58" hidden="1">#REF!</definedName>
    <definedName name="_Regression_X" localSheetId="59" hidden="1">#REF!</definedName>
    <definedName name="_Regression_X" localSheetId="62" hidden="1">#REF!</definedName>
    <definedName name="_Regression_X" localSheetId="70" hidden="1">#REF!</definedName>
    <definedName name="_Regression_X" localSheetId="71" hidden="1">#REF!</definedName>
    <definedName name="_Regression_X" localSheetId="72" hidden="1">#REF!</definedName>
    <definedName name="_Regression_X" localSheetId="73" hidden="1">#REF!</definedName>
    <definedName name="_Regression_X" localSheetId="74" hidden="1">#REF!</definedName>
    <definedName name="_Regression_X" localSheetId="75" hidden="1">#REF!</definedName>
    <definedName name="_Regression_X" localSheetId="76" hidden="1">#REF!</definedName>
    <definedName name="_Regression_X" localSheetId="79" hidden="1">#REF!</definedName>
    <definedName name="_Regression_X" localSheetId="80" hidden="1">#REF!</definedName>
    <definedName name="_Regression_X" localSheetId="81" hidden="1">#REF!</definedName>
    <definedName name="_Regression_X" localSheetId="83" hidden="1">#REF!</definedName>
    <definedName name="_Regression_X" localSheetId="87" hidden="1">#REF!</definedName>
    <definedName name="_Regression_X" localSheetId="95" hidden="1">#REF!</definedName>
    <definedName name="_Regression_X" localSheetId="97" hidden="1">#REF!</definedName>
    <definedName name="_Regression_X" localSheetId="98" hidden="1">#REF!</definedName>
    <definedName name="_Regression_X" localSheetId="99" hidden="1">#REF!</definedName>
    <definedName name="_Regression_X" localSheetId="100" hidden="1">#REF!</definedName>
    <definedName name="_Regression_X" localSheetId="101" hidden="1">#REF!</definedName>
    <definedName name="_Regression_X" localSheetId="108" hidden="1">#REF!</definedName>
    <definedName name="_Regression_X" localSheetId="115" hidden="1">#REF!</definedName>
    <definedName name="_Regression_X" localSheetId="5" hidden="1">#REF!</definedName>
    <definedName name="_Regression_X" localSheetId="6" hidden="1">#REF!</definedName>
    <definedName name="_Regression_X" localSheetId="7" hidden="1">#REF!</definedName>
    <definedName name="_Regression_X" localSheetId="8" hidden="1">#REF!</definedName>
    <definedName name="_Regression_X" localSheetId="9" hidden="1">#REF!</definedName>
    <definedName name="_Regression_X" localSheetId="10" hidden="1">#REF!</definedName>
    <definedName name="_Regression_X" localSheetId="14" hidden="1">#REF!</definedName>
    <definedName name="_Regression_X" localSheetId="15" hidden="1">#REF!</definedName>
    <definedName name="_Regression_X" localSheetId="16" hidden="1">#REF!</definedName>
    <definedName name="_Regression_X" localSheetId="17" hidden="1">#REF!</definedName>
    <definedName name="_Regression_X" localSheetId="19" hidden="1">#REF!</definedName>
    <definedName name="_Regression_X" localSheetId="21" hidden="1">#REF!</definedName>
    <definedName name="_Regression_X" localSheetId="23" hidden="1">#REF!</definedName>
    <definedName name="_Regression_X" localSheetId="24" hidden="1">#REF!</definedName>
    <definedName name="_Regression_X" localSheetId="25" hidden="1">#REF!</definedName>
    <definedName name="_Regression_X" localSheetId="27" hidden="1">#REF!</definedName>
    <definedName name="_Regression_X" localSheetId="30" hidden="1">#REF!</definedName>
    <definedName name="_Regression_X" localSheetId="33" hidden="1">#REF!</definedName>
    <definedName name="_Regression_X" localSheetId="34" hidden="1">#REF!</definedName>
    <definedName name="_Regression_X" localSheetId="35" hidden="1">#REF!</definedName>
    <definedName name="_Regression_X" localSheetId="36" hidden="1">#REF!</definedName>
    <definedName name="_Regression_X" localSheetId="37" hidden="1">#REF!</definedName>
    <definedName name="_Regression_X" localSheetId="38" hidden="1">#REF!</definedName>
    <definedName name="_Regression_X" localSheetId="39" hidden="1">#REF!</definedName>
    <definedName name="_Regression_X" localSheetId="40" hidden="1">#REF!</definedName>
    <definedName name="_Regression_X" localSheetId="44" hidden="1">#REF!</definedName>
    <definedName name="_Regression_X" hidden="1">#REF!</definedName>
    <definedName name="_Regression_Y" localSheetId="49" hidden="1">#REF!</definedName>
    <definedName name="_Regression_Y" localSheetId="50" hidden="1">#REF!</definedName>
    <definedName name="_Regression_Y" localSheetId="51" hidden="1">#REF!</definedName>
    <definedName name="_Regression_Y" localSheetId="53" hidden="1">#REF!</definedName>
    <definedName name="_Regression_Y" localSheetId="54" hidden="1">#REF!</definedName>
    <definedName name="_Regression_Y" localSheetId="55" hidden="1">#REF!</definedName>
    <definedName name="_Regression_Y" localSheetId="56" hidden="1">#REF!</definedName>
    <definedName name="_Regression_Y" localSheetId="57" hidden="1">#REF!</definedName>
    <definedName name="_Regression_Y" localSheetId="58" hidden="1">#REF!</definedName>
    <definedName name="_Regression_Y" localSheetId="59" hidden="1">#REF!</definedName>
    <definedName name="_Regression_Y" localSheetId="62" hidden="1">#REF!</definedName>
    <definedName name="_Regression_Y" localSheetId="70" hidden="1">#REF!</definedName>
    <definedName name="_Regression_Y" localSheetId="71" hidden="1">#REF!</definedName>
    <definedName name="_Regression_Y" localSheetId="72" hidden="1">#REF!</definedName>
    <definedName name="_Regression_Y" localSheetId="73" hidden="1">#REF!</definedName>
    <definedName name="_Regression_Y" localSheetId="74" hidden="1">#REF!</definedName>
    <definedName name="_Regression_Y" localSheetId="75" hidden="1">#REF!</definedName>
    <definedName name="_Regression_Y" localSheetId="76" hidden="1">#REF!</definedName>
    <definedName name="_Regression_Y" localSheetId="79" hidden="1">#REF!</definedName>
    <definedName name="_Regression_Y" localSheetId="80" hidden="1">#REF!</definedName>
    <definedName name="_Regression_Y" localSheetId="81" hidden="1">#REF!</definedName>
    <definedName name="_Regression_Y" localSheetId="83" hidden="1">#REF!</definedName>
    <definedName name="_Regression_Y" localSheetId="87" hidden="1">#REF!</definedName>
    <definedName name="_Regression_Y" localSheetId="95" hidden="1">#REF!</definedName>
    <definedName name="_Regression_Y" localSheetId="97" hidden="1">#REF!</definedName>
    <definedName name="_Regression_Y" localSheetId="98" hidden="1">#REF!</definedName>
    <definedName name="_Regression_Y" localSheetId="99" hidden="1">#REF!</definedName>
    <definedName name="_Regression_Y" localSheetId="100" hidden="1">#REF!</definedName>
    <definedName name="_Regression_Y" localSheetId="101" hidden="1">#REF!</definedName>
    <definedName name="_Regression_Y" localSheetId="108" hidden="1">#REF!</definedName>
    <definedName name="_Regression_Y" localSheetId="115" hidden="1">#REF!</definedName>
    <definedName name="_Regression_Y" localSheetId="5" hidden="1">#REF!</definedName>
    <definedName name="_Regression_Y" localSheetId="6" hidden="1">#REF!</definedName>
    <definedName name="_Regression_Y" localSheetId="7" hidden="1">#REF!</definedName>
    <definedName name="_Regression_Y" localSheetId="8" hidden="1">#REF!</definedName>
    <definedName name="_Regression_Y" localSheetId="9" hidden="1">#REF!</definedName>
    <definedName name="_Regression_Y" localSheetId="10" hidden="1">#REF!</definedName>
    <definedName name="_Regression_Y" localSheetId="14" hidden="1">#REF!</definedName>
    <definedName name="_Regression_Y" localSheetId="15" hidden="1">#REF!</definedName>
    <definedName name="_Regression_Y" localSheetId="16" hidden="1">#REF!</definedName>
    <definedName name="_Regression_Y" localSheetId="17" hidden="1">#REF!</definedName>
    <definedName name="_Regression_Y" localSheetId="19" hidden="1">#REF!</definedName>
    <definedName name="_Regression_Y" localSheetId="21" hidden="1">#REF!</definedName>
    <definedName name="_Regression_Y" localSheetId="23" hidden="1">#REF!</definedName>
    <definedName name="_Regression_Y" localSheetId="24" hidden="1">#REF!</definedName>
    <definedName name="_Regression_Y" localSheetId="25" hidden="1">#REF!</definedName>
    <definedName name="_Regression_Y" localSheetId="27" hidden="1">#REF!</definedName>
    <definedName name="_Regression_Y" localSheetId="30" hidden="1">#REF!</definedName>
    <definedName name="_Regression_Y" localSheetId="33" hidden="1">#REF!</definedName>
    <definedName name="_Regression_Y" localSheetId="34" hidden="1">#REF!</definedName>
    <definedName name="_Regression_Y" localSheetId="35" hidden="1">#REF!</definedName>
    <definedName name="_Regression_Y" localSheetId="36" hidden="1">#REF!</definedName>
    <definedName name="_Regression_Y" localSheetId="37" hidden="1">#REF!</definedName>
    <definedName name="_Regression_Y" localSheetId="38" hidden="1">#REF!</definedName>
    <definedName name="_Regression_Y" localSheetId="39" hidden="1">#REF!</definedName>
    <definedName name="_Regression_Y" localSheetId="40" hidden="1">#REF!</definedName>
    <definedName name="_Regression_Y" localSheetId="44" hidden="1">#REF!</definedName>
    <definedName name="_Regression_Y" hidden="1">#REF!</definedName>
    <definedName name="_xlchart.v2.0" hidden="1">'G41'!$A$2:$B$9</definedName>
    <definedName name="_xlchart.v2.1" hidden="1">'G41'!$C$2:$C$9</definedName>
    <definedName name="_xlchart.v2.2" hidden="1">'G51'!$C$2:$D$15</definedName>
    <definedName name="_xlchart.v2.3" hidden="1">'G51'!$E$2:$E$15</definedName>
    <definedName name="aloha" localSheetId="49" hidden="1">'[23]i2-KA'!#REF!</definedName>
    <definedName name="aloha" localSheetId="50" hidden="1">'[23]i2-KA'!#REF!</definedName>
    <definedName name="aloha" localSheetId="51" hidden="1">'[23]i2-KA'!#REF!</definedName>
    <definedName name="aloha" localSheetId="53" hidden="1">'[23]i2-KA'!#REF!</definedName>
    <definedName name="aloha" localSheetId="54" hidden="1">'[23]i2-KA'!#REF!</definedName>
    <definedName name="aloha" localSheetId="55" hidden="1">'[23]i2-KA'!#REF!</definedName>
    <definedName name="aloha" localSheetId="56" hidden="1">'[23]i2-KA'!#REF!</definedName>
    <definedName name="aloha" localSheetId="57" hidden="1">'[23]i2-KA'!#REF!</definedName>
    <definedName name="aloha" localSheetId="58" hidden="1">'[23]i2-KA'!#REF!</definedName>
    <definedName name="aloha" localSheetId="59" hidden="1">'[23]i2-KA'!#REF!</definedName>
    <definedName name="aloha" localSheetId="62" hidden="1">'[23]i2-KA'!#REF!</definedName>
    <definedName name="aloha" localSheetId="70" hidden="1">'[23]i2-KA'!#REF!</definedName>
    <definedName name="aloha" localSheetId="75" hidden="1">'[23]i2-KA'!#REF!</definedName>
    <definedName name="aloha" localSheetId="76" hidden="1">'[23]i2-KA'!#REF!</definedName>
    <definedName name="aloha" localSheetId="79" hidden="1">'[23]i2-KA'!#REF!</definedName>
    <definedName name="aloha" localSheetId="80" hidden="1">'[23]i2-KA'!#REF!</definedName>
    <definedName name="aloha" localSheetId="81" hidden="1">'[23]i2-KA'!#REF!</definedName>
    <definedName name="aloha" localSheetId="83" hidden="1">'[23]i2-KA'!#REF!</definedName>
    <definedName name="aloha" localSheetId="87" hidden="1">'[23]i2-KA'!#REF!</definedName>
    <definedName name="aloha" localSheetId="95" hidden="1">'[23]i2-KA'!#REF!</definedName>
    <definedName name="aloha" localSheetId="97" hidden="1">'[23]i2-KA'!#REF!</definedName>
    <definedName name="aloha" localSheetId="98" hidden="1">'[23]i2-KA'!#REF!</definedName>
    <definedName name="aloha" localSheetId="99" hidden="1">'[23]i2-KA'!#REF!</definedName>
    <definedName name="aloha" localSheetId="100" hidden="1">'[23]i2-KA'!#REF!</definedName>
    <definedName name="aloha" localSheetId="101" hidden="1">'[23]i2-KA'!#REF!</definedName>
    <definedName name="aloha" localSheetId="108" hidden="1">'[23]i2-KA'!#REF!</definedName>
    <definedName name="aloha" localSheetId="5" hidden="1">'[23]i2-KA'!#REF!</definedName>
    <definedName name="aloha" localSheetId="6" hidden="1">'[23]i2-KA'!#REF!</definedName>
    <definedName name="aloha" localSheetId="7" hidden="1">'[23]i2-KA'!#REF!</definedName>
    <definedName name="aloha" localSheetId="8" hidden="1">'[23]i2-KA'!#REF!</definedName>
    <definedName name="aloha" localSheetId="9" hidden="1">'[23]i2-KA'!#REF!</definedName>
    <definedName name="aloha" localSheetId="14" hidden="1">'[23]i2-KA'!#REF!</definedName>
    <definedName name="aloha" localSheetId="15" hidden="1">'[23]i2-KA'!#REF!</definedName>
    <definedName name="aloha" localSheetId="16" hidden="1">'[23]i2-KA'!#REF!</definedName>
    <definedName name="aloha" localSheetId="17" hidden="1">'[23]i2-KA'!#REF!</definedName>
    <definedName name="aloha" localSheetId="19" hidden="1">'[23]i2-KA'!#REF!</definedName>
    <definedName name="aloha" localSheetId="21" hidden="1">'[23]i2-KA'!#REF!</definedName>
    <definedName name="aloha" localSheetId="23" hidden="1">'[23]i2-KA'!#REF!</definedName>
    <definedName name="aloha" localSheetId="24" hidden="1">'[23]i2-KA'!#REF!</definedName>
    <definedName name="aloha" localSheetId="25" hidden="1">'[23]i2-KA'!#REF!</definedName>
    <definedName name="aloha" localSheetId="27" hidden="1">'[23]i2-KA'!#REF!</definedName>
    <definedName name="aloha" localSheetId="30" hidden="1">'[23]i2-KA'!#REF!</definedName>
    <definedName name="aloha" localSheetId="33" hidden="1">'[23]i2-KA'!#REF!</definedName>
    <definedName name="aloha" localSheetId="34" hidden="1">'[23]i2-KA'!#REF!</definedName>
    <definedName name="aloha" localSheetId="35" hidden="1">'[23]i2-KA'!#REF!</definedName>
    <definedName name="aloha" localSheetId="36" hidden="1">'[23]i2-KA'!#REF!</definedName>
    <definedName name="aloha" localSheetId="37" hidden="1">'[23]i2-KA'!#REF!</definedName>
    <definedName name="aloha" localSheetId="38" hidden="1">'[23]i2-KA'!#REF!</definedName>
    <definedName name="aloha" localSheetId="39" hidden="1">'[23]i2-KA'!#REF!</definedName>
    <definedName name="aloha" localSheetId="40" hidden="1">'[23]i2-KA'!#REF!</definedName>
    <definedName name="aloha" localSheetId="44" hidden="1">'[23]i2-KA'!#REF!</definedName>
    <definedName name="aloha" hidden="1">'[23]i2-KA'!#REF!</definedName>
    <definedName name="asdfasd" localSheetId="50" hidden="1">{"'előző év december'!$A$2:$CP$214"}</definedName>
    <definedName name="asdfasd" localSheetId="56" hidden="1">{"'előző év december'!$A$2:$CP$214"}</definedName>
    <definedName name="asdfasd" localSheetId="57" hidden="1">{"'előző év december'!$A$2:$CP$214"}</definedName>
    <definedName name="asdfasd" localSheetId="58" hidden="1">{"'előző év december'!$A$2:$CP$214"}</definedName>
    <definedName name="asdfasd" localSheetId="59" hidden="1">{"'előző év december'!$A$2:$CP$214"}</definedName>
    <definedName name="asdfasd" localSheetId="62" hidden="1">{"'előző év december'!$A$2:$CP$214"}</definedName>
    <definedName name="asdfasd" localSheetId="70" hidden="1">{"'előző év december'!$A$2:$CP$214"}</definedName>
    <definedName name="asdfasd" localSheetId="71" hidden="1">{"'előző év december'!$A$2:$CP$214"}</definedName>
    <definedName name="asdfasd" localSheetId="72" hidden="1">{"'előző év december'!$A$2:$CP$214"}</definedName>
    <definedName name="asdfasd" localSheetId="73" hidden="1">{"'előző év december'!$A$2:$CP$214"}</definedName>
    <definedName name="asdfasd" localSheetId="74" hidden="1">{"'előző év december'!$A$2:$CP$214"}</definedName>
    <definedName name="asdfasd" localSheetId="79" hidden="1">{"'előző év december'!$A$2:$CP$214"}</definedName>
    <definedName name="asdfasd" localSheetId="80" hidden="1">{"'előző év december'!$A$2:$CP$214"}</definedName>
    <definedName name="asdfasd" localSheetId="81" hidden="1">{"'előző év december'!$A$2:$CP$214"}</definedName>
    <definedName name="asdfasd" localSheetId="97" hidden="1">{"'előző év december'!$A$2:$CP$214"}</definedName>
    <definedName name="asdfasd" localSheetId="98" hidden="1">{"'előző év december'!$A$2:$CP$214"}</definedName>
    <definedName name="asdfasd" localSheetId="99" hidden="1">{"'előző év december'!$A$2:$CP$214"}</definedName>
    <definedName name="asdfasd" localSheetId="100" hidden="1">{"'előző év december'!$A$2:$CP$214"}</definedName>
    <definedName name="asdfasd" localSheetId="101" hidden="1">{"'előző év december'!$A$2:$CP$214"}</definedName>
    <definedName name="asdfasd" localSheetId="108" hidden="1">{"'előző év december'!$A$2:$CP$214"}</definedName>
    <definedName name="asdfasd" localSheetId="115" hidden="1">{"'előző év december'!$A$2:$CP$214"}</definedName>
    <definedName name="asdfasd" localSheetId="5" hidden="1">{"'előző év december'!$A$2:$CP$214"}</definedName>
    <definedName name="asdfasd" localSheetId="7" hidden="1">{"'előző év december'!$A$2:$CP$214"}</definedName>
    <definedName name="asdfasd" localSheetId="8" hidden="1">{"'előző év december'!$A$2:$CP$214"}</definedName>
    <definedName name="asdfasd" localSheetId="9" hidden="1">{"'előző év december'!$A$2:$CP$214"}</definedName>
    <definedName name="asdfasd" localSheetId="10" hidden="1">{"'előző év december'!$A$2:$CP$214"}</definedName>
    <definedName name="asdfasd" localSheetId="14" hidden="1">{"'előző év december'!$A$2:$CP$214"}</definedName>
    <definedName name="asdfasd" localSheetId="18" hidden="1">{"'előző év december'!$A$2:$CP$214"}</definedName>
    <definedName name="asdfasd" localSheetId="19" hidden="1">{"'előző év december'!$A$2:$CP$214"}</definedName>
    <definedName name="asdfasd" localSheetId="21" hidden="1">{"'előző év december'!$A$2:$CP$214"}</definedName>
    <definedName name="asdfasd" localSheetId="23" hidden="1">{"'előző év december'!$A$2:$CP$214"}</definedName>
    <definedName name="asdfasd" localSheetId="24" hidden="1">{"'előző év december'!$A$2:$CP$214"}</definedName>
    <definedName name="asdfasd" localSheetId="25" hidden="1">{"'előző év december'!$A$2:$CP$214"}</definedName>
    <definedName name="asdfasd" localSheetId="27" hidden="1">{"'előző év december'!$A$2:$CP$214"}</definedName>
    <definedName name="asdfasd" localSheetId="30" hidden="1">{"'előző év december'!$A$2:$CP$214"}</definedName>
    <definedName name="asdfasd" localSheetId="33" hidden="1">{"'előző év december'!$A$2:$CP$214"}</definedName>
    <definedName name="asdfasd" localSheetId="34" hidden="1">{"'előző év december'!$A$2:$CP$214"}</definedName>
    <definedName name="asdfasd" localSheetId="35" hidden="1">{"'előző év december'!$A$2:$CP$214"}</definedName>
    <definedName name="asdfasd" localSheetId="36" hidden="1">{"'előző év december'!$A$2:$CP$214"}</definedName>
    <definedName name="asdfasd" localSheetId="37" hidden="1">{"'előző év december'!$A$2:$CP$214"}</definedName>
    <definedName name="asdfasd" localSheetId="38" hidden="1">{"'előző év december'!$A$2:$CP$214"}</definedName>
    <definedName name="asdfasd" localSheetId="39" hidden="1">{"'előző év december'!$A$2:$CP$214"}</definedName>
    <definedName name="asdfasd" localSheetId="40" hidden="1">{"'előző év december'!$A$2:$CP$214"}</definedName>
    <definedName name="asdfasd" hidden="1">{"'előző év december'!$A$2:$CP$214"}</definedName>
    <definedName name="bb" localSheetId="50" hidden="1">{"Riqfin97",#N/A,FALSE,"Tran";"Riqfinpro",#N/A,FALSE,"Tran"}</definedName>
    <definedName name="bb" localSheetId="55" hidden="1">{"Riqfin97",#N/A,FALSE,"Tran";"Riqfinpro",#N/A,FALSE,"Tran"}</definedName>
    <definedName name="bb" localSheetId="56" hidden="1">{"Riqfin97",#N/A,FALSE,"Tran";"Riqfinpro",#N/A,FALSE,"Tran"}</definedName>
    <definedName name="bb" localSheetId="57" hidden="1">{"Riqfin97",#N/A,FALSE,"Tran";"Riqfinpro",#N/A,FALSE,"Tran"}</definedName>
    <definedName name="bb" localSheetId="58" hidden="1">{"Riqfin97",#N/A,FALSE,"Tran";"Riqfinpro",#N/A,FALSE,"Tran"}</definedName>
    <definedName name="bb" localSheetId="59" hidden="1">{"Riqfin97",#N/A,FALSE,"Tran";"Riqfinpro",#N/A,FALSE,"Tran"}</definedName>
    <definedName name="bb" localSheetId="62" hidden="1">{"Riqfin97",#N/A,FALSE,"Tran";"Riqfinpro",#N/A,FALSE,"Tran"}</definedName>
    <definedName name="bb" localSheetId="70" hidden="1">{"Riqfin97",#N/A,FALSE,"Tran";"Riqfinpro",#N/A,FALSE,"Tran"}</definedName>
    <definedName name="bb" localSheetId="71" hidden="1">{"Riqfin97",#N/A,FALSE,"Tran";"Riqfinpro",#N/A,FALSE,"Tran"}</definedName>
    <definedName name="bb" localSheetId="72" hidden="1">{"Riqfin97",#N/A,FALSE,"Tran";"Riqfinpro",#N/A,FALSE,"Tran"}</definedName>
    <definedName name="bb" localSheetId="73" hidden="1">{"Riqfin97",#N/A,FALSE,"Tran";"Riqfinpro",#N/A,FALSE,"Tran"}</definedName>
    <definedName name="bb" localSheetId="74" hidden="1">{"Riqfin97",#N/A,FALSE,"Tran";"Riqfinpro",#N/A,FALSE,"Tran"}</definedName>
    <definedName name="bb" localSheetId="75" hidden="1">{"Riqfin97",#N/A,FALSE,"Tran";"Riqfinpro",#N/A,FALSE,"Tran"}</definedName>
    <definedName name="bb" localSheetId="76" hidden="1">{"Riqfin97",#N/A,FALSE,"Tran";"Riqfinpro",#N/A,FALSE,"Tran"}</definedName>
    <definedName name="bb" localSheetId="79" hidden="1">{"Riqfin97",#N/A,FALSE,"Tran";"Riqfinpro",#N/A,FALSE,"Tran"}</definedName>
    <definedName name="bb" localSheetId="80" hidden="1">{"Riqfin97",#N/A,FALSE,"Tran";"Riqfinpro",#N/A,FALSE,"Tran"}</definedName>
    <definedName name="bb" localSheetId="81" hidden="1">{"Riqfin97",#N/A,FALSE,"Tran";"Riqfinpro",#N/A,FALSE,"Tran"}</definedName>
    <definedName name="bb" localSheetId="83" hidden="1">{"Riqfin97",#N/A,FALSE,"Tran";"Riqfinpro",#N/A,FALSE,"Tran"}</definedName>
    <definedName name="bb" localSheetId="97" hidden="1">{"Riqfin97",#N/A,FALSE,"Tran";"Riqfinpro",#N/A,FALSE,"Tran"}</definedName>
    <definedName name="bb" localSheetId="98" hidden="1">{"Riqfin97",#N/A,FALSE,"Tran";"Riqfinpro",#N/A,FALSE,"Tran"}</definedName>
    <definedName name="bb" localSheetId="99" hidden="1">{"Riqfin97",#N/A,FALSE,"Tran";"Riqfinpro",#N/A,FALSE,"Tran"}</definedName>
    <definedName name="bb" localSheetId="100" hidden="1">{"Riqfin97",#N/A,FALSE,"Tran";"Riqfinpro",#N/A,FALSE,"Tran"}</definedName>
    <definedName name="bb" localSheetId="101" hidden="1">{"Riqfin97",#N/A,FALSE,"Tran";"Riqfinpro",#N/A,FALSE,"Tran"}</definedName>
    <definedName name="bb" localSheetId="108" hidden="1">{"Riqfin97",#N/A,FALSE,"Tran";"Riqfinpro",#N/A,FALSE,"Tran"}</definedName>
    <definedName name="bb" localSheetId="115" hidden="1">{"Riqfin97",#N/A,FALSE,"Tran";"Riqfinpro",#N/A,FALSE,"Tran"}</definedName>
    <definedName name="bb" localSheetId="5" hidden="1">{"Riqfin97",#N/A,FALSE,"Tran";"Riqfinpro",#N/A,FALSE,"Tran"}</definedName>
    <definedName name="bb" localSheetId="7" hidden="1">{"Riqfin97",#N/A,FALSE,"Tran";"Riqfinpro",#N/A,FALSE,"Tran"}</definedName>
    <definedName name="bb" localSheetId="8" hidden="1">{"Riqfin97",#N/A,FALSE,"Tran";"Riqfinpro",#N/A,FALSE,"Tran"}</definedName>
    <definedName name="bb" localSheetId="9" hidden="1">{"Riqfin97",#N/A,FALSE,"Tran";"Riqfinpro",#N/A,FALSE,"Tran"}</definedName>
    <definedName name="bb" localSheetId="10" hidden="1">{"Riqfin97",#N/A,FALSE,"Tran";"Riqfinpro",#N/A,FALSE,"Tran"}</definedName>
    <definedName name="bb" localSheetId="14" hidden="1">{"Riqfin97",#N/A,FALSE,"Tran";"Riqfinpro",#N/A,FALSE,"Tran"}</definedName>
    <definedName name="bb" localSheetId="19" hidden="1">{"Riqfin97",#N/A,FALSE,"Tran";"Riqfinpro",#N/A,FALSE,"Tran"}</definedName>
    <definedName name="bb" localSheetId="21" hidden="1">{"Riqfin97",#N/A,FALSE,"Tran";"Riqfinpro",#N/A,FALSE,"Tran"}</definedName>
    <definedName name="bb" localSheetId="23" hidden="1">{"Riqfin97",#N/A,FALSE,"Tran";"Riqfinpro",#N/A,FALSE,"Tran"}</definedName>
    <definedName name="bb" localSheetId="24" hidden="1">{"Riqfin97",#N/A,FALSE,"Tran";"Riqfinpro",#N/A,FALSE,"Tran"}</definedName>
    <definedName name="bb" localSheetId="25" hidden="1">{"Riqfin97",#N/A,FALSE,"Tran";"Riqfinpro",#N/A,FALSE,"Tran"}</definedName>
    <definedName name="bb" localSheetId="27" hidden="1">{"Riqfin97",#N/A,FALSE,"Tran";"Riqfinpro",#N/A,FALSE,"Tran"}</definedName>
    <definedName name="bb" localSheetId="30" hidden="1">{"Riqfin97",#N/A,FALSE,"Tran";"Riqfinpro",#N/A,FALSE,"Tran"}</definedName>
    <definedName name="bb" localSheetId="33" hidden="1">{"Riqfin97",#N/A,FALSE,"Tran";"Riqfinpro",#N/A,FALSE,"Tran"}</definedName>
    <definedName name="bb" localSheetId="34" hidden="1">{"Riqfin97",#N/A,FALSE,"Tran";"Riqfinpro",#N/A,FALSE,"Tran"}</definedName>
    <definedName name="bb" localSheetId="35" hidden="1">{"Riqfin97",#N/A,FALSE,"Tran";"Riqfinpro",#N/A,FALSE,"Tran"}</definedName>
    <definedName name="bb" localSheetId="36" hidden="1">{"Riqfin97",#N/A,FALSE,"Tran";"Riqfinpro",#N/A,FALSE,"Tran"}</definedName>
    <definedName name="bb" localSheetId="37" hidden="1">{"Riqfin97",#N/A,FALSE,"Tran";"Riqfinpro",#N/A,FALSE,"Tran"}</definedName>
    <definedName name="bb" localSheetId="38" hidden="1">{"Riqfin97",#N/A,FALSE,"Tran";"Riqfinpro",#N/A,FALSE,"Tran"}</definedName>
    <definedName name="bb" localSheetId="39" hidden="1">{"Riqfin97",#N/A,FALSE,"Tran";"Riqfinpro",#N/A,FALSE,"Tran"}</definedName>
    <definedName name="bb" localSheetId="40" hidden="1">{"Riqfin97",#N/A,FALSE,"Tran";"Riqfinpro",#N/A,FALSE,"Tran"}</definedName>
    <definedName name="bb" localSheetId="44" hidden="1">{"Riqfin97",#N/A,FALSE,"Tran";"Riqfinpro",#N/A,FALSE,"Tran"}</definedName>
    <definedName name="bb" hidden="1">{"Riqfin97",#N/A,FALSE,"Tran";"Riqfinpro",#N/A,FALSE,"Tran"}</definedName>
    <definedName name="bbb" localSheetId="50" hidden="1">{"Riqfin97",#N/A,FALSE,"Tran";"Riqfinpro",#N/A,FALSE,"Tran"}</definedName>
    <definedName name="bbb" localSheetId="55" hidden="1">{"Riqfin97",#N/A,FALSE,"Tran";"Riqfinpro",#N/A,FALSE,"Tran"}</definedName>
    <definedName name="bbb" localSheetId="56" hidden="1">{"Riqfin97",#N/A,FALSE,"Tran";"Riqfinpro",#N/A,FALSE,"Tran"}</definedName>
    <definedName name="bbb" localSheetId="57" hidden="1">{"Riqfin97",#N/A,FALSE,"Tran";"Riqfinpro",#N/A,FALSE,"Tran"}</definedName>
    <definedName name="bbb" localSheetId="58" hidden="1">{"Riqfin97",#N/A,FALSE,"Tran";"Riqfinpro",#N/A,FALSE,"Tran"}</definedName>
    <definedName name="bbb" localSheetId="59" hidden="1">{"Riqfin97",#N/A,FALSE,"Tran";"Riqfinpro",#N/A,FALSE,"Tran"}</definedName>
    <definedName name="bbb" localSheetId="62" hidden="1">{"Riqfin97",#N/A,FALSE,"Tran";"Riqfinpro",#N/A,FALSE,"Tran"}</definedName>
    <definedName name="bbb" localSheetId="70" hidden="1">{"Riqfin97",#N/A,FALSE,"Tran";"Riqfinpro",#N/A,FALSE,"Tran"}</definedName>
    <definedName name="bbb" localSheetId="71" hidden="1">{"Riqfin97",#N/A,FALSE,"Tran";"Riqfinpro",#N/A,FALSE,"Tran"}</definedName>
    <definedName name="bbb" localSheetId="72" hidden="1">{"Riqfin97",#N/A,FALSE,"Tran";"Riqfinpro",#N/A,FALSE,"Tran"}</definedName>
    <definedName name="bbb" localSheetId="73" hidden="1">{"Riqfin97",#N/A,FALSE,"Tran";"Riqfinpro",#N/A,FALSE,"Tran"}</definedName>
    <definedName name="bbb" localSheetId="74" hidden="1">{"Riqfin97",#N/A,FALSE,"Tran";"Riqfinpro",#N/A,FALSE,"Tran"}</definedName>
    <definedName name="bbb" localSheetId="75" hidden="1">{"Riqfin97",#N/A,FALSE,"Tran";"Riqfinpro",#N/A,FALSE,"Tran"}</definedName>
    <definedName name="bbb" localSheetId="76" hidden="1">{"Riqfin97",#N/A,FALSE,"Tran";"Riqfinpro",#N/A,FALSE,"Tran"}</definedName>
    <definedName name="bbb" localSheetId="79" hidden="1">{"Riqfin97",#N/A,FALSE,"Tran";"Riqfinpro",#N/A,FALSE,"Tran"}</definedName>
    <definedName name="bbb" localSheetId="80" hidden="1">{"Riqfin97",#N/A,FALSE,"Tran";"Riqfinpro",#N/A,FALSE,"Tran"}</definedName>
    <definedName name="bbb" localSheetId="81" hidden="1">{"Riqfin97",#N/A,FALSE,"Tran";"Riqfinpro",#N/A,FALSE,"Tran"}</definedName>
    <definedName name="bbb" localSheetId="83" hidden="1">{"Riqfin97",#N/A,FALSE,"Tran";"Riqfinpro",#N/A,FALSE,"Tran"}</definedName>
    <definedName name="bbb" localSheetId="97" hidden="1">{"Riqfin97",#N/A,FALSE,"Tran";"Riqfinpro",#N/A,FALSE,"Tran"}</definedName>
    <definedName name="bbb" localSheetId="98" hidden="1">{"Riqfin97",#N/A,FALSE,"Tran";"Riqfinpro",#N/A,FALSE,"Tran"}</definedName>
    <definedName name="bbb" localSheetId="99" hidden="1">{"Riqfin97",#N/A,FALSE,"Tran";"Riqfinpro",#N/A,FALSE,"Tran"}</definedName>
    <definedName name="bbb" localSheetId="100" hidden="1">{"Riqfin97",#N/A,FALSE,"Tran";"Riqfinpro",#N/A,FALSE,"Tran"}</definedName>
    <definedName name="bbb" localSheetId="101" hidden="1">{"Riqfin97",#N/A,FALSE,"Tran";"Riqfinpro",#N/A,FALSE,"Tran"}</definedName>
    <definedName name="bbb" localSheetId="108" hidden="1">{"Riqfin97",#N/A,FALSE,"Tran";"Riqfinpro",#N/A,FALSE,"Tran"}</definedName>
    <definedName name="bbb" localSheetId="115" hidden="1">{"Riqfin97",#N/A,FALSE,"Tran";"Riqfinpro",#N/A,FALSE,"Tran"}</definedName>
    <definedName name="bbb" localSheetId="5" hidden="1">{"Riqfin97",#N/A,FALSE,"Tran";"Riqfinpro",#N/A,FALSE,"Tran"}</definedName>
    <definedName name="bbb" localSheetId="7" hidden="1">{"Riqfin97",#N/A,FALSE,"Tran";"Riqfinpro",#N/A,FALSE,"Tran"}</definedName>
    <definedName name="bbb" localSheetId="8" hidden="1">{"Riqfin97",#N/A,FALSE,"Tran";"Riqfinpro",#N/A,FALSE,"Tran"}</definedName>
    <definedName name="bbb" localSheetId="9" hidden="1">{"Riqfin97",#N/A,FALSE,"Tran";"Riqfinpro",#N/A,FALSE,"Tran"}</definedName>
    <definedName name="bbb" localSheetId="10" hidden="1">{"Riqfin97",#N/A,FALSE,"Tran";"Riqfinpro",#N/A,FALSE,"Tran"}</definedName>
    <definedName name="bbb" localSheetId="14" hidden="1">{"Riqfin97",#N/A,FALSE,"Tran";"Riqfinpro",#N/A,FALSE,"Tran"}</definedName>
    <definedName name="bbb" localSheetId="19" hidden="1">{"Riqfin97",#N/A,FALSE,"Tran";"Riqfinpro",#N/A,FALSE,"Tran"}</definedName>
    <definedName name="bbb" localSheetId="21" hidden="1">{"Riqfin97",#N/A,FALSE,"Tran";"Riqfinpro",#N/A,FALSE,"Tran"}</definedName>
    <definedName name="bbb" localSheetId="23" hidden="1">{"Riqfin97",#N/A,FALSE,"Tran";"Riqfinpro",#N/A,FALSE,"Tran"}</definedName>
    <definedName name="bbb" localSheetId="24" hidden="1">{"Riqfin97",#N/A,FALSE,"Tran";"Riqfinpro",#N/A,FALSE,"Tran"}</definedName>
    <definedName name="bbb" localSheetId="25" hidden="1">{"Riqfin97",#N/A,FALSE,"Tran";"Riqfinpro",#N/A,FALSE,"Tran"}</definedName>
    <definedName name="bbb" localSheetId="27" hidden="1">{"Riqfin97",#N/A,FALSE,"Tran";"Riqfinpro",#N/A,FALSE,"Tran"}</definedName>
    <definedName name="bbb" localSheetId="30" hidden="1">{"Riqfin97",#N/A,FALSE,"Tran";"Riqfinpro",#N/A,FALSE,"Tran"}</definedName>
    <definedName name="bbb" localSheetId="33" hidden="1">{"Riqfin97",#N/A,FALSE,"Tran";"Riqfinpro",#N/A,FALSE,"Tran"}</definedName>
    <definedName name="bbb" localSheetId="34" hidden="1">{"Riqfin97",#N/A,FALSE,"Tran";"Riqfinpro",#N/A,FALSE,"Tran"}</definedName>
    <definedName name="bbb" localSheetId="35" hidden="1">{"Riqfin97",#N/A,FALSE,"Tran";"Riqfinpro",#N/A,FALSE,"Tran"}</definedName>
    <definedName name="bbb" localSheetId="36" hidden="1">{"Riqfin97",#N/A,FALSE,"Tran";"Riqfinpro",#N/A,FALSE,"Tran"}</definedName>
    <definedName name="bbb" localSheetId="37" hidden="1">{"Riqfin97",#N/A,FALSE,"Tran";"Riqfinpro",#N/A,FALSE,"Tran"}</definedName>
    <definedName name="bbb" localSheetId="38" hidden="1">{"Riqfin97",#N/A,FALSE,"Tran";"Riqfinpro",#N/A,FALSE,"Tran"}</definedName>
    <definedName name="bbb" localSheetId="39" hidden="1">{"Riqfin97",#N/A,FALSE,"Tran";"Riqfinpro",#N/A,FALSE,"Tran"}</definedName>
    <definedName name="bbb" localSheetId="40" hidden="1">{"Riqfin97",#N/A,FALSE,"Tran";"Riqfinpro",#N/A,FALSE,"Tran"}</definedName>
    <definedName name="bbb" localSheetId="44" hidden="1">{"Riqfin97",#N/A,FALSE,"Tran";"Riqfinpro",#N/A,FALSE,"Tran"}</definedName>
    <definedName name="bbb" hidden="1">{"Riqfin97",#N/A,FALSE,"Tran";"Riqfinpro",#N/A,FALSE,"Tran"}</definedName>
    <definedName name="bn" localSheetId="50" hidden="1">{"'előző év december'!$A$2:$CP$214"}</definedName>
    <definedName name="bn" localSheetId="56" hidden="1">{"'előző év december'!$A$2:$CP$214"}</definedName>
    <definedName name="bn" localSheetId="57" hidden="1">{"'előző év december'!$A$2:$CP$214"}</definedName>
    <definedName name="bn" localSheetId="58" hidden="1">{"'előző év december'!$A$2:$CP$214"}</definedName>
    <definedName name="bn" localSheetId="59" hidden="1">{"'előző év december'!$A$2:$CP$214"}</definedName>
    <definedName name="bn" localSheetId="62" hidden="1">{"'előző év december'!$A$2:$CP$214"}</definedName>
    <definedName name="bn" localSheetId="70" hidden="1">{"'előző év december'!$A$2:$CP$214"}</definedName>
    <definedName name="bn" localSheetId="71" hidden="1">{"'előző év december'!$A$2:$CP$214"}</definedName>
    <definedName name="bn" localSheetId="72" hidden="1">{"'előző év december'!$A$2:$CP$214"}</definedName>
    <definedName name="bn" localSheetId="73" hidden="1">{"'előző év december'!$A$2:$CP$214"}</definedName>
    <definedName name="bn" localSheetId="74" hidden="1">{"'előző év december'!$A$2:$CP$214"}</definedName>
    <definedName name="bn" localSheetId="79" hidden="1">{"'előző év december'!$A$2:$CP$214"}</definedName>
    <definedName name="bn" localSheetId="80" hidden="1">{"'előző év december'!$A$2:$CP$214"}</definedName>
    <definedName name="bn" localSheetId="81" hidden="1">{"'előző év december'!$A$2:$CP$214"}</definedName>
    <definedName name="bn" localSheetId="97" hidden="1">{"'előző év december'!$A$2:$CP$214"}</definedName>
    <definedName name="bn" localSheetId="98" hidden="1">{"'előző év december'!$A$2:$CP$214"}</definedName>
    <definedName name="bn" localSheetId="99" hidden="1">{"'előző év december'!$A$2:$CP$214"}</definedName>
    <definedName name="bn" localSheetId="100" hidden="1">{"'előző év december'!$A$2:$CP$214"}</definedName>
    <definedName name="bn" localSheetId="101" hidden="1">{"'előző év december'!$A$2:$CP$214"}</definedName>
    <definedName name="bn" localSheetId="108" hidden="1">{"'előző év december'!$A$2:$CP$214"}</definedName>
    <definedName name="bn" localSheetId="115" hidden="1">{"'előző év december'!$A$2:$CP$214"}</definedName>
    <definedName name="bn" localSheetId="5" hidden="1">{"'előző év december'!$A$2:$CP$214"}</definedName>
    <definedName name="bn" localSheetId="7" hidden="1">{"'előző év december'!$A$2:$CP$214"}</definedName>
    <definedName name="bn" localSheetId="8" hidden="1">{"'előző év december'!$A$2:$CP$214"}</definedName>
    <definedName name="bn" localSheetId="9" hidden="1">{"'előző év december'!$A$2:$CP$214"}</definedName>
    <definedName name="bn" localSheetId="10" hidden="1">{"'előző év december'!$A$2:$CP$214"}</definedName>
    <definedName name="bn" localSheetId="14" hidden="1">{"'előző év december'!$A$2:$CP$214"}</definedName>
    <definedName name="bn" localSheetId="18" hidden="1">{"'előző év december'!$A$2:$CP$214"}</definedName>
    <definedName name="bn" localSheetId="19" hidden="1">{"'előző év december'!$A$2:$CP$214"}</definedName>
    <definedName name="bn" localSheetId="21" hidden="1">{"'előző év december'!$A$2:$CP$214"}</definedName>
    <definedName name="bn" localSheetId="23" hidden="1">{"'előző év december'!$A$2:$CP$214"}</definedName>
    <definedName name="bn" localSheetId="24" hidden="1">{"'előző év december'!$A$2:$CP$214"}</definedName>
    <definedName name="bn" localSheetId="25" hidden="1">{"'előző év december'!$A$2:$CP$214"}</definedName>
    <definedName name="bn" localSheetId="27" hidden="1">{"'előző év december'!$A$2:$CP$214"}</definedName>
    <definedName name="bn" localSheetId="30" hidden="1">{"'előző év december'!$A$2:$CP$214"}</definedName>
    <definedName name="bn" localSheetId="33" hidden="1">{"'előző év december'!$A$2:$CP$214"}</definedName>
    <definedName name="bn" localSheetId="34" hidden="1">{"'előző év december'!$A$2:$CP$214"}</definedName>
    <definedName name="bn" localSheetId="35" hidden="1">{"'előző év december'!$A$2:$CP$214"}</definedName>
    <definedName name="bn" localSheetId="36" hidden="1">{"'előző év december'!$A$2:$CP$214"}</definedName>
    <definedName name="bn" localSheetId="37" hidden="1">{"'előző év december'!$A$2:$CP$214"}</definedName>
    <definedName name="bn" localSheetId="38" hidden="1">{"'előző év december'!$A$2:$CP$214"}</definedName>
    <definedName name="bn" localSheetId="39" hidden="1">{"'előző év december'!$A$2:$CP$214"}</definedName>
    <definedName name="bn" localSheetId="40" hidden="1">{"'előző év december'!$A$2:$CP$214"}</definedName>
    <definedName name="bn" hidden="1">{"'előző év december'!$A$2:$CP$214"}</definedName>
    <definedName name="cc" localSheetId="50" hidden="1">{"Riqfin97",#N/A,FALSE,"Tran";"Riqfinpro",#N/A,FALSE,"Tran"}</definedName>
    <definedName name="cc" localSheetId="55" hidden="1">{"Riqfin97",#N/A,FALSE,"Tran";"Riqfinpro",#N/A,FALSE,"Tran"}</definedName>
    <definedName name="cc" localSheetId="56" hidden="1">{"Riqfin97",#N/A,FALSE,"Tran";"Riqfinpro",#N/A,FALSE,"Tran"}</definedName>
    <definedName name="cc" localSheetId="57" hidden="1">{"Riqfin97",#N/A,FALSE,"Tran";"Riqfinpro",#N/A,FALSE,"Tran"}</definedName>
    <definedName name="cc" localSheetId="58" hidden="1">{"Riqfin97",#N/A,FALSE,"Tran";"Riqfinpro",#N/A,FALSE,"Tran"}</definedName>
    <definedName name="cc" localSheetId="59" hidden="1">{"Riqfin97",#N/A,FALSE,"Tran";"Riqfinpro",#N/A,FALSE,"Tran"}</definedName>
    <definedName name="cc" localSheetId="62" hidden="1">{"Riqfin97",#N/A,FALSE,"Tran";"Riqfinpro",#N/A,FALSE,"Tran"}</definedName>
    <definedName name="cc" localSheetId="70" hidden="1">{"Riqfin97",#N/A,FALSE,"Tran";"Riqfinpro",#N/A,FALSE,"Tran"}</definedName>
    <definedName name="cc" localSheetId="71" hidden="1">{"Riqfin97",#N/A,FALSE,"Tran";"Riqfinpro",#N/A,FALSE,"Tran"}</definedName>
    <definedName name="cc" localSheetId="72" hidden="1">{"Riqfin97",#N/A,FALSE,"Tran";"Riqfinpro",#N/A,FALSE,"Tran"}</definedName>
    <definedName name="cc" localSheetId="73" hidden="1">{"Riqfin97",#N/A,FALSE,"Tran";"Riqfinpro",#N/A,FALSE,"Tran"}</definedName>
    <definedName name="cc" localSheetId="74" hidden="1">{"Riqfin97",#N/A,FALSE,"Tran";"Riqfinpro",#N/A,FALSE,"Tran"}</definedName>
    <definedName name="cc" localSheetId="75" hidden="1">{"Riqfin97",#N/A,FALSE,"Tran";"Riqfinpro",#N/A,FALSE,"Tran"}</definedName>
    <definedName name="cc" localSheetId="76" hidden="1">{"Riqfin97",#N/A,FALSE,"Tran";"Riqfinpro",#N/A,FALSE,"Tran"}</definedName>
    <definedName name="cc" localSheetId="79" hidden="1">{"Riqfin97",#N/A,FALSE,"Tran";"Riqfinpro",#N/A,FALSE,"Tran"}</definedName>
    <definedName name="cc" localSheetId="80" hidden="1">{"Riqfin97",#N/A,FALSE,"Tran";"Riqfinpro",#N/A,FALSE,"Tran"}</definedName>
    <definedName name="cc" localSheetId="81" hidden="1">{"Riqfin97",#N/A,FALSE,"Tran";"Riqfinpro",#N/A,FALSE,"Tran"}</definedName>
    <definedName name="cc" localSheetId="83" hidden="1">{"Riqfin97",#N/A,FALSE,"Tran";"Riqfinpro",#N/A,FALSE,"Tran"}</definedName>
    <definedName name="cc" localSheetId="97" hidden="1">{"Riqfin97",#N/A,FALSE,"Tran";"Riqfinpro",#N/A,FALSE,"Tran"}</definedName>
    <definedName name="cc" localSheetId="98" hidden="1">{"Riqfin97",#N/A,FALSE,"Tran";"Riqfinpro",#N/A,FALSE,"Tran"}</definedName>
    <definedName name="cc" localSheetId="99" hidden="1">{"Riqfin97",#N/A,FALSE,"Tran";"Riqfinpro",#N/A,FALSE,"Tran"}</definedName>
    <definedName name="cc" localSheetId="100" hidden="1">{"Riqfin97",#N/A,FALSE,"Tran";"Riqfinpro",#N/A,FALSE,"Tran"}</definedName>
    <definedName name="cc" localSheetId="101" hidden="1">{"Riqfin97",#N/A,FALSE,"Tran";"Riqfinpro",#N/A,FALSE,"Tran"}</definedName>
    <definedName name="cc" localSheetId="108" hidden="1">{"Riqfin97",#N/A,FALSE,"Tran";"Riqfinpro",#N/A,FALSE,"Tran"}</definedName>
    <definedName name="cc" localSheetId="115" hidden="1">{"Riqfin97",#N/A,FALSE,"Tran";"Riqfinpro",#N/A,FALSE,"Tran"}</definedName>
    <definedName name="cc" localSheetId="5" hidden="1">{"Riqfin97",#N/A,FALSE,"Tran";"Riqfinpro",#N/A,FALSE,"Tran"}</definedName>
    <definedName name="cc" localSheetId="7" hidden="1">{"Riqfin97",#N/A,FALSE,"Tran";"Riqfinpro",#N/A,FALSE,"Tran"}</definedName>
    <definedName name="cc" localSheetId="8" hidden="1">{"Riqfin97",#N/A,FALSE,"Tran";"Riqfinpro",#N/A,FALSE,"Tran"}</definedName>
    <definedName name="cc" localSheetId="9" hidden="1">{"Riqfin97",#N/A,FALSE,"Tran";"Riqfinpro",#N/A,FALSE,"Tran"}</definedName>
    <definedName name="cc" localSheetId="10" hidden="1">{"Riqfin97",#N/A,FALSE,"Tran";"Riqfinpro",#N/A,FALSE,"Tran"}</definedName>
    <definedName name="cc" localSheetId="14" hidden="1">{"Riqfin97",#N/A,FALSE,"Tran";"Riqfinpro",#N/A,FALSE,"Tran"}</definedName>
    <definedName name="cc" localSheetId="19" hidden="1">{"Riqfin97",#N/A,FALSE,"Tran";"Riqfinpro",#N/A,FALSE,"Tran"}</definedName>
    <definedName name="cc" localSheetId="21" hidden="1">{"Riqfin97",#N/A,FALSE,"Tran";"Riqfinpro",#N/A,FALSE,"Tran"}</definedName>
    <definedName name="cc" localSheetId="23" hidden="1">{"Riqfin97",#N/A,FALSE,"Tran";"Riqfinpro",#N/A,FALSE,"Tran"}</definedName>
    <definedName name="cc" localSheetId="24" hidden="1">{"Riqfin97",#N/A,FALSE,"Tran";"Riqfinpro",#N/A,FALSE,"Tran"}</definedName>
    <definedName name="cc" localSheetId="25" hidden="1">{"Riqfin97",#N/A,FALSE,"Tran";"Riqfinpro",#N/A,FALSE,"Tran"}</definedName>
    <definedName name="cc" localSheetId="27" hidden="1">{"Riqfin97",#N/A,FALSE,"Tran";"Riqfinpro",#N/A,FALSE,"Tran"}</definedName>
    <definedName name="cc" localSheetId="30" hidden="1">{"Riqfin97",#N/A,FALSE,"Tran";"Riqfinpro",#N/A,FALSE,"Tran"}</definedName>
    <definedName name="cc" localSheetId="33" hidden="1">{"Riqfin97",#N/A,FALSE,"Tran";"Riqfinpro",#N/A,FALSE,"Tran"}</definedName>
    <definedName name="cc" localSheetId="34" hidden="1">{"Riqfin97",#N/A,FALSE,"Tran";"Riqfinpro",#N/A,FALSE,"Tran"}</definedName>
    <definedName name="cc" localSheetId="35" hidden="1">{"Riqfin97",#N/A,FALSE,"Tran";"Riqfinpro",#N/A,FALSE,"Tran"}</definedName>
    <definedName name="cc" localSheetId="36" hidden="1">{"Riqfin97",#N/A,FALSE,"Tran";"Riqfinpro",#N/A,FALSE,"Tran"}</definedName>
    <definedName name="cc" localSheetId="37" hidden="1">{"Riqfin97",#N/A,FALSE,"Tran";"Riqfinpro",#N/A,FALSE,"Tran"}</definedName>
    <definedName name="cc" localSheetId="38" hidden="1">{"Riqfin97",#N/A,FALSE,"Tran";"Riqfinpro",#N/A,FALSE,"Tran"}</definedName>
    <definedName name="cc" localSheetId="39" hidden="1">{"Riqfin97",#N/A,FALSE,"Tran";"Riqfinpro",#N/A,FALSE,"Tran"}</definedName>
    <definedName name="cc" localSheetId="40" hidden="1">{"Riqfin97",#N/A,FALSE,"Tran";"Riqfinpro",#N/A,FALSE,"Tran"}</definedName>
    <definedName name="cc" localSheetId="44" hidden="1">{"Riqfin97",#N/A,FALSE,"Tran";"Riqfinpro",#N/A,FALSE,"Tran"}</definedName>
    <definedName name="cc" hidden="1">{"Riqfin97",#N/A,FALSE,"Tran";"Riqfinpro",#N/A,FALSE,"Tran"}</definedName>
    <definedName name="ccc" localSheetId="50" hidden="1">{"Riqfin97",#N/A,FALSE,"Tran";"Riqfinpro",#N/A,FALSE,"Tran"}</definedName>
    <definedName name="ccc" localSheetId="55" hidden="1">{"Riqfin97",#N/A,FALSE,"Tran";"Riqfinpro",#N/A,FALSE,"Tran"}</definedName>
    <definedName name="ccc" localSheetId="56" hidden="1">{"Riqfin97",#N/A,FALSE,"Tran";"Riqfinpro",#N/A,FALSE,"Tran"}</definedName>
    <definedName name="ccc" localSheetId="57" hidden="1">{"Riqfin97",#N/A,FALSE,"Tran";"Riqfinpro",#N/A,FALSE,"Tran"}</definedName>
    <definedName name="ccc" localSheetId="58" hidden="1">{"Riqfin97",#N/A,FALSE,"Tran";"Riqfinpro",#N/A,FALSE,"Tran"}</definedName>
    <definedName name="ccc" localSheetId="59" hidden="1">{"Riqfin97",#N/A,FALSE,"Tran";"Riqfinpro",#N/A,FALSE,"Tran"}</definedName>
    <definedName name="ccc" localSheetId="62" hidden="1">{"Riqfin97",#N/A,FALSE,"Tran";"Riqfinpro",#N/A,FALSE,"Tran"}</definedName>
    <definedName name="ccc" localSheetId="70" hidden="1">{"Riqfin97",#N/A,FALSE,"Tran";"Riqfinpro",#N/A,FALSE,"Tran"}</definedName>
    <definedName name="ccc" localSheetId="71" hidden="1">{"Riqfin97",#N/A,FALSE,"Tran";"Riqfinpro",#N/A,FALSE,"Tran"}</definedName>
    <definedName name="ccc" localSheetId="72" hidden="1">{"Riqfin97",#N/A,FALSE,"Tran";"Riqfinpro",#N/A,FALSE,"Tran"}</definedName>
    <definedName name="ccc" localSheetId="73" hidden="1">{"Riqfin97",#N/A,FALSE,"Tran";"Riqfinpro",#N/A,FALSE,"Tran"}</definedName>
    <definedName name="ccc" localSheetId="74" hidden="1">{"Riqfin97",#N/A,FALSE,"Tran";"Riqfinpro",#N/A,FALSE,"Tran"}</definedName>
    <definedName name="ccc" localSheetId="75" hidden="1">{"Riqfin97",#N/A,FALSE,"Tran";"Riqfinpro",#N/A,FALSE,"Tran"}</definedName>
    <definedName name="ccc" localSheetId="76" hidden="1">{"Riqfin97",#N/A,FALSE,"Tran";"Riqfinpro",#N/A,FALSE,"Tran"}</definedName>
    <definedName name="ccc" localSheetId="79" hidden="1">{"Riqfin97",#N/A,FALSE,"Tran";"Riqfinpro",#N/A,FALSE,"Tran"}</definedName>
    <definedName name="ccc" localSheetId="80" hidden="1">{"Riqfin97",#N/A,FALSE,"Tran";"Riqfinpro",#N/A,FALSE,"Tran"}</definedName>
    <definedName name="ccc" localSheetId="81" hidden="1">{"Riqfin97",#N/A,FALSE,"Tran";"Riqfinpro",#N/A,FALSE,"Tran"}</definedName>
    <definedName name="ccc" localSheetId="83" hidden="1">{"Riqfin97",#N/A,FALSE,"Tran";"Riqfinpro",#N/A,FALSE,"Tran"}</definedName>
    <definedName name="ccc" localSheetId="97" hidden="1">{"Riqfin97",#N/A,FALSE,"Tran";"Riqfinpro",#N/A,FALSE,"Tran"}</definedName>
    <definedName name="ccc" localSheetId="98" hidden="1">{"Riqfin97",#N/A,FALSE,"Tran";"Riqfinpro",#N/A,FALSE,"Tran"}</definedName>
    <definedName name="ccc" localSheetId="99" hidden="1">{"Riqfin97",#N/A,FALSE,"Tran";"Riqfinpro",#N/A,FALSE,"Tran"}</definedName>
    <definedName name="ccc" localSheetId="100" hidden="1">{"Riqfin97",#N/A,FALSE,"Tran";"Riqfinpro",#N/A,FALSE,"Tran"}</definedName>
    <definedName name="ccc" localSheetId="101" hidden="1">{"Riqfin97",#N/A,FALSE,"Tran";"Riqfinpro",#N/A,FALSE,"Tran"}</definedName>
    <definedName name="ccc" localSheetId="108" hidden="1">{"Riqfin97",#N/A,FALSE,"Tran";"Riqfinpro",#N/A,FALSE,"Tran"}</definedName>
    <definedName name="ccc" localSheetId="115" hidden="1">{"Riqfin97",#N/A,FALSE,"Tran";"Riqfinpro",#N/A,FALSE,"Tran"}</definedName>
    <definedName name="ccc" localSheetId="5" hidden="1">{"Riqfin97",#N/A,FALSE,"Tran";"Riqfinpro",#N/A,FALSE,"Tran"}</definedName>
    <definedName name="ccc" localSheetId="7" hidden="1">{"Riqfin97",#N/A,FALSE,"Tran";"Riqfinpro",#N/A,FALSE,"Tran"}</definedName>
    <definedName name="ccc" localSheetId="8" hidden="1">{"Riqfin97",#N/A,FALSE,"Tran";"Riqfinpro",#N/A,FALSE,"Tran"}</definedName>
    <definedName name="ccc" localSheetId="9" hidden="1">{"Riqfin97",#N/A,FALSE,"Tran";"Riqfinpro",#N/A,FALSE,"Tran"}</definedName>
    <definedName name="ccc" localSheetId="10" hidden="1">{"Riqfin97",#N/A,FALSE,"Tran";"Riqfinpro",#N/A,FALSE,"Tran"}</definedName>
    <definedName name="ccc" localSheetId="14" hidden="1">{"Riqfin97",#N/A,FALSE,"Tran";"Riqfinpro",#N/A,FALSE,"Tran"}</definedName>
    <definedName name="ccc" localSheetId="19" hidden="1">{"Riqfin97",#N/A,FALSE,"Tran";"Riqfinpro",#N/A,FALSE,"Tran"}</definedName>
    <definedName name="ccc" localSheetId="21" hidden="1">{"Riqfin97",#N/A,FALSE,"Tran";"Riqfinpro",#N/A,FALSE,"Tran"}</definedName>
    <definedName name="ccc" localSheetId="23" hidden="1">{"Riqfin97",#N/A,FALSE,"Tran";"Riqfinpro",#N/A,FALSE,"Tran"}</definedName>
    <definedName name="ccc" localSheetId="24" hidden="1">{"Riqfin97",#N/A,FALSE,"Tran";"Riqfinpro",#N/A,FALSE,"Tran"}</definedName>
    <definedName name="ccc" localSheetId="25" hidden="1">{"Riqfin97",#N/A,FALSE,"Tran";"Riqfinpro",#N/A,FALSE,"Tran"}</definedName>
    <definedName name="ccc" localSheetId="27" hidden="1">{"Riqfin97",#N/A,FALSE,"Tran";"Riqfinpro",#N/A,FALSE,"Tran"}</definedName>
    <definedName name="ccc" localSheetId="30" hidden="1">{"Riqfin97",#N/A,FALSE,"Tran";"Riqfinpro",#N/A,FALSE,"Tran"}</definedName>
    <definedName name="ccc" localSheetId="33" hidden="1">{"Riqfin97",#N/A,FALSE,"Tran";"Riqfinpro",#N/A,FALSE,"Tran"}</definedName>
    <definedName name="ccc" localSheetId="34" hidden="1">{"Riqfin97",#N/A,FALSE,"Tran";"Riqfinpro",#N/A,FALSE,"Tran"}</definedName>
    <definedName name="ccc" localSheetId="35" hidden="1">{"Riqfin97",#N/A,FALSE,"Tran";"Riqfinpro",#N/A,FALSE,"Tran"}</definedName>
    <definedName name="ccc" localSheetId="36" hidden="1">{"Riqfin97",#N/A,FALSE,"Tran";"Riqfinpro",#N/A,FALSE,"Tran"}</definedName>
    <definedName name="ccc" localSheetId="37" hidden="1">{"Riqfin97",#N/A,FALSE,"Tran";"Riqfinpro",#N/A,FALSE,"Tran"}</definedName>
    <definedName name="ccc" localSheetId="38" hidden="1">{"Riqfin97",#N/A,FALSE,"Tran";"Riqfinpro",#N/A,FALSE,"Tran"}</definedName>
    <definedName name="ccc" localSheetId="39" hidden="1">{"Riqfin97",#N/A,FALSE,"Tran";"Riqfinpro",#N/A,FALSE,"Tran"}</definedName>
    <definedName name="ccc" localSheetId="40" hidden="1">{"Riqfin97",#N/A,FALSE,"Tran";"Riqfinpro",#N/A,FALSE,"Tran"}</definedName>
    <definedName name="ccc" localSheetId="44" hidden="1">{"Riqfin97",#N/A,FALSE,"Tran";"Riqfinpro",#N/A,FALSE,"Tran"}</definedName>
    <definedName name="ccc" hidden="1">{"Riqfin97",#N/A,FALSE,"Tran";"Riqfinpro",#N/A,FALSE,"Tran"}</definedName>
    <definedName name="cp" localSheetId="50" hidden="1">{"'előző év december'!$A$2:$CP$214"}</definedName>
    <definedName name="cp" localSheetId="56" hidden="1">{"'előző év december'!$A$2:$CP$214"}</definedName>
    <definedName name="cp" localSheetId="57" hidden="1">{"'előző év december'!$A$2:$CP$214"}</definedName>
    <definedName name="cp" localSheetId="58" hidden="1">{"'előző év december'!$A$2:$CP$214"}</definedName>
    <definedName name="cp" localSheetId="59" hidden="1">{"'előző év december'!$A$2:$CP$214"}</definedName>
    <definedName name="cp" localSheetId="62" hidden="1">{"'előző év december'!$A$2:$CP$214"}</definedName>
    <definedName name="cp" localSheetId="70" hidden="1">{"'előző év december'!$A$2:$CP$214"}</definedName>
    <definedName name="cp" localSheetId="71" hidden="1">{"'előző év december'!$A$2:$CP$214"}</definedName>
    <definedName name="cp" localSheetId="72" hidden="1">{"'előző év december'!$A$2:$CP$214"}</definedName>
    <definedName name="cp" localSheetId="73" hidden="1">{"'előző év december'!$A$2:$CP$214"}</definedName>
    <definedName name="cp" localSheetId="74" hidden="1">{"'előző év december'!$A$2:$CP$214"}</definedName>
    <definedName name="cp" localSheetId="79" hidden="1">{"'előző év december'!$A$2:$CP$214"}</definedName>
    <definedName name="cp" localSheetId="80" hidden="1">{"'előző év december'!$A$2:$CP$214"}</definedName>
    <definedName name="cp" localSheetId="81" hidden="1">{"'előző év december'!$A$2:$CP$214"}</definedName>
    <definedName name="cp" localSheetId="97" hidden="1">{"'előző év december'!$A$2:$CP$214"}</definedName>
    <definedName name="cp" localSheetId="98" hidden="1">{"'előző év december'!$A$2:$CP$214"}</definedName>
    <definedName name="cp" localSheetId="99" hidden="1">{"'előző év december'!$A$2:$CP$214"}</definedName>
    <definedName name="cp" localSheetId="100" hidden="1">{"'előző év december'!$A$2:$CP$214"}</definedName>
    <definedName name="cp" localSheetId="101" hidden="1">{"'előző év december'!$A$2:$CP$214"}</definedName>
    <definedName name="cp" localSheetId="108" hidden="1">{"'előző év december'!$A$2:$CP$214"}</definedName>
    <definedName name="cp" localSheetId="115" hidden="1">{"'előző év december'!$A$2:$CP$214"}</definedName>
    <definedName name="cp" localSheetId="5" hidden="1">{"'előző év december'!$A$2:$CP$214"}</definedName>
    <definedName name="cp" localSheetId="7" hidden="1">{"'előző év december'!$A$2:$CP$214"}</definedName>
    <definedName name="cp" localSheetId="8" hidden="1">{"'előző év december'!$A$2:$CP$214"}</definedName>
    <definedName name="cp" localSheetId="9" hidden="1">{"'előző év december'!$A$2:$CP$214"}</definedName>
    <definedName name="cp" localSheetId="10" hidden="1">{"'előző év december'!$A$2:$CP$214"}</definedName>
    <definedName name="cp" localSheetId="14" hidden="1">{"'előző év december'!$A$2:$CP$214"}</definedName>
    <definedName name="cp" localSheetId="18" hidden="1">{"'előző év december'!$A$2:$CP$214"}</definedName>
    <definedName name="cp" localSheetId="19" hidden="1">{"'előző év december'!$A$2:$CP$214"}</definedName>
    <definedName name="cp" localSheetId="21" hidden="1">{"'előző év december'!$A$2:$CP$214"}</definedName>
    <definedName name="cp" localSheetId="23" hidden="1">{"'előző év december'!$A$2:$CP$214"}</definedName>
    <definedName name="cp" localSheetId="24" hidden="1">{"'előző év december'!$A$2:$CP$214"}</definedName>
    <definedName name="cp" localSheetId="25" hidden="1">{"'előző év december'!$A$2:$CP$214"}</definedName>
    <definedName name="cp" localSheetId="27" hidden="1">{"'előző év december'!$A$2:$CP$214"}</definedName>
    <definedName name="cp" localSheetId="30" hidden="1">{"'előző év december'!$A$2:$CP$214"}</definedName>
    <definedName name="cp" localSheetId="33" hidden="1">{"'előző év december'!$A$2:$CP$214"}</definedName>
    <definedName name="cp" localSheetId="34" hidden="1">{"'előző év december'!$A$2:$CP$214"}</definedName>
    <definedName name="cp" localSheetId="35" hidden="1">{"'előző év december'!$A$2:$CP$214"}</definedName>
    <definedName name="cp" localSheetId="36" hidden="1">{"'előző év december'!$A$2:$CP$214"}</definedName>
    <definedName name="cp" localSheetId="37" hidden="1">{"'előző év december'!$A$2:$CP$214"}</definedName>
    <definedName name="cp" localSheetId="38" hidden="1">{"'előző év december'!$A$2:$CP$214"}</definedName>
    <definedName name="cp" localSheetId="39" hidden="1">{"'előző év december'!$A$2:$CP$214"}</definedName>
    <definedName name="cp" localSheetId="40" hidden="1">{"'előző év december'!$A$2:$CP$214"}</definedName>
    <definedName name="cp" hidden="1">{"'előző év december'!$A$2:$CP$214"}</definedName>
    <definedName name="cpr" localSheetId="50" hidden="1">{"'előző év december'!$A$2:$CP$214"}</definedName>
    <definedName name="cpr" localSheetId="56" hidden="1">{"'előző év december'!$A$2:$CP$214"}</definedName>
    <definedName name="cpr" localSheetId="57" hidden="1">{"'előző év december'!$A$2:$CP$214"}</definedName>
    <definedName name="cpr" localSheetId="58" hidden="1">{"'előző év december'!$A$2:$CP$214"}</definedName>
    <definedName name="cpr" localSheetId="59" hidden="1">{"'előző év december'!$A$2:$CP$214"}</definedName>
    <definedName name="cpr" localSheetId="62" hidden="1">{"'előző év december'!$A$2:$CP$214"}</definedName>
    <definedName name="cpr" localSheetId="70" hidden="1">{"'előző év december'!$A$2:$CP$214"}</definedName>
    <definedName name="cpr" localSheetId="71" hidden="1">{"'előző év december'!$A$2:$CP$214"}</definedName>
    <definedName name="cpr" localSheetId="72" hidden="1">{"'előző év december'!$A$2:$CP$214"}</definedName>
    <definedName name="cpr" localSheetId="73" hidden="1">{"'előző év december'!$A$2:$CP$214"}</definedName>
    <definedName name="cpr" localSheetId="74" hidden="1">{"'előző év december'!$A$2:$CP$214"}</definedName>
    <definedName name="cpr" localSheetId="79" hidden="1">{"'előző év december'!$A$2:$CP$214"}</definedName>
    <definedName name="cpr" localSheetId="80" hidden="1">{"'előző év december'!$A$2:$CP$214"}</definedName>
    <definedName name="cpr" localSheetId="81" hidden="1">{"'előző év december'!$A$2:$CP$214"}</definedName>
    <definedName name="cpr" localSheetId="97" hidden="1">{"'előző év december'!$A$2:$CP$214"}</definedName>
    <definedName name="cpr" localSheetId="98" hidden="1">{"'előző év december'!$A$2:$CP$214"}</definedName>
    <definedName name="cpr" localSheetId="99" hidden="1">{"'előző év december'!$A$2:$CP$214"}</definedName>
    <definedName name="cpr" localSheetId="100" hidden="1">{"'előző év december'!$A$2:$CP$214"}</definedName>
    <definedName name="cpr" localSheetId="101" hidden="1">{"'előző év december'!$A$2:$CP$214"}</definedName>
    <definedName name="cpr" localSheetId="108" hidden="1">{"'előző év december'!$A$2:$CP$214"}</definedName>
    <definedName name="cpr" localSheetId="115" hidden="1">{"'előző év december'!$A$2:$CP$214"}</definedName>
    <definedName name="cpr" localSheetId="5" hidden="1">{"'előző év december'!$A$2:$CP$214"}</definedName>
    <definedName name="cpr" localSheetId="7" hidden="1">{"'előző év december'!$A$2:$CP$214"}</definedName>
    <definedName name="cpr" localSheetId="8" hidden="1">{"'előző év december'!$A$2:$CP$214"}</definedName>
    <definedName name="cpr" localSheetId="9" hidden="1">{"'előző év december'!$A$2:$CP$214"}</definedName>
    <definedName name="cpr" localSheetId="10" hidden="1">{"'előző év december'!$A$2:$CP$214"}</definedName>
    <definedName name="cpr" localSheetId="14" hidden="1">{"'előző év december'!$A$2:$CP$214"}</definedName>
    <definedName name="cpr" localSheetId="18" hidden="1">{"'előző év december'!$A$2:$CP$214"}</definedName>
    <definedName name="cpr" localSheetId="19" hidden="1">{"'előző év december'!$A$2:$CP$214"}</definedName>
    <definedName name="cpr" localSheetId="21" hidden="1">{"'előző év december'!$A$2:$CP$214"}</definedName>
    <definedName name="cpr" localSheetId="23" hidden="1">{"'előző év december'!$A$2:$CP$214"}</definedName>
    <definedName name="cpr" localSheetId="24" hidden="1">{"'előző év december'!$A$2:$CP$214"}</definedName>
    <definedName name="cpr" localSheetId="25" hidden="1">{"'előző év december'!$A$2:$CP$214"}</definedName>
    <definedName name="cpr" localSheetId="27" hidden="1">{"'előző év december'!$A$2:$CP$214"}</definedName>
    <definedName name="cpr" localSheetId="30" hidden="1">{"'előző év december'!$A$2:$CP$214"}</definedName>
    <definedName name="cpr" localSheetId="33" hidden="1">{"'előző év december'!$A$2:$CP$214"}</definedName>
    <definedName name="cpr" localSheetId="34" hidden="1">{"'előző év december'!$A$2:$CP$214"}</definedName>
    <definedName name="cpr" localSheetId="35" hidden="1">{"'előző év december'!$A$2:$CP$214"}</definedName>
    <definedName name="cpr" localSheetId="36" hidden="1">{"'előző év december'!$A$2:$CP$214"}</definedName>
    <definedName name="cpr" localSheetId="37" hidden="1">{"'előző év december'!$A$2:$CP$214"}</definedName>
    <definedName name="cpr" localSheetId="38" hidden="1">{"'előző év december'!$A$2:$CP$214"}</definedName>
    <definedName name="cpr" localSheetId="39" hidden="1">{"'előző év december'!$A$2:$CP$214"}</definedName>
    <definedName name="cpr" localSheetId="40" hidden="1">{"'előző év december'!$A$2:$CP$214"}</definedName>
    <definedName name="cpr" hidden="1">{"'előző év december'!$A$2:$CP$214"}</definedName>
    <definedName name="cprsa" localSheetId="50" hidden="1">{"'előző év december'!$A$2:$CP$214"}</definedName>
    <definedName name="cprsa" localSheetId="56" hidden="1">{"'előző év december'!$A$2:$CP$214"}</definedName>
    <definedName name="cprsa" localSheetId="57" hidden="1">{"'előző év december'!$A$2:$CP$214"}</definedName>
    <definedName name="cprsa" localSheetId="58" hidden="1">{"'előző év december'!$A$2:$CP$214"}</definedName>
    <definedName name="cprsa" localSheetId="59" hidden="1">{"'előző év december'!$A$2:$CP$214"}</definedName>
    <definedName name="cprsa" localSheetId="62" hidden="1">{"'előző év december'!$A$2:$CP$214"}</definedName>
    <definedName name="cprsa" localSheetId="70" hidden="1">{"'előző év december'!$A$2:$CP$214"}</definedName>
    <definedName name="cprsa" localSheetId="71" hidden="1">{"'előző év december'!$A$2:$CP$214"}</definedName>
    <definedName name="cprsa" localSheetId="72" hidden="1">{"'előző év december'!$A$2:$CP$214"}</definedName>
    <definedName name="cprsa" localSheetId="73" hidden="1">{"'előző év december'!$A$2:$CP$214"}</definedName>
    <definedName name="cprsa" localSheetId="74" hidden="1">{"'előző év december'!$A$2:$CP$214"}</definedName>
    <definedName name="cprsa" localSheetId="79" hidden="1">{"'előző év december'!$A$2:$CP$214"}</definedName>
    <definedName name="cprsa" localSheetId="80" hidden="1">{"'előző év december'!$A$2:$CP$214"}</definedName>
    <definedName name="cprsa" localSheetId="81" hidden="1">{"'előző év december'!$A$2:$CP$214"}</definedName>
    <definedName name="cprsa" localSheetId="97" hidden="1">{"'előző év december'!$A$2:$CP$214"}</definedName>
    <definedName name="cprsa" localSheetId="98" hidden="1">{"'előző év december'!$A$2:$CP$214"}</definedName>
    <definedName name="cprsa" localSheetId="99" hidden="1">{"'előző év december'!$A$2:$CP$214"}</definedName>
    <definedName name="cprsa" localSheetId="100" hidden="1">{"'előző év december'!$A$2:$CP$214"}</definedName>
    <definedName name="cprsa" localSheetId="101" hidden="1">{"'előző év december'!$A$2:$CP$214"}</definedName>
    <definedName name="cprsa" localSheetId="108" hidden="1">{"'előző év december'!$A$2:$CP$214"}</definedName>
    <definedName name="cprsa" localSheetId="115" hidden="1">{"'előző év december'!$A$2:$CP$214"}</definedName>
    <definedName name="cprsa" localSheetId="5" hidden="1">{"'előző év december'!$A$2:$CP$214"}</definedName>
    <definedName name="cprsa" localSheetId="7" hidden="1">{"'előző év december'!$A$2:$CP$214"}</definedName>
    <definedName name="cprsa" localSheetId="8" hidden="1">{"'előző év december'!$A$2:$CP$214"}</definedName>
    <definedName name="cprsa" localSheetId="9" hidden="1">{"'előző év december'!$A$2:$CP$214"}</definedName>
    <definedName name="cprsa" localSheetId="10" hidden="1">{"'előző év december'!$A$2:$CP$214"}</definedName>
    <definedName name="cprsa" localSheetId="14" hidden="1">{"'előző év december'!$A$2:$CP$214"}</definedName>
    <definedName name="cprsa" localSheetId="18" hidden="1">{"'előző év december'!$A$2:$CP$214"}</definedName>
    <definedName name="cprsa" localSheetId="19" hidden="1">{"'előző év december'!$A$2:$CP$214"}</definedName>
    <definedName name="cprsa" localSheetId="21" hidden="1">{"'előző év december'!$A$2:$CP$214"}</definedName>
    <definedName name="cprsa" localSheetId="23" hidden="1">{"'előző év december'!$A$2:$CP$214"}</definedName>
    <definedName name="cprsa" localSheetId="24" hidden="1">{"'előző év december'!$A$2:$CP$214"}</definedName>
    <definedName name="cprsa" localSheetId="25" hidden="1">{"'előző év december'!$A$2:$CP$214"}</definedName>
    <definedName name="cprsa" localSheetId="27" hidden="1">{"'előző év december'!$A$2:$CP$214"}</definedName>
    <definedName name="cprsa" localSheetId="30" hidden="1">{"'előző év december'!$A$2:$CP$214"}</definedName>
    <definedName name="cprsa" localSheetId="33" hidden="1">{"'előző év december'!$A$2:$CP$214"}</definedName>
    <definedName name="cprsa" localSheetId="34" hidden="1">{"'előző év december'!$A$2:$CP$214"}</definedName>
    <definedName name="cprsa" localSheetId="35" hidden="1">{"'előző év december'!$A$2:$CP$214"}</definedName>
    <definedName name="cprsa" localSheetId="36" hidden="1">{"'előző év december'!$A$2:$CP$214"}</definedName>
    <definedName name="cprsa" localSheetId="37" hidden="1">{"'előző év december'!$A$2:$CP$214"}</definedName>
    <definedName name="cprsa" localSheetId="38" hidden="1">{"'előző év december'!$A$2:$CP$214"}</definedName>
    <definedName name="cprsa" localSheetId="39" hidden="1">{"'előző év december'!$A$2:$CP$214"}</definedName>
    <definedName name="cprsa" localSheetId="40" hidden="1">{"'előző év december'!$A$2:$CP$214"}</definedName>
    <definedName name="cprsa" hidden="1">{"'előző év december'!$A$2:$CP$214"}</definedName>
    <definedName name="cx" localSheetId="50" hidden="1">{"'előző év december'!$A$2:$CP$214"}</definedName>
    <definedName name="cx" localSheetId="56" hidden="1">{"'előző év december'!$A$2:$CP$214"}</definedName>
    <definedName name="cx" localSheetId="57" hidden="1">{"'előző év december'!$A$2:$CP$214"}</definedName>
    <definedName name="cx" localSheetId="58" hidden="1">{"'előző év december'!$A$2:$CP$214"}</definedName>
    <definedName name="cx" localSheetId="59" hidden="1">{"'előző év december'!$A$2:$CP$214"}</definedName>
    <definedName name="cx" localSheetId="62" hidden="1">{"'előző év december'!$A$2:$CP$214"}</definedName>
    <definedName name="cx" localSheetId="70" hidden="1">{"'előző év december'!$A$2:$CP$214"}</definedName>
    <definedName name="cx" localSheetId="71" hidden="1">{"'előző év december'!$A$2:$CP$214"}</definedName>
    <definedName name="cx" localSheetId="72" hidden="1">{"'előző év december'!$A$2:$CP$214"}</definedName>
    <definedName name="cx" localSheetId="73" hidden="1">{"'előző év december'!$A$2:$CP$214"}</definedName>
    <definedName name="cx" localSheetId="74" hidden="1">{"'előző év december'!$A$2:$CP$214"}</definedName>
    <definedName name="cx" localSheetId="79" hidden="1">{"'előző év december'!$A$2:$CP$214"}</definedName>
    <definedName name="cx" localSheetId="80" hidden="1">{"'előző év december'!$A$2:$CP$214"}</definedName>
    <definedName name="cx" localSheetId="81" hidden="1">{"'előző év december'!$A$2:$CP$214"}</definedName>
    <definedName name="cx" localSheetId="97" hidden="1">{"'előző év december'!$A$2:$CP$214"}</definedName>
    <definedName name="cx" localSheetId="98" hidden="1">{"'előző év december'!$A$2:$CP$214"}</definedName>
    <definedName name="cx" localSheetId="99" hidden="1">{"'előző év december'!$A$2:$CP$214"}</definedName>
    <definedName name="cx" localSheetId="100" hidden="1">{"'előző év december'!$A$2:$CP$214"}</definedName>
    <definedName name="cx" localSheetId="101" hidden="1">{"'előző év december'!$A$2:$CP$214"}</definedName>
    <definedName name="cx" localSheetId="108" hidden="1">{"'előző év december'!$A$2:$CP$214"}</definedName>
    <definedName name="cx" localSheetId="115" hidden="1">{"'előző év december'!$A$2:$CP$214"}</definedName>
    <definedName name="cx" localSheetId="5" hidden="1">{"'előző év december'!$A$2:$CP$214"}</definedName>
    <definedName name="cx" localSheetId="7" hidden="1">{"'előző év december'!$A$2:$CP$214"}</definedName>
    <definedName name="cx" localSheetId="8" hidden="1">{"'előző év december'!$A$2:$CP$214"}</definedName>
    <definedName name="cx" localSheetId="9" hidden="1">{"'előző év december'!$A$2:$CP$214"}</definedName>
    <definedName name="cx" localSheetId="10" hidden="1">{"'előző év december'!$A$2:$CP$214"}</definedName>
    <definedName name="cx" localSheetId="14" hidden="1">{"'előző év december'!$A$2:$CP$214"}</definedName>
    <definedName name="cx" localSheetId="18" hidden="1">{"'előző év december'!$A$2:$CP$214"}</definedName>
    <definedName name="cx" localSheetId="19" hidden="1">{"'előző év december'!$A$2:$CP$214"}</definedName>
    <definedName name="cx" localSheetId="21" hidden="1">{"'előző év december'!$A$2:$CP$214"}</definedName>
    <definedName name="cx" localSheetId="23" hidden="1">{"'előző év december'!$A$2:$CP$214"}</definedName>
    <definedName name="cx" localSheetId="24" hidden="1">{"'előző év december'!$A$2:$CP$214"}</definedName>
    <definedName name="cx" localSheetId="25" hidden="1">{"'előző év december'!$A$2:$CP$214"}</definedName>
    <definedName name="cx" localSheetId="27" hidden="1">{"'előző év december'!$A$2:$CP$214"}</definedName>
    <definedName name="cx" localSheetId="30" hidden="1">{"'előző év december'!$A$2:$CP$214"}</definedName>
    <definedName name="cx" localSheetId="33" hidden="1">{"'előző év december'!$A$2:$CP$214"}</definedName>
    <definedName name="cx" localSheetId="34" hidden="1">{"'előző év december'!$A$2:$CP$214"}</definedName>
    <definedName name="cx" localSheetId="35" hidden="1">{"'előző év december'!$A$2:$CP$214"}</definedName>
    <definedName name="cx" localSheetId="36" hidden="1">{"'előző év december'!$A$2:$CP$214"}</definedName>
    <definedName name="cx" localSheetId="37" hidden="1">{"'előző év december'!$A$2:$CP$214"}</definedName>
    <definedName name="cx" localSheetId="38" hidden="1">{"'előző év december'!$A$2:$CP$214"}</definedName>
    <definedName name="cx" localSheetId="39" hidden="1">{"'előző év december'!$A$2:$CP$214"}</definedName>
    <definedName name="cx" localSheetId="40" hidden="1">{"'előző év december'!$A$2:$CP$214"}</definedName>
    <definedName name="cx" hidden="1">{"'előző év december'!$A$2:$CP$214"}</definedName>
    <definedName name="dd" localSheetId="50" hidden="1">{"Riqfin97",#N/A,FALSE,"Tran";"Riqfinpro",#N/A,FALSE,"Tran"}</definedName>
    <definedName name="dd" localSheetId="55" hidden="1">{"Riqfin97",#N/A,FALSE,"Tran";"Riqfinpro",#N/A,FALSE,"Tran"}</definedName>
    <definedName name="dd" localSheetId="56" hidden="1">{"Riqfin97",#N/A,FALSE,"Tran";"Riqfinpro",#N/A,FALSE,"Tran"}</definedName>
    <definedName name="dd" localSheetId="57" hidden="1">{"Riqfin97",#N/A,FALSE,"Tran";"Riqfinpro",#N/A,FALSE,"Tran"}</definedName>
    <definedName name="dd" localSheetId="58" hidden="1">{"Riqfin97",#N/A,FALSE,"Tran";"Riqfinpro",#N/A,FALSE,"Tran"}</definedName>
    <definedName name="dd" localSheetId="59" hidden="1">{"Riqfin97",#N/A,FALSE,"Tran";"Riqfinpro",#N/A,FALSE,"Tran"}</definedName>
    <definedName name="dd" localSheetId="62" hidden="1">{"Riqfin97",#N/A,FALSE,"Tran";"Riqfinpro",#N/A,FALSE,"Tran"}</definedName>
    <definedName name="dd" localSheetId="70" hidden="1">{"Riqfin97",#N/A,FALSE,"Tran";"Riqfinpro",#N/A,FALSE,"Tran"}</definedName>
    <definedName name="dd" localSheetId="71" hidden="1">{"Riqfin97",#N/A,FALSE,"Tran";"Riqfinpro",#N/A,FALSE,"Tran"}</definedName>
    <definedName name="dd" localSheetId="72" hidden="1">{"Riqfin97",#N/A,FALSE,"Tran";"Riqfinpro",#N/A,FALSE,"Tran"}</definedName>
    <definedName name="dd" localSheetId="73" hidden="1">{"Riqfin97",#N/A,FALSE,"Tran";"Riqfinpro",#N/A,FALSE,"Tran"}</definedName>
    <definedName name="dd" localSheetId="74" hidden="1">{"Riqfin97",#N/A,FALSE,"Tran";"Riqfinpro",#N/A,FALSE,"Tran"}</definedName>
    <definedName name="dd" localSheetId="75" hidden="1">{"Riqfin97",#N/A,FALSE,"Tran";"Riqfinpro",#N/A,FALSE,"Tran"}</definedName>
    <definedName name="dd" localSheetId="76" hidden="1">{"Riqfin97",#N/A,FALSE,"Tran";"Riqfinpro",#N/A,FALSE,"Tran"}</definedName>
    <definedName name="dd" localSheetId="79" hidden="1">{"Riqfin97",#N/A,FALSE,"Tran";"Riqfinpro",#N/A,FALSE,"Tran"}</definedName>
    <definedName name="dd" localSheetId="80" hidden="1">{"Riqfin97",#N/A,FALSE,"Tran";"Riqfinpro",#N/A,FALSE,"Tran"}</definedName>
    <definedName name="dd" localSheetId="81" hidden="1">{"Riqfin97",#N/A,FALSE,"Tran";"Riqfinpro",#N/A,FALSE,"Tran"}</definedName>
    <definedName name="dd" localSheetId="83" hidden="1">{"Riqfin97",#N/A,FALSE,"Tran";"Riqfinpro",#N/A,FALSE,"Tran"}</definedName>
    <definedName name="dd" localSheetId="97" hidden="1">{"Riqfin97",#N/A,FALSE,"Tran";"Riqfinpro",#N/A,FALSE,"Tran"}</definedName>
    <definedName name="dd" localSheetId="98" hidden="1">{"Riqfin97",#N/A,FALSE,"Tran";"Riqfinpro",#N/A,FALSE,"Tran"}</definedName>
    <definedName name="dd" localSheetId="99" hidden="1">{"Riqfin97",#N/A,FALSE,"Tran";"Riqfinpro",#N/A,FALSE,"Tran"}</definedName>
    <definedName name="dd" localSheetId="100" hidden="1">{"Riqfin97",#N/A,FALSE,"Tran";"Riqfinpro",#N/A,FALSE,"Tran"}</definedName>
    <definedName name="dd" localSheetId="101" hidden="1">{"Riqfin97",#N/A,FALSE,"Tran";"Riqfinpro",#N/A,FALSE,"Tran"}</definedName>
    <definedName name="dd" localSheetId="108" hidden="1">{"Riqfin97",#N/A,FALSE,"Tran";"Riqfinpro",#N/A,FALSE,"Tran"}</definedName>
    <definedName name="dd" localSheetId="115" hidden="1">{"Riqfin97",#N/A,FALSE,"Tran";"Riqfinpro",#N/A,FALSE,"Tran"}</definedName>
    <definedName name="dd" localSheetId="5" hidden="1">{"Riqfin97",#N/A,FALSE,"Tran";"Riqfinpro",#N/A,FALSE,"Tran"}</definedName>
    <definedName name="dd" localSheetId="7" hidden="1">{"Riqfin97",#N/A,FALSE,"Tran";"Riqfinpro",#N/A,FALSE,"Tran"}</definedName>
    <definedName name="dd" localSheetId="8" hidden="1">{"Riqfin97",#N/A,FALSE,"Tran";"Riqfinpro",#N/A,FALSE,"Tran"}</definedName>
    <definedName name="dd" localSheetId="9" hidden="1">{"Riqfin97",#N/A,FALSE,"Tran";"Riqfinpro",#N/A,FALSE,"Tran"}</definedName>
    <definedName name="dd" localSheetId="10" hidden="1">{"Riqfin97",#N/A,FALSE,"Tran";"Riqfinpro",#N/A,FALSE,"Tran"}</definedName>
    <definedName name="dd" localSheetId="14" hidden="1">{"Riqfin97",#N/A,FALSE,"Tran";"Riqfinpro",#N/A,FALSE,"Tran"}</definedName>
    <definedName name="dd" localSheetId="19" hidden="1">{"Riqfin97",#N/A,FALSE,"Tran";"Riqfinpro",#N/A,FALSE,"Tran"}</definedName>
    <definedName name="dd" localSheetId="21" hidden="1">{"Riqfin97",#N/A,FALSE,"Tran";"Riqfinpro",#N/A,FALSE,"Tran"}</definedName>
    <definedName name="dd" localSheetId="23" hidden="1">{"Riqfin97",#N/A,FALSE,"Tran";"Riqfinpro",#N/A,FALSE,"Tran"}</definedName>
    <definedName name="dd" localSheetId="24" hidden="1">{"Riqfin97",#N/A,FALSE,"Tran";"Riqfinpro",#N/A,FALSE,"Tran"}</definedName>
    <definedName name="dd" localSheetId="25" hidden="1">{"Riqfin97",#N/A,FALSE,"Tran";"Riqfinpro",#N/A,FALSE,"Tran"}</definedName>
    <definedName name="dd" localSheetId="27" hidden="1">{"Riqfin97",#N/A,FALSE,"Tran";"Riqfinpro",#N/A,FALSE,"Tran"}</definedName>
    <definedName name="dd" localSheetId="30" hidden="1">{"Riqfin97",#N/A,FALSE,"Tran";"Riqfinpro",#N/A,FALSE,"Tran"}</definedName>
    <definedName name="dd" localSheetId="33" hidden="1">{"Riqfin97",#N/A,FALSE,"Tran";"Riqfinpro",#N/A,FALSE,"Tran"}</definedName>
    <definedName name="dd" localSheetId="34" hidden="1">{"Riqfin97",#N/A,FALSE,"Tran";"Riqfinpro",#N/A,FALSE,"Tran"}</definedName>
    <definedName name="dd" localSheetId="35" hidden="1">{"Riqfin97",#N/A,FALSE,"Tran";"Riqfinpro",#N/A,FALSE,"Tran"}</definedName>
    <definedName name="dd" localSheetId="36" hidden="1">{"Riqfin97",#N/A,FALSE,"Tran";"Riqfinpro",#N/A,FALSE,"Tran"}</definedName>
    <definedName name="dd" localSheetId="37" hidden="1">{"Riqfin97",#N/A,FALSE,"Tran";"Riqfinpro",#N/A,FALSE,"Tran"}</definedName>
    <definedName name="dd" localSheetId="38" hidden="1">{"Riqfin97",#N/A,FALSE,"Tran";"Riqfinpro",#N/A,FALSE,"Tran"}</definedName>
    <definedName name="dd" localSheetId="39" hidden="1">{"Riqfin97",#N/A,FALSE,"Tran";"Riqfinpro",#N/A,FALSE,"Tran"}</definedName>
    <definedName name="dd" localSheetId="40" hidden="1">{"Riqfin97",#N/A,FALSE,"Tran";"Riqfinpro",#N/A,FALSE,"Tran"}</definedName>
    <definedName name="dd" localSheetId="44" hidden="1">{"Riqfin97",#N/A,FALSE,"Tran";"Riqfinpro",#N/A,FALSE,"Tran"}</definedName>
    <definedName name="dd" hidden="1">{"Riqfin97",#N/A,FALSE,"Tran";"Riqfinpro",#N/A,FALSE,"Tran"}</definedName>
    <definedName name="ddd" localSheetId="50" hidden="1">{"Riqfin97",#N/A,FALSE,"Tran";"Riqfinpro",#N/A,FALSE,"Tran"}</definedName>
    <definedName name="ddd" localSheetId="55" hidden="1">{"Riqfin97",#N/A,FALSE,"Tran";"Riqfinpro",#N/A,FALSE,"Tran"}</definedName>
    <definedName name="ddd" localSheetId="56" hidden="1">{"Riqfin97",#N/A,FALSE,"Tran";"Riqfinpro",#N/A,FALSE,"Tran"}</definedName>
    <definedName name="ddd" localSheetId="57" hidden="1">{"Riqfin97",#N/A,FALSE,"Tran";"Riqfinpro",#N/A,FALSE,"Tran"}</definedName>
    <definedName name="ddd" localSheetId="58" hidden="1">{"Riqfin97",#N/A,FALSE,"Tran";"Riqfinpro",#N/A,FALSE,"Tran"}</definedName>
    <definedName name="ddd" localSheetId="59" hidden="1">{"Riqfin97",#N/A,FALSE,"Tran";"Riqfinpro",#N/A,FALSE,"Tran"}</definedName>
    <definedName name="ddd" localSheetId="62" hidden="1">{"Riqfin97",#N/A,FALSE,"Tran";"Riqfinpro",#N/A,FALSE,"Tran"}</definedName>
    <definedName name="ddd" localSheetId="70" hidden="1">{"Riqfin97",#N/A,FALSE,"Tran";"Riqfinpro",#N/A,FALSE,"Tran"}</definedName>
    <definedName name="ddd" localSheetId="71" hidden="1">{"Riqfin97",#N/A,FALSE,"Tran";"Riqfinpro",#N/A,FALSE,"Tran"}</definedName>
    <definedName name="ddd" localSheetId="72" hidden="1">{"Riqfin97",#N/A,FALSE,"Tran";"Riqfinpro",#N/A,FALSE,"Tran"}</definedName>
    <definedName name="ddd" localSheetId="73" hidden="1">{"Riqfin97",#N/A,FALSE,"Tran";"Riqfinpro",#N/A,FALSE,"Tran"}</definedName>
    <definedName name="ddd" localSheetId="74" hidden="1">{"Riqfin97",#N/A,FALSE,"Tran";"Riqfinpro",#N/A,FALSE,"Tran"}</definedName>
    <definedName name="ddd" localSheetId="75" hidden="1">{"Riqfin97",#N/A,FALSE,"Tran";"Riqfinpro",#N/A,FALSE,"Tran"}</definedName>
    <definedName name="ddd" localSheetId="76" hidden="1">{"Riqfin97",#N/A,FALSE,"Tran";"Riqfinpro",#N/A,FALSE,"Tran"}</definedName>
    <definedName name="ddd" localSheetId="79" hidden="1">{"Riqfin97",#N/A,FALSE,"Tran";"Riqfinpro",#N/A,FALSE,"Tran"}</definedName>
    <definedName name="ddd" localSheetId="80" hidden="1">{"Riqfin97",#N/A,FALSE,"Tran";"Riqfinpro",#N/A,FALSE,"Tran"}</definedName>
    <definedName name="ddd" localSheetId="81" hidden="1">{"Riqfin97",#N/A,FALSE,"Tran";"Riqfinpro",#N/A,FALSE,"Tran"}</definedName>
    <definedName name="ddd" localSheetId="83" hidden="1">{"Riqfin97",#N/A,FALSE,"Tran";"Riqfinpro",#N/A,FALSE,"Tran"}</definedName>
    <definedName name="ddd" localSheetId="97" hidden="1">{"Riqfin97",#N/A,FALSE,"Tran";"Riqfinpro",#N/A,FALSE,"Tran"}</definedName>
    <definedName name="ddd" localSheetId="98" hidden="1">{"Riqfin97",#N/A,FALSE,"Tran";"Riqfinpro",#N/A,FALSE,"Tran"}</definedName>
    <definedName name="ddd" localSheetId="99" hidden="1">{"Riqfin97",#N/A,FALSE,"Tran";"Riqfinpro",#N/A,FALSE,"Tran"}</definedName>
    <definedName name="ddd" localSheetId="100" hidden="1">{"Riqfin97",#N/A,FALSE,"Tran";"Riqfinpro",#N/A,FALSE,"Tran"}</definedName>
    <definedName name="ddd" localSheetId="101" hidden="1">{"Riqfin97",#N/A,FALSE,"Tran";"Riqfinpro",#N/A,FALSE,"Tran"}</definedName>
    <definedName name="ddd" localSheetId="108" hidden="1">{"Riqfin97",#N/A,FALSE,"Tran";"Riqfinpro",#N/A,FALSE,"Tran"}</definedName>
    <definedName name="ddd" localSheetId="115" hidden="1">{"Riqfin97",#N/A,FALSE,"Tran";"Riqfinpro",#N/A,FALSE,"Tran"}</definedName>
    <definedName name="ddd" localSheetId="5" hidden="1">{"Riqfin97",#N/A,FALSE,"Tran";"Riqfinpro",#N/A,FALSE,"Tran"}</definedName>
    <definedName name="ddd" localSheetId="7" hidden="1">{"Riqfin97",#N/A,FALSE,"Tran";"Riqfinpro",#N/A,FALSE,"Tran"}</definedName>
    <definedName name="ddd" localSheetId="8" hidden="1">{"Riqfin97",#N/A,FALSE,"Tran";"Riqfinpro",#N/A,FALSE,"Tran"}</definedName>
    <definedName name="ddd" localSheetId="9" hidden="1">{"Riqfin97",#N/A,FALSE,"Tran";"Riqfinpro",#N/A,FALSE,"Tran"}</definedName>
    <definedName name="ddd" localSheetId="10" hidden="1">{"Riqfin97",#N/A,FALSE,"Tran";"Riqfinpro",#N/A,FALSE,"Tran"}</definedName>
    <definedName name="ddd" localSheetId="14" hidden="1">{"Riqfin97",#N/A,FALSE,"Tran";"Riqfinpro",#N/A,FALSE,"Tran"}</definedName>
    <definedName name="ddd" localSheetId="19" hidden="1">{"Riqfin97",#N/A,FALSE,"Tran";"Riqfinpro",#N/A,FALSE,"Tran"}</definedName>
    <definedName name="ddd" localSheetId="21" hidden="1">{"Riqfin97",#N/A,FALSE,"Tran";"Riqfinpro",#N/A,FALSE,"Tran"}</definedName>
    <definedName name="ddd" localSheetId="23" hidden="1">{"Riqfin97",#N/A,FALSE,"Tran";"Riqfinpro",#N/A,FALSE,"Tran"}</definedName>
    <definedName name="ddd" localSheetId="24" hidden="1">{"Riqfin97",#N/A,FALSE,"Tran";"Riqfinpro",#N/A,FALSE,"Tran"}</definedName>
    <definedName name="ddd" localSheetId="25" hidden="1">{"Riqfin97",#N/A,FALSE,"Tran";"Riqfinpro",#N/A,FALSE,"Tran"}</definedName>
    <definedName name="ddd" localSheetId="27" hidden="1">{"Riqfin97",#N/A,FALSE,"Tran";"Riqfinpro",#N/A,FALSE,"Tran"}</definedName>
    <definedName name="ddd" localSheetId="30" hidden="1">{"Riqfin97",#N/A,FALSE,"Tran";"Riqfinpro",#N/A,FALSE,"Tran"}</definedName>
    <definedName name="ddd" localSheetId="33" hidden="1">{"Riqfin97",#N/A,FALSE,"Tran";"Riqfinpro",#N/A,FALSE,"Tran"}</definedName>
    <definedName name="ddd" localSheetId="34" hidden="1">{"Riqfin97",#N/A,FALSE,"Tran";"Riqfinpro",#N/A,FALSE,"Tran"}</definedName>
    <definedName name="ddd" localSheetId="35" hidden="1">{"Riqfin97",#N/A,FALSE,"Tran";"Riqfinpro",#N/A,FALSE,"Tran"}</definedName>
    <definedName name="ddd" localSheetId="36" hidden="1">{"Riqfin97",#N/A,FALSE,"Tran";"Riqfinpro",#N/A,FALSE,"Tran"}</definedName>
    <definedName name="ddd" localSheetId="37" hidden="1">{"Riqfin97",#N/A,FALSE,"Tran";"Riqfinpro",#N/A,FALSE,"Tran"}</definedName>
    <definedName name="ddd" localSheetId="38" hidden="1">{"Riqfin97",#N/A,FALSE,"Tran";"Riqfinpro",#N/A,FALSE,"Tran"}</definedName>
    <definedName name="ddd" localSheetId="39" hidden="1">{"Riqfin97",#N/A,FALSE,"Tran";"Riqfinpro",#N/A,FALSE,"Tran"}</definedName>
    <definedName name="ddd" localSheetId="40" hidden="1">{"Riqfin97",#N/A,FALSE,"Tran";"Riqfinpro",#N/A,FALSE,"Tran"}</definedName>
    <definedName name="ddd" localSheetId="44" hidden="1">{"Riqfin97",#N/A,FALSE,"Tran";"Riqfinpro",#N/A,FALSE,"Tran"}</definedName>
    <definedName name="ddd" hidden="1">{"Riqfin97",#N/A,FALSE,"Tran";"Riqfinpro",#N/A,FALSE,"Tran"}</definedName>
    <definedName name="deleteme1" localSheetId="49" hidden="1">#REF!</definedName>
    <definedName name="deleteme1" localSheetId="50" hidden="1">#REF!</definedName>
    <definedName name="deleteme1" localSheetId="51" hidden="1">#REF!</definedName>
    <definedName name="deleteme1" localSheetId="53" hidden="1">#REF!</definedName>
    <definedName name="deleteme1" localSheetId="54" hidden="1">#REF!</definedName>
    <definedName name="deleteme1" localSheetId="55" hidden="1">#REF!</definedName>
    <definedName name="deleteme1" localSheetId="56" hidden="1">#REF!</definedName>
    <definedName name="deleteme1" localSheetId="57" hidden="1">#REF!</definedName>
    <definedName name="deleteme1" localSheetId="58" hidden="1">#REF!</definedName>
    <definedName name="deleteme1" localSheetId="59" hidden="1">#REF!</definedName>
    <definedName name="deleteme1" localSheetId="62" hidden="1">#REF!</definedName>
    <definedName name="deleteme1" localSheetId="70" hidden="1">#REF!</definedName>
    <definedName name="deleteme1" localSheetId="71" hidden="1">#REF!</definedName>
    <definedName name="deleteme1" localSheetId="72" hidden="1">#REF!</definedName>
    <definedName name="deleteme1" localSheetId="73" hidden="1">#REF!</definedName>
    <definedName name="deleteme1" localSheetId="74" hidden="1">#REF!</definedName>
    <definedName name="deleteme1" localSheetId="75" hidden="1">#REF!</definedName>
    <definedName name="deleteme1" localSheetId="76" hidden="1">#REF!</definedName>
    <definedName name="deleteme1" localSheetId="79" hidden="1">#REF!</definedName>
    <definedName name="deleteme1" localSheetId="80" hidden="1">#REF!</definedName>
    <definedName name="deleteme1" localSheetId="81" hidden="1">#REF!</definedName>
    <definedName name="deleteme1" localSheetId="83" hidden="1">#REF!</definedName>
    <definedName name="deleteme1" localSheetId="87" hidden="1">#REF!</definedName>
    <definedName name="deleteme1" localSheetId="95" hidden="1">#REF!</definedName>
    <definedName name="deleteme1" localSheetId="97" hidden="1">#REF!</definedName>
    <definedName name="deleteme1" localSheetId="98" hidden="1">#REF!</definedName>
    <definedName name="deleteme1" localSheetId="99" hidden="1">#REF!</definedName>
    <definedName name="deleteme1" localSheetId="100" hidden="1">#REF!</definedName>
    <definedName name="deleteme1" localSheetId="101" hidden="1">#REF!</definedName>
    <definedName name="deleteme1" localSheetId="108" hidden="1">#REF!</definedName>
    <definedName name="deleteme1" localSheetId="115" hidden="1">#REF!</definedName>
    <definedName name="deleteme1" localSheetId="5" hidden="1">#REF!</definedName>
    <definedName name="deleteme1" localSheetId="6" hidden="1">#REF!</definedName>
    <definedName name="deleteme1" localSheetId="7" hidden="1">#REF!</definedName>
    <definedName name="deleteme1" localSheetId="8" hidden="1">#REF!</definedName>
    <definedName name="deleteme1" localSheetId="9" hidden="1">#REF!</definedName>
    <definedName name="deleteme1" localSheetId="10" hidden="1">#REF!</definedName>
    <definedName name="deleteme1" localSheetId="14" hidden="1">#REF!</definedName>
    <definedName name="deleteme1" localSheetId="19" hidden="1">#REF!</definedName>
    <definedName name="deleteme1" localSheetId="21" hidden="1">#REF!</definedName>
    <definedName name="deleteme1" localSheetId="23" hidden="1">#REF!</definedName>
    <definedName name="deleteme1" localSheetId="24" hidden="1">#REF!</definedName>
    <definedName name="deleteme1" localSheetId="25" hidden="1">#REF!</definedName>
    <definedName name="deleteme1" localSheetId="27" hidden="1">#REF!</definedName>
    <definedName name="deleteme1" localSheetId="30" hidden="1">#REF!</definedName>
    <definedName name="deleteme1" localSheetId="33" hidden="1">#REF!</definedName>
    <definedName name="deleteme1" localSheetId="34" hidden="1">#REF!</definedName>
    <definedName name="deleteme1" localSheetId="35" hidden="1">#REF!</definedName>
    <definedName name="deleteme1" localSheetId="36" hidden="1">#REF!</definedName>
    <definedName name="deleteme1" localSheetId="37" hidden="1">#REF!</definedName>
    <definedName name="deleteme1" localSheetId="38" hidden="1">#REF!</definedName>
    <definedName name="deleteme1" localSheetId="39" hidden="1">#REF!</definedName>
    <definedName name="deleteme1" localSheetId="40" hidden="1">#REF!</definedName>
    <definedName name="deleteme1" hidden="1">#REF!</definedName>
    <definedName name="deleteme3" localSheetId="49" hidden="1">#REF!</definedName>
    <definedName name="deleteme3" localSheetId="50" hidden="1">#REF!</definedName>
    <definedName name="deleteme3" localSheetId="51" hidden="1">#REF!</definedName>
    <definedName name="deleteme3" localSheetId="53" hidden="1">#REF!</definedName>
    <definedName name="deleteme3" localSheetId="54" hidden="1">#REF!</definedName>
    <definedName name="deleteme3" localSheetId="55" hidden="1">#REF!</definedName>
    <definedName name="deleteme3" localSheetId="56" hidden="1">#REF!</definedName>
    <definedName name="deleteme3" localSheetId="57" hidden="1">#REF!</definedName>
    <definedName name="deleteme3" localSheetId="58" hidden="1">#REF!</definedName>
    <definedName name="deleteme3" localSheetId="59" hidden="1">#REF!</definedName>
    <definedName name="deleteme3" localSheetId="62" hidden="1">#REF!</definedName>
    <definedName name="deleteme3" localSheetId="70" hidden="1">#REF!</definedName>
    <definedName name="deleteme3" localSheetId="71" hidden="1">#REF!</definedName>
    <definedName name="deleteme3" localSheetId="72" hidden="1">#REF!</definedName>
    <definedName name="deleteme3" localSheetId="73" hidden="1">#REF!</definedName>
    <definedName name="deleteme3" localSheetId="74" hidden="1">#REF!</definedName>
    <definedName name="deleteme3" localSheetId="75" hidden="1">#REF!</definedName>
    <definedName name="deleteme3" localSheetId="76" hidden="1">#REF!</definedName>
    <definedName name="deleteme3" localSheetId="79" hidden="1">#REF!</definedName>
    <definedName name="deleteme3" localSheetId="80" hidden="1">#REF!</definedName>
    <definedName name="deleteme3" localSheetId="81" hidden="1">#REF!</definedName>
    <definedName name="deleteme3" localSheetId="83" hidden="1">#REF!</definedName>
    <definedName name="deleteme3" localSheetId="87" hidden="1">#REF!</definedName>
    <definedName name="deleteme3" localSheetId="95" hidden="1">#REF!</definedName>
    <definedName name="deleteme3" localSheetId="97" hidden="1">#REF!</definedName>
    <definedName name="deleteme3" localSheetId="98" hidden="1">#REF!</definedName>
    <definedName name="deleteme3" localSheetId="99" hidden="1">#REF!</definedName>
    <definedName name="deleteme3" localSheetId="100" hidden="1">#REF!</definedName>
    <definedName name="deleteme3" localSheetId="101" hidden="1">#REF!</definedName>
    <definedName name="deleteme3" localSheetId="108" hidden="1">#REF!</definedName>
    <definedName name="deleteme3" localSheetId="115" hidden="1">#REF!</definedName>
    <definedName name="deleteme3" localSheetId="5" hidden="1">#REF!</definedName>
    <definedName name="deleteme3" localSheetId="6" hidden="1">#REF!</definedName>
    <definedName name="deleteme3" localSheetId="7" hidden="1">#REF!</definedName>
    <definedName name="deleteme3" localSheetId="8" hidden="1">#REF!</definedName>
    <definedName name="deleteme3" localSheetId="9" hidden="1">#REF!</definedName>
    <definedName name="deleteme3" localSheetId="10" hidden="1">#REF!</definedName>
    <definedName name="deleteme3" localSheetId="14" hidden="1">#REF!</definedName>
    <definedName name="deleteme3" localSheetId="19" hidden="1">#REF!</definedName>
    <definedName name="deleteme3" localSheetId="21" hidden="1">#REF!</definedName>
    <definedName name="deleteme3" localSheetId="23" hidden="1">#REF!</definedName>
    <definedName name="deleteme3" localSheetId="24" hidden="1">#REF!</definedName>
    <definedName name="deleteme3" localSheetId="25" hidden="1">#REF!</definedName>
    <definedName name="deleteme3" localSheetId="27" hidden="1">#REF!</definedName>
    <definedName name="deleteme3" localSheetId="30" hidden="1">#REF!</definedName>
    <definedName name="deleteme3" localSheetId="33" hidden="1">#REF!</definedName>
    <definedName name="deleteme3" localSheetId="34" hidden="1">#REF!</definedName>
    <definedName name="deleteme3" localSheetId="35" hidden="1">#REF!</definedName>
    <definedName name="deleteme3" localSheetId="36" hidden="1">#REF!</definedName>
    <definedName name="deleteme3" localSheetId="37" hidden="1">#REF!</definedName>
    <definedName name="deleteme3" localSheetId="38" hidden="1">#REF!</definedName>
    <definedName name="deleteme3" localSheetId="39" hidden="1">#REF!</definedName>
    <definedName name="deleteme3" localSheetId="40" hidden="1">#REF!</definedName>
    <definedName name="deleteme3" hidden="1">#REF!</definedName>
    <definedName name="dsfsdds" localSheetId="50" hidden="1">{"Riqfin97",#N/A,FALSE,"Tran";"Riqfinpro",#N/A,FALSE,"Tran"}</definedName>
    <definedName name="dsfsdds" localSheetId="55" hidden="1">{"Riqfin97",#N/A,FALSE,"Tran";"Riqfinpro",#N/A,FALSE,"Tran"}</definedName>
    <definedName name="dsfsdds" localSheetId="56" hidden="1">{"Riqfin97",#N/A,FALSE,"Tran";"Riqfinpro",#N/A,FALSE,"Tran"}</definedName>
    <definedName name="dsfsdds" localSheetId="57" hidden="1">{"Riqfin97",#N/A,FALSE,"Tran";"Riqfinpro",#N/A,FALSE,"Tran"}</definedName>
    <definedName name="dsfsdds" localSheetId="58" hidden="1">{"Riqfin97",#N/A,FALSE,"Tran";"Riqfinpro",#N/A,FALSE,"Tran"}</definedName>
    <definedName name="dsfsdds" localSheetId="59" hidden="1">{"Riqfin97",#N/A,FALSE,"Tran";"Riqfinpro",#N/A,FALSE,"Tran"}</definedName>
    <definedName name="dsfsdds" localSheetId="62" hidden="1">{"Riqfin97",#N/A,FALSE,"Tran";"Riqfinpro",#N/A,FALSE,"Tran"}</definedName>
    <definedName name="dsfsdds" localSheetId="70" hidden="1">{"Riqfin97",#N/A,FALSE,"Tran";"Riqfinpro",#N/A,FALSE,"Tran"}</definedName>
    <definedName name="dsfsdds" localSheetId="71" hidden="1">{"Riqfin97",#N/A,FALSE,"Tran";"Riqfinpro",#N/A,FALSE,"Tran"}</definedName>
    <definedName name="dsfsdds" localSheetId="72" hidden="1">{"Riqfin97",#N/A,FALSE,"Tran";"Riqfinpro",#N/A,FALSE,"Tran"}</definedName>
    <definedName name="dsfsdds" localSheetId="73" hidden="1">{"Riqfin97",#N/A,FALSE,"Tran";"Riqfinpro",#N/A,FALSE,"Tran"}</definedName>
    <definedName name="dsfsdds" localSheetId="74" hidden="1">{"Riqfin97",#N/A,FALSE,"Tran";"Riqfinpro",#N/A,FALSE,"Tran"}</definedName>
    <definedName name="dsfsdds" localSheetId="75" hidden="1">{"Riqfin97",#N/A,FALSE,"Tran";"Riqfinpro",#N/A,FALSE,"Tran"}</definedName>
    <definedName name="dsfsdds" localSheetId="76" hidden="1">{"Riqfin97",#N/A,FALSE,"Tran";"Riqfinpro",#N/A,FALSE,"Tran"}</definedName>
    <definedName name="dsfsdds" localSheetId="79" hidden="1">{"Riqfin97",#N/A,FALSE,"Tran";"Riqfinpro",#N/A,FALSE,"Tran"}</definedName>
    <definedName name="dsfsdds" localSheetId="80" hidden="1">{"Riqfin97",#N/A,FALSE,"Tran";"Riqfinpro",#N/A,FALSE,"Tran"}</definedName>
    <definedName name="dsfsdds" localSheetId="81" hidden="1">{"Riqfin97",#N/A,FALSE,"Tran";"Riqfinpro",#N/A,FALSE,"Tran"}</definedName>
    <definedName name="dsfsdds" localSheetId="83" hidden="1">{"Riqfin97",#N/A,FALSE,"Tran";"Riqfinpro",#N/A,FALSE,"Tran"}</definedName>
    <definedName name="dsfsdds" localSheetId="97" hidden="1">{"Riqfin97",#N/A,FALSE,"Tran";"Riqfinpro",#N/A,FALSE,"Tran"}</definedName>
    <definedName name="dsfsdds" localSheetId="98" hidden="1">{"Riqfin97",#N/A,FALSE,"Tran";"Riqfinpro",#N/A,FALSE,"Tran"}</definedName>
    <definedName name="dsfsdds" localSheetId="99" hidden="1">{"Riqfin97",#N/A,FALSE,"Tran";"Riqfinpro",#N/A,FALSE,"Tran"}</definedName>
    <definedName name="dsfsdds" localSheetId="100" hidden="1">{"Riqfin97",#N/A,FALSE,"Tran";"Riqfinpro",#N/A,FALSE,"Tran"}</definedName>
    <definedName name="dsfsdds" localSheetId="101" hidden="1">{"Riqfin97",#N/A,FALSE,"Tran";"Riqfinpro",#N/A,FALSE,"Tran"}</definedName>
    <definedName name="dsfsdds" localSheetId="108" hidden="1">{"Riqfin97",#N/A,FALSE,"Tran";"Riqfinpro",#N/A,FALSE,"Tran"}</definedName>
    <definedName name="dsfsdds" localSheetId="115" hidden="1">{"Riqfin97",#N/A,FALSE,"Tran";"Riqfinpro",#N/A,FALSE,"Tran"}</definedName>
    <definedName name="dsfsdds" localSheetId="5" hidden="1">{"Riqfin97",#N/A,FALSE,"Tran";"Riqfinpro",#N/A,FALSE,"Tran"}</definedName>
    <definedName name="dsfsdds" localSheetId="7" hidden="1">{"Riqfin97",#N/A,FALSE,"Tran";"Riqfinpro",#N/A,FALSE,"Tran"}</definedName>
    <definedName name="dsfsdds" localSheetId="8" hidden="1">{"Riqfin97",#N/A,FALSE,"Tran";"Riqfinpro",#N/A,FALSE,"Tran"}</definedName>
    <definedName name="dsfsdds" localSheetId="9" hidden="1">{"Riqfin97",#N/A,FALSE,"Tran";"Riqfinpro",#N/A,FALSE,"Tran"}</definedName>
    <definedName name="dsfsdds" localSheetId="10" hidden="1">{"Riqfin97",#N/A,FALSE,"Tran";"Riqfinpro",#N/A,FALSE,"Tran"}</definedName>
    <definedName name="dsfsdds" localSheetId="14" hidden="1">{"Riqfin97",#N/A,FALSE,"Tran";"Riqfinpro",#N/A,FALSE,"Tran"}</definedName>
    <definedName name="dsfsdds" localSheetId="19" hidden="1">{"Riqfin97",#N/A,FALSE,"Tran";"Riqfinpro",#N/A,FALSE,"Tran"}</definedName>
    <definedName name="dsfsdds" localSheetId="21" hidden="1">{"Riqfin97",#N/A,FALSE,"Tran";"Riqfinpro",#N/A,FALSE,"Tran"}</definedName>
    <definedName name="dsfsdds" localSheetId="23" hidden="1">{"Riqfin97",#N/A,FALSE,"Tran";"Riqfinpro",#N/A,FALSE,"Tran"}</definedName>
    <definedName name="dsfsdds" localSheetId="24" hidden="1">{"Riqfin97",#N/A,FALSE,"Tran";"Riqfinpro",#N/A,FALSE,"Tran"}</definedName>
    <definedName name="dsfsdds" localSheetId="25" hidden="1">{"Riqfin97",#N/A,FALSE,"Tran";"Riqfinpro",#N/A,FALSE,"Tran"}</definedName>
    <definedName name="dsfsdds" localSheetId="27" hidden="1">{"Riqfin97",#N/A,FALSE,"Tran";"Riqfinpro",#N/A,FALSE,"Tran"}</definedName>
    <definedName name="dsfsdds" localSheetId="30" hidden="1">{"Riqfin97",#N/A,FALSE,"Tran";"Riqfinpro",#N/A,FALSE,"Tran"}</definedName>
    <definedName name="dsfsdds" localSheetId="33" hidden="1">{"Riqfin97",#N/A,FALSE,"Tran";"Riqfinpro",#N/A,FALSE,"Tran"}</definedName>
    <definedName name="dsfsdds" localSheetId="34" hidden="1">{"Riqfin97",#N/A,FALSE,"Tran";"Riqfinpro",#N/A,FALSE,"Tran"}</definedName>
    <definedName name="dsfsdds" localSheetId="35" hidden="1">{"Riqfin97",#N/A,FALSE,"Tran";"Riqfinpro",#N/A,FALSE,"Tran"}</definedName>
    <definedName name="dsfsdds" localSheetId="36" hidden="1">{"Riqfin97",#N/A,FALSE,"Tran";"Riqfinpro",#N/A,FALSE,"Tran"}</definedName>
    <definedName name="dsfsdds" localSheetId="37" hidden="1">{"Riqfin97",#N/A,FALSE,"Tran";"Riqfinpro",#N/A,FALSE,"Tran"}</definedName>
    <definedName name="dsfsdds" localSheetId="38" hidden="1">{"Riqfin97",#N/A,FALSE,"Tran";"Riqfinpro",#N/A,FALSE,"Tran"}</definedName>
    <definedName name="dsfsdds" localSheetId="39" hidden="1">{"Riqfin97",#N/A,FALSE,"Tran";"Riqfinpro",#N/A,FALSE,"Tran"}</definedName>
    <definedName name="dsfsdds" localSheetId="40" hidden="1">{"Riqfin97",#N/A,FALSE,"Tran";"Riqfinpro",#N/A,FALSE,"Tran"}</definedName>
    <definedName name="dsfsdds" hidden="1">{"Riqfin97",#N/A,FALSE,"Tran";"Riqfinpro",#N/A,FALSE,"Tran"}</definedName>
    <definedName name="edr" localSheetId="50" hidden="1">{"'előző év december'!$A$2:$CP$214"}</definedName>
    <definedName name="edr" localSheetId="56" hidden="1">{"'előző év december'!$A$2:$CP$214"}</definedName>
    <definedName name="edr" localSheetId="57" hidden="1">{"'előző év december'!$A$2:$CP$214"}</definedName>
    <definedName name="edr" localSheetId="58" hidden="1">{"'előző év december'!$A$2:$CP$214"}</definedName>
    <definedName name="edr" localSheetId="59" hidden="1">{"'előző év december'!$A$2:$CP$214"}</definedName>
    <definedName name="edr" localSheetId="62" hidden="1">{"'előző év december'!$A$2:$CP$214"}</definedName>
    <definedName name="edr" localSheetId="70" hidden="1">{"'előző év december'!$A$2:$CP$214"}</definedName>
    <definedName name="edr" localSheetId="71" hidden="1">{"'előző év december'!$A$2:$CP$214"}</definedName>
    <definedName name="edr" localSheetId="72" hidden="1">{"'előző év december'!$A$2:$CP$214"}</definedName>
    <definedName name="edr" localSheetId="73" hidden="1">{"'előző év december'!$A$2:$CP$214"}</definedName>
    <definedName name="edr" localSheetId="74" hidden="1">{"'előző év december'!$A$2:$CP$214"}</definedName>
    <definedName name="edr" localSheetId="79" hidden="1">{"'előző év december'!$A$2:$CP$214"}</definedName>
    <definedName name="edr" localSheetId="80" hidden="1">{"'előző év december'!$A$2:$CP$214"}</definedName>
    <definedName name="edr" localSheetId="81" hidden="1">{"'előző év december'!$A$2:$CP$214"}</definedName>
    <definedName name="edr" localSheetId="97" hidden="1">{"'előző év december'!$A$2:$CP$214"}</definedName>
    <definedName name="edr" localSheetId="98" hidden="1">{"'előző év december'!$A$2:$CP$214"}</definedName>
    <definedName name="edr" localSheetId="99" hidden="1">{"'előző év december'!$A$2:$CP$214"}</definedName>
    <definedName name="edr" localSheetId="100" hidden="1">{"'előző év december'!$A$2:$CP$214"}</definedName>
    <definedName name="edr" localSheetId="101" hidden="1">{"'előző év december'!$A$2:$CP$214"}</definedName>
    <definedName name="edr" localSheetId="108" hidden="1">{"'előző év december'!$A$2:$CP$214"}</definedName>
    <definedName name="edr" localSheetId="115" hidden="1">{"'előző év december'!$A$2:$CP$214"}</definedName>
    <definedName name="edr" localSheetId="5" hidden="1">{"'előző év december'!$A$2:$CP$214"}</definedName>
    <definedName name="edr" localSheetId="7" hidden="1">{"'előző év december'!$A$2:$CP$214"}</definedName>
    <definedName name="edr" localSheetId="8" hidden="1">{"'előző év december'!$A$2:$CP$214"}</definedName>
    <definedName name="edr" localSheetId="9" hidden="1">{"'előző év december'!$A$2:$CP$214"}</definedName>
    <definedName name="edr" localSheetId="10" hidden="1">{"'előző év december'!$A$2:$CP$214"}</definedName>
    <definedName name="edr" localSheetId="14" hidden="1">{"'előző év december'!$A$2:$CP$214"}</definedName>
    <definedName name="edr" localSheetId="18" hidden="1">{"'előző év december'!$A$2:$CP$214"}</definedName>
    <definedName name="edr" localSheetId="19" hidden="1">{"'előző év december'!$A$2:$CP$214"}</definedName>
    <definedName name="edr" localSheetId="21" hidden="1">{"'előző év december'!$A$2:$CP$214"}</definedName>
    <definedName name="edr" localSheetId="23" hidden="1">{"'előző év december'!$A$2:$CP$214"}</definedName>
    <definedName name="edr" localSheetId="24" hidden="1">{"'előző év december'!$A$2:$CP$214"}</definedName>
    <definedName name="edr" localSheetId="25" hidden="1">{"'előző év december'!$A$2:$CP$214"}</definedName>
    <definedName name="edr" localSheetId="27" hidden="1">{"'előző év december'!$A$2:$CP$214"}</definedName>
    <definedName name="edr" localSheetId="30" hidden="1">{"'előző év december'!$A$2:$CP$214"}</definedName>
    <definedName name="edr" localSheetId="33" hidden="1">{"'előző év december'!$A$2:$CP$214"}</definedName>
    <definedName name="edr" localSheetId="34" hidden="1">{"'előző év december'!$A$2:$CP$214"}</definedName>
    <definedName name="edr" localSheetId="35" hidden="1">{"'előző év december'!$A$2:$CP$214"}</definedName>
    <definedName name="edr" localSheetId="36" hidden="1">{"'előző év december'!$A$2:$CP$214"}</definedName>
    <definedName name="edr" localSheetId="37" hidden="1">{"'előző év december'!$A$2:$CP$214"}</definedName>
    <definedName name="edr" localSheetId="38" hidden="1">{"'előző év december'!$A$2:$CP$214"}</definedName>
    <definedName name="edr" localSheetId="39" hidden="1">{"'előző év december'!$A$2:$CP$214"}</definedName>
    <definedName name="edr" localSheetId="40" hidden="1">{"'előző év december'!$A$2:$CP$214"}</definedName>
    <definedName name="edr" hidden="1">{"'előző év december'!$A$2:$CP$214"}</definedName>
    <definedName name="ee" localSheetId="50" hidden="1">{"Tab1",#N/A,FALSE,"P";"Tab2",#N/A,FALSE,"P"}</definedName>
    <definedName name="ee" localSheetId="55" hidden="1">{"Tab1",#N/A,FALSE,"P";"Tab2",#N/A,FALSE,"P"}</definedName>
    <definedName name="ee" localSheetId="56" hidden="1">{"Tab1",#N/A,FALSE,"P";"Tab2",#N/A,FALSE,"P"}</definedName>
    <definedName name="ee" localSheetId="57" hidden="1">{"Tab1",#N/A,FALSE,"P";"Tab2",#N/A,FALSE,"P"}</definedName>
    <definedName name="ee" localSheetId="58" hidden="1">{"Tab1",#N/A,FALSE,"P";"Tab2",#N/A,FALSE,"P"}</definedName>
    <definedName name="ee" localSheetId="59" hidden="1">{"Tab1",#N/A,FALSE,"P";"Tab2",#N/A,FALSE,"P"}</definedName>
    <definedName name="ee" localSheetId="62" hidden="1">{"Tab1",#N/A,FALSE,"P";"Tab2",#N/A,FALSE,"P"}</definedName>
    <definedName name="ee" localSheetId="70" hidden="1">{"Tab1",#N/A,FALSE,"P";"Tab2",#N/A,FALSE,"P"}</definedName>
    <definedName name="ee" localSheetId="71" hidden="1">{"Tab1",#N/A,FALSE,"P";"Tab2",#N/A,FALSE,"P"}</definedName>
    <definedName name="ee" localSheetId="72" hidden="1">{"Tab1",#N/A,FALSE,"P";"Tab2",#N/A,FALSE,"P"}</definedName>
    <definedName name="ee" localSheetId="73" hidden="1">{"Tab1",#N/A,FALSE,"P";"Tab2",#N/A,FALSE,"P"}</definedName>
    <definedName name="ee" localSheetId="74" hidden="1">{"Tab1",#N/A,FALSE,"P";"Tab2",#N/A,FALSE,"P"}</definedName>
    <definedName name="ee" localSheetId="75" hidden="1">{"Tab1",#N/A,FALSE,"P";"Tab2",#N/A,FALSE,"P"}</definedName>
    <definedName name="ee" localSheetId="76" hidden="1">{"Tab1",#N/A,FALSE,"P";"Tab2",#N/A,FALSE,"P"}</definedName>
    <definedName name="ee" localSheetId="79" hidden="1">{"Tab1",#N/A,FALSE,"P";"Tab2",#N/A,FALSE,"P"}</definedName>
    <definedName name="ee" localSheetId="80" hidden="1">{"Tab1",#N/A,FALSE,"P";"Tab2",#N/A,FALSE,"P"}</definedName>
    <definedName name="ee" localSheetId="81" hidden="1">{"Tab1",#N/A,FALSE,"P";"Tab2",#N/A,FALSE,"P"}</definedName>
    <definedName name="ee" localSheetId="83" hidden="1">{"Tab1",#N/A,FALSE,"P";"Tab2",#N/A,FALSE,"P"}</definedName>
    <definedName name="ee" localSheetId="97" hidden="1">{"Tab1",#N/A,FALSE,"P";"Tab2",#N/A,FALSE,"P"}</definedName>
    <definedName name="ee" localSheetId="98" hidden="1">{"Tab1",#N/A,FALSE,"P";"Tab2",#N/A,FALSE,"P"}</definedName>
    <definedName name="ee" localSheetId="99" hidden="1">{"Tab1",#N/A,FALSE,"P";"Tab2",#N/A,FALSE,"P"}</definedName>
    <definedName name="ee" localSheetId="100" hidden="1">{"Tab1",#N/A,FALSE,"P";"Tab2",#N/A,FALSE,"P"}</definedName>
    <definedName name="ee" localSheetId="101" hidden="1">{"Tab1",#N/A,FALSE,"P";"Tab2",#N/A,FALSE,"P"}</definedName>
    <definedName name="ee" localSheetId="108" hidden="1">{"Tab1",#N/A,FALSE,"P";"Tab2",#N/A,FALSE,"P"}</definedName>
    <definedName name="ee" localSheetId="115" hidden="1">{"Tab1",#N/A,FALSE,"P";"Tab2",#N/A,FALSE,"P"}</definedName>
    <definedName name="ee" localSheetId="5" hidden="1">{"Tab1",#N/A,FALSE,"P";"Tab2",#N/A,FALSE,"P"}</definedName>
    <definedName name="ee" localSheetId="7" hidden="1">{"Tab1",#N/A,FALSE,"P";"Tab2",#N/A,FALSE,"P"}</definedName>
    <definedName name="ee" localSheetId="8" hidden="1">{"Tab1",#N/A,FALSE,"P";"Tab2",#N/A,FALSE,"P"}</definedName>
    <definedName name="ee" localSheetId="9" hidden="1">{"Tab1",#N/A,FALSE,"P";"Tab2",#N/A,FALSE,"P"}</definedName>
    <definedName name="ee" localSheetId="10" hidden="1">{"Tab1",#N/A,FALSE,"P";"Tab2",#N/A,FALSE,"P"}</definedName>
    <definedName name="ee" localSheetId="14" hidden="1">{"Tab1",#N/A,FALSE,"P";"Tab2",#N/A,FALSE,"P"}</definedName>
    <definedName name="ee" localSheetId="19" hidden="1">{"Tab1",#N/A,FALSE,"P";"Tab2",#N/A,FALSE,"P"}</definedName>
    <definedName name="ee" localSheetId="21" hidden="1">{"Tab1",#N/A,FALSE,"P";"Tab2",#N/A,FALSE,"P"}</definedName>
    <definedName name="ee" localSheetId="23" hidden="1">{"Tab1",#N/A,FALSE,"P";"Tab2",#N/A,FALSE,"P"}</definedName>
    <definedName name="ee" localSheetId="24" hidden="1">{"Tab1",#N/A,FALSE,"P";"Tab2",#N/A,FALSE,"P"}</definedName>
    <definedName name="ee" localSheetId="25" hidden="1">{"Tab1",#N/A,FALSE,"P";"Tab2",#N/A,FALSE,"P"}</definedName>
    <definedName name="ee" localSheetId="27" hidden="1">{"Tab1",#N/A,FALSE,"P";"Tab2",#N/A,FALSE,"P"}</definedName>
    <definedName name="ee" localSheetId="30" hidden="1">{"Tab1",#N/A,FALSE,"P";"Tab2",#N/A,FALSE,"P"}</definedName>
    <definedName name="ee" localSheetId="33" hidden="1">{"Tab1",#N/A,FALSE,"P";"Tab2",#N/A,FALSE,"P"}</definedName>
    <definedName name="ee" localSheetId="34" hidden="1">{"Tab1",#N/A,FALSE,"P";"Tab2",#N/A,FALSE,"P"}</definedName>
    <definedName name="ee" localSheetId="35" hidden="1">{"Tab1",#N/A,FALSE,"P";"Tab2",#N/A,FALSE,"P"}</definedName>
    <definedName name="ee" localSheetId="36" hidden="1">{"Tab1",#N/A,FALSE,"P";"Tab2",#N/A,FALSE,"P"}</definedName>
    <definedName name="ee" localSheetId="37" hidden="1">{"Tab1",#N/A,FALSE,"P";"Tab2",#N/A,FALSE,"P"}</definedName>
    <definedName name="ee" localSheetId="38" hidden="1">{"Tab1",#N/A,FALSE,"P";"Tab2",#N/A,FALSE,"P"}</definedName>
    <definedName name="ee" localSheetId="39" hidden="1">{"Tab1",#N/A,FALSE,"P";"Tab2",#N/A,FALSE,"P"}</definedName>
    <definedName name="ee" localSheetId="40" hidden="1">{"Tab1",#N/A,FALSE,"P";"Tab2",#N/A,FALSE,"P"}</definedName>
    <definedName name="ee" localSheetId="44" hidden="1">{"Tab1",#N/A,FALSE,"P";"Tab2",#N/A,FALSE,"P"}</definedName>
    <definedName name="ee" hidden="1">{"Tab1",#N/A,FALSE,"P";"Tab2",#N/A,FALSE,"P"}</definedName>
    <definedName name="eedx" localSheetId="50" hidden="1">{"Tab1",#N/A,FALSE,"P";"Tab2",#N/A,FALSE,"P"}</definedName>
    <definedName name="eedx" localSheetId="55" hidden="1">{"Tab1",#N/A,FALSE,"P";"Tab2",#N/A,FALSE,"P"}</definedName>
    <definedName name="eedx" localSheetId="56" hidden="1">{"Tab1",#N/A,FALSE,"P";"Tab2",#N/A,FALSE,"P"}</definedName>
    <definedName name="eedx" localSheetId="57" hidden="1">{"Tab1",#N/A,FALSE,"P";"Tab2",#N/A,FALSE,"P"}</definedName>
    <definedName name="eedx" localSheetId="58" hidden="1">{"Tab1",#N/A,FALSE,"P";"Tab2",#N/A,FALSE,"P"}</definedName>
    <definedName name="eedx" localSheetId="59" hidden="1">{"Tab1",#N/A,FALSE,"P";"Tab2",#N/A,FALSE,"P"}</definedName>
    <definedName name="eedx" localSheetId="62" hidden="1">{"Tab1",#N/A,FALSE,"P";"Tab2",#N/A,FALSE,"P"}</definedName>
    <definedName name="eedx" localSheetId="70" hidden="1">{"Tab1",#N/A,FALSE,"P";"Tab2",#N/A,FALSE,"P"}</definedName>
    <definedName name="eedx" localSheetId="71" hidden="1">{"Tab1",#N/A,FALSE,"P";"Tab2",#N/A,FALSE,"P"}</definedName>
    <definedName name="eedx" localSheetId="72" hidden="1">{"Tab1",#N/A,FALSE,"P";"Tab2",#N/A,FALSE,"P"}</definedName>
    <definedName name="eedx" localSheetId="73" hidden="1">{"Tab1",#N/A,FALSE,"P";"Tab2",#N/A,FALSE,"P"}</definedName>
    <definedName name="eedx" localSheetId="74" hidden="1">{"Tab1",#N/A,FALSE,"P";"Tab2",#N/A,FALSE,"P"}</definedName>
    <definedName name="eedx" localSheetId="75" hidden="1">{"Tab1",#N/A,FALSE,"P";"Tab2",#N/A,FALSE,"P"}</definedName>
    <definedName name="eedx" localSheetId="76" hidden="1">{"Tab1",#N/A,FALSE,"P";"Tab2",#N/A,FALSE,"P"}</definedName>
    <definedName name="eedx" localSheetId="79" hidden="1">{"Tab1",#N/A,FALSE,"P";"Tab2",#N/A,FALSE,"P"}</definedName>
    <definedName name="eedx" localSheetId="80" hidden="1">{"Tab1",#N/A,FALSE,"P";"Tab2",#N/A,FALSE,"P"}</definedName>
    <definedName name="eedx" localSheetId="81" hidden="1">{"Tab1",#N/A,FALSE,"P";"Tab2",#N/A,FALSE,"P"}</definedName>
    <definedName name="eedx" localSheetId="83" hidden="1">{"Tab1",#N/A,FALSE,"P";"Tab2",#N/A,FALSE,"P"}</definedName>
    <definedName name="eedx" localSheetId="97" hidden="1">{"Tab1",#N/A,FALSE,"P";"Tab2",#N/A,FALSE,"P"}</definedName>
    <definedName name="eedx" localSheetId="98" hidden="1">{"Tab1",#N/A,FALSE,"P";"Tab2",#N/A,FALSE,"P"}</definedName>
    <definedName name="eedx" localSheetId="99" hidden="1">{"Tab1",#N/A,FALSE,"P";"Tab2",#N/A,FALSE,"P"}</definedName>
    <definedName name="eedx" localSheetId="100" hidden="1">{"Tab1",#N/A,FALSE,"P";"Tab2",#N/A,FALSE,"P"}</definedName>
    <definedName name="eedx" localSheetId="101" hidden="1">{"Tab1",#N/A,FALSE,"P";"Tab2",#N/A,FALSE,"P"}</definedName>
    <definedName name="eedx" localSheetId="108" hidden="1">{"Tab1",#N/A,FALSE,"P";"Tab2",#N/A,FALSE,"P"}</definedName>
    <definedName name="eedx" localSheetId="115" hidden="1">{"Tab1",#N/A,FALSE,"P";"Tab2",#N/A,FALSE,"P"}</definedName>
    <definedName name="eedx" localSheetId="5" hidden="1">{"Tab1",#N/A,FALSE,"P";"Tab2",#N/A,FALSE,"P"}</definedName>
    <definedName name="eedx" localSheetId="7" hidden="1">{"Tab1",#N/A,FALSE,"P";"Tab2",#N/A,FALSE,"P"}</definedName>
    <definedName name="eedx" localSheetId="8" hidden="1">{"Tab1",#N/A,FALSE,"P";"Tab2",#N/A,FALSE,"P"}</definedName>
    <definedName name="eedx" localSheetId="9" hidden="1">{"Tab1",#N/A,FALSE,"P";"Tab2",#N/A,FALSE,"P"}</definedName>
    <definedName name="eedx" localSheetId="10" hidden="1">{"Tab1",#N/A,FALSE,"P";"Tab2",#N/A,FALSE,"P"}</definedName>
    <definedName name="eedx" localSheetId="14" hidden="1">{"Tab1",#N/A,FALSE,"P";"Tab2",#N/A,FALSE,"P"}</definedName>
    <definedName name="eedx" localSheetId="19" hidden="1">{"Tab1",#N/A,FALSE,"P";"Tab2",#N/A,FALSE,"P"}</definedName>
    <definedName name="eedx" localSheetId="21" hidden="1">{"Tab1",#N/A,FALSE,"P";"Tab2",#N/A,FALSE,"P"}</definedName>
    <definedName name="eedx" localSheetId="23" hidden="1">{"Tab1",#N/A,FALSE,"P";"Tab2",#N/A,FALSE,"P"}</definedName>
    <definedName name="eedx" localSheetId="24" hidden="1">{"Tab1",#N/A,FALSE,"P";"Tab2",#N/A,FALSE,"P"}</definedName>
    <definedName name="eedx" localSheetId="25" hidden="1">{"Tab1",#N/A,FALSE,"P";"Tab2",#N/A,FALSE,"P"}</definedName>
    <definedName name="eedx" localSheetId="27" hidden="1">{"Tab1",#N/A,FALSE,"P";"Tab2",#N/A,FALSE,"P"}</definedName>
    <definedName name="eedx" localSheetId="30" hidden="1">{"Tab1",#N/A,FALSE,"P";"Tab2",#N/A,FALSE,"P"}</definedName>
    <definedName name="eedx" localSheetId="33" hidden="1">{"Tab1",#N/A,FALSE,"P";"Tab2",#N/A,FALSE,"P"}</definedName>
    <definedName name="eedx" localSheetId="34" hidden="1">{"Tab1",#N/A,FALSE,"P";"Tab2",#N/A,FALSE,"P"}</definedName>
    <definedName name="eedx" localSheetId="35" hidden="1">{"Tab1",#N/A,FALSE,"P";"Tab2",#N/A,FALSE,"P"}</definedName>
    <definedName name="eedx" localSheetId="36" hidden="1">{"Tab1",#N/A,FALSE,"P";"Tab2",#N/A,FALSE,"P"}</definedName>
    <definedName name="eedx" localSheetId="37" hidden="1">{"Tab1",#N/A,FALSE,"P";"Tab2",#N/A,FALSE,"P"}</definedName>
    <definedName name="eedx" localSheetId="38" hidden="1">{"Tab1",#N/A,FALSE,"P";"Tab2",#N/A,FALSE,"P"}</definedName>
    <definedName name="eedx" localSheetId="39" hidden="1">{"Tab1",#N/A,FALSE,"P";"Tab2",#N/A,FALSE,"P"}</definedName>
    <definedName name="eedx" localSheetId="40" hidden="1">{"Tab1",#N/A,FALSE,"P";"Tab2",#N/A,FALSE,"P"}</definedName>
    <definedName name="eedx" hidden="1">{"Tab1",#N/A,FALSE,"P";"Tab2",#N/A,FALSE,"P"}</definedName>
    <definedName name="eee" localSheetId="50" hidden="1">{"Tab1",#N/A,FALSE,"P";"Tab2",#N/A,FALSE,"P"}</definedName>
    <definedName name="eee" localSheetId="55" hidden="1">{"Tab1",#N/A,FALSE,"P";"Tab2",#N/A,FALSE,"P"}</definedName>
    <definedName name="eee" localSheetId="56" hidden="1">{"Tab1",#N/A,FALSE,"P";"Tab2",#N/A,FALSE,"P"}</definedName>
    <definedName name="eee" localSheetId="57" hidden="1">{"Tab1",#N/A,FALSE,"P";"Tab2",#N/A,FALSE,"P"}</definedName>
    <definedName name="eee" localSheetId="58" hidden="1">{"Tab1",#N/A,FALSE,"P";"Tab2",#N/A,FALSE,"P"}</definedName>
    <definedName name="eee" localSheetId="59" hidden="1">{"Tab1",#N/A,FALSE,"P";"Tab2",#N/A,FALSE,"P"}</definedName>
    <definedName name="eee" localSheetId="62" hidden="1">{"Tab1",#N/A,FALSE,"P";"Tab2",#N/A,FALSE,"P"}</definedName>
    <definedName name="eee" localSheetId="70" hidden="1">{"Tab1",#N/A,FALSE,"P";"Tab2",#N/A,FALSE,"P"}</definedName>
    <definedName name="eee" localSheetId="71" hidden="1">{"Tab1",#N/A,FALSE,"P";"Tab2",#N/A,FALSE,"P"}</definedName>
    <definedName name="eee" localSheetId="72" hidden="1">{"Tab1",#N/A,FALSE,"P";"Tab2",#N/A,FALSE,"P"}</definedName>
    <definedName name="eee" localSheetId="73" hidden="1">{"Tab1",#N/A,FALSE,"P";"Tab2",#N/A,FALSE,"P"}</definedName>
    <definedName name="eee" localSheetId="74" hidden="1">{"Tab1",#N/A,FALSE,"P";"Tab2",#N/A,FALSE,"P"}</definedName>
    <definedName name="eee" localSheetId="75" hidden="1">{"Tab1",#N/A,FALSE,"P";"Tab2",#N/A,FALSE,"P"}</definedName>
    <definedName name="eee" localSheetId="76" hidden="1">{"Tab1",#N/A,FALSE,"P";"Tab2",#N/A,FALSE,"P"}</definedName>
    <definedName name="eee" localSheetId="79" hidden="1">{"Tab1",#N/A,FALSE,"P";"Tab2",#N/A,FALSE,"P"}</definedName>
    <definedName name="eee" localSheetId="80" hidden="1">{"Tab1",#N/A,FALSE,"P";"Tab2",#N/A,FALSE,"P"}</definedName>
    <definedName name="eee" localSheetId="81" hidden="1">{"Tab1",#N/A,FALSE,"P";"Tab2",#N/A,FALSE,"P"}</definedName>
    <definedName name="eee" localSheetId="83" hidden="1">{"Tab1",#N/A,FALSE,"P";"Tab2",#N/A,FALSE,"P"}</definedName>
    <definedName name="eee" localSheetId="97" hidden="1">{"Tab1",#N/A,FALSE,"P";"Tab2",#N/A,FALSE,"P"}</definedName>
    <definedName name="eee" localSheetId="98" hidden="1">{"Tab1",#N/A,FALSE,"P";"Tab2",#N/A,FALSE,"P"}</definedName>
    <definedName name="eee" localSheetId="99" hidden="1">{"Tab1",#N/A,FALSE,"P";"Tab2",#N/A,FALSE,"P"}</definedName>
    <definedName name="eee" localSheetId="100" hidden="1">{"Tab1",#N/A,FALSE,"P";"Tab2",#N/A,FALSE,"P"}</definedName>
    <definedName name="eee" localSheetId="101" hidden="1">{"Tab1",#N/A,FALSE,"P";"Tab2",#N/A,FALSE,"P"}</definedName>
    <definedName name="eee" localSheetId="108" hidden="1">{"Tab1",#N/A,FALSE,"P";"Tab2",#N/A,FALSE,"P"}</definedName>
    <definedName name="eee" localSheetId="115" hidden="1">{"Tab1",#N/A,FALSE,"P";"Tab2",#N/A,FALSE,"P"}</definedName>
    <definedName name="eee" localSheetId="5" hidden="1">{"Tab1",#N/A,FALSE,"P";"Tab2",#N/A,FALSE,"P"}</definedName>
    <definedName name="eee" localSheetId="7" hidden="1">{"Tab1",#N/A,FALSE,"P";"Tab2",#N/A,FALSE,"P"}</definedName>
    <definedName name="eee" localSheetId="8" hidden="1">{"Tab1",#N/A,FALSE,"P";"Tab2",#N/A,FALSE,"P"}</definedName>
    <definedName name="eee" localSheetId="9" hidden="1">{"Tab1",#N/A,FALSE,"P";"Tab2",#N/A,FALSE,"P"}</definedName>
    <definedName name="eee" localSheetId="10" hidden="1">{"Tab1",#N/A,FALSE,"P";"Tab2",#N/A,FALSE,"P"}</definedName>
    <definedName name="eee" localSheetId="14" hidden="1">{"Tab1",#N/A,FALSE,"P";"Tab2",#N/A,FALSE,"P"}</definedName>
    <definedName name="eee" localSheetId="19" hidden="1">{"Tab1",#N/A,FALSE,"P";"Tab2",#N/A,FALSE,"P"}</definedName>
    <definedName name="eee" localSheetId="21" hidden="1">{"Tab1",#N/A,FALSE,"P";"Tab2",#N/A,FALSE,"P"}</definedName>
    <definedName name="eee" localSheetId="23" hidden="1">{"Tab1",#N/A,FALSE,"P";"Tab2",#N/A,FALSE,"P"}</definedName>
    <definedName name="eee" localSheetId="24" hidden="1">{"Tab1",#N/A,FALSE,"P";"Tab2",#N/A,FALSE,"P"}</definedName>
    <definedName name="eee" localSheetId="25" hidden="1">{"Tab1",#N/A,FALSE,"P";"Tab2",#N/A,FALSE,"P"}</definedName>
    <definedName name="eee" localSheetId="27" hidden="1">{"Tab1",#N/A,FALSE,"P";"Tab2",#N/A,FALSE,"P"}</definedName>
    <definedName name="eee" localSheetId="30" hidden="1">{"Tab1",#N/A,FALSE,"P";"Tab2",#N/A,FALSE,"P"}</definedName>
    <definedName name="eee" localSheetId="33" hidden="1">{"Tab1",#N/A,FALSE,"P";"Tab2",#N/A,FALSE,"P"}</definedName>
    <definedName name="eee" localSheetId="34" hidden="1">{"Tab1",#N/A,FALSE,"P";"Tab2",#N/A,FALSE,"P"}</definedName>
    <definedName name="eee" localSheetId="35" hidden="1">{"Tab1",#N/A,FALSE,"P";"Tab2",#N/A,FALSE,"P"}</definedName>
    <definedName name="eee" localSheetId="36" hidden="1">{"Tab1",#N/A,FALSE,"P";"Tab2",#N/A,FALSE,"P"}</definedName>
    <definedName name="eee" localSheetId="37" hidden="1">{"Tab1",#N/A,FALSE,"P";"Tab2",#N/A,FALSE,"P"}</definedName>
    <definedName name="eee" localSheetId="38" hidden="1">{"Tab1",#N/A,FALSE,"P";"Tab2",#N/A,FALSE,"P"}</definedName>
    <definedName name="eee" localSheetId="39" hidden="1">{"Tab1",#N/A,FALSE,"P";"Tab2",#N/A,FALSE,"P"}</definedName>
    <definedName name="eee" localSheetId="40" hidden="1">{"Tab1",#N/A,FALSE,"P";"Tab2",#N/A,FALSE,"P"}</definedName>
    <definedName name="eee" localSheetId="44" hidden="1">{"Tab1",#N/A,FALSE,"P";"Tab2",#N/A,FALSE,"P"}</definedName>
    <definedName name="eee" hidden="1">{"Tab1",#N/A,FALSE,"P";"Tab2",#N/A,FALSE,"P"}</definedName>
    <definedName name="ert" localSheetId="50" hidden="1">{"'előző év december'!$A$2:$CP$214"}</definedName>
    <definedName name="ert" localSheetId="56" hidden="1">{"'előző év december'!$A$2:$CP$214"}</definedName>
    <definedName name="ert" localSheetId="57" hidden="1">{"'előző év december'!$A$2:$CP$214"}</definedName>
    <definedName name="ert" localSheetId="58" hidden="1">{"'előző év december'!$A$2:$CP$214"}</definedName>
    <definedName name="ert" localSheetId="59" hidden="1">{"'előző év december'!$A$2:$CP$214"}</definedName>
    <definedName name="ert" localSheetId="62" hidden="1">{"'előző év december'!$A$2:$CP$214"}</definedName>
    <definedName name="ert" localSheetId="70" hidden="1">{"'előző év december'!$A$2:$CP$214"}</definedName>
    <definedName name="ert" localSheetId="71" hidden="1">{"'előző év december'!$A$2:$CP$214"}</definedName>
    <definedName name="ert" localSheetId="72" hidden="1">{"'előző év december'!$A$2:$CP$214"}</definedName>
    <definedName name="ert" localSheetId="73" hidden="1">{"'előző év december'!$A$2:$CP$214"}</definedName>
    <definedName name="ert" localSheetId="74" hidden="1">{"'előző év december'!$A$2:$CP$214"}</definedName>
    <definedName name="ert" localSheetId="79" hidden="1">{"'előző év december'!$A$2:$CP$214"}</definedName>
    <definedName name="ert" localSheetId="80" hidden="1">{"'előző év december'!$A$2:$CP$214"}</definedName>
    <definedName name="ert" localSheetId="81" hidden="1">{"'előző év december'!$A$2:$CP$214"}</definedName>
    <definedName name="ert" localSheetId="97" hidden="1">{"'előző év december'!$A$2:$CP$214"}</definedName>
    <definedName name="ert" localSheetId="98" hidden="1">{"'előző év december'!$A$2:$CP$214"}</definedName>
    <definedName name="ert" localSheetId="99" hidden="1">{"'előző év december'!$A$2:$CP$214"}</definedName>
    <definedName name="ert" localSheetId="100" hidden="1">{"'előző év december'!$A$2:$CP$214"}</definedName>
    <definedName name="ert" localSheetId="101" hidden="1">{"'előző év december'!$A$2:$CP$214"}</definedName>
    <definedName name="ert" localSheetId="108" hidden="1">{"'előző év december'!$A$2:$CP$214"}</definedName>
    <definedName name="ert" localSheetId="115" hidden="1">{"'előző év december'!$A$2:$CP$214"}</definedName>
    <definedName name="ert" localSheetId="5" hidden="1">{"'előző év december'!$A$2:$CP$214"}</definedName>
    <definedName name="ert" localSheetId="7" hidden="1">{"'előző év december'!$A$2:$CP$214"}</definedName>
    <definedName name="ert" localSheetId="8" hidden="1">{"'előző év december'!$A$2:$CP$214"}</definedName>
    <definedName name="ert" localSheetId="9" hidden="1">{"'előző év december'!$A$2:$CP$214"}</definedName>
    <definedName name="ert" localSheetId="10" hidden="1">{"'előző év december'!$A$2:$CP$214"}</definedName>
    <definedName name="ert" localSheetId="14" hidden="1">{"'előző év december'!$A$2:$CP$214"}</definedName>
    <definedName name="ert" localSheetId="18" hidden="1">{"'előző év december'!$A$2:$CP$214"}</definedName>
    <definedName name="ert" localSheetId="19" hidden="1">{"'előző év december'!$A$2:$CP$214"}</definedName>
    <definedName name="ert" localSheetId="21" hidden="1">{"'előző év december'!$A$2:$CP$214"}</definedName>
    <definedName name="ert" localSheetId="23" hidden="1">{"'előző év december'!$A$2:$CP$214"}</definedName>
    <definedName name="ert" localSheetId="24" hidden="1">{"'előző év december'!$A$2:$CP$214"}</definedName>
    <definedName name="ert" localSheetId="25" hidden="1">{"'előző év december'!$A$2:$CP$214"}</definedName>
    <definedName name="ert" localSheetId="27" hidden="1">{"'előző év december'!$A$2:$CP$214"}</definedName>
    <definedName name="ert" localSheetId="30" hidden="1">{"'előző év december'!$A$2:$CP$214"}</definedName>
    <definedName name="ert" localSheetId="33" hidden="1">{"'előző év december'!$A$2:$CP$214"}</definedName>
    <definedName name="ert" localSheetId="34" hidden="1">{"'előző év december'!$A$2:$CP$214"}</definedName>
    <definedName name="ert" localSheetId="35" hidden="1">{"'előző év december'!$A$2:$CP$214"}</definedName>
    <definedName name="ert" localSheetId="36" hidden="1">{"'előző év december'!$A$2:$CP$214"}</definedName>
    <definedName name="ert" localSheetId="37" hidden="1">{"'előző év december'!$A$2:$CP$214"}</definedName>
    <definedName name="ert" localSheetId="38" hidden="1">{"'előző év december'!$A$2:$CP$214"}</definedName>
    <definedName name="ert" localSheetId="39" hidden="1">{"'előző év december'!$A$2:$CP$214"}</definedName>
    <definedName name="ert" localSheetId="40" hidden="1">{"'előző év december'!$A$2:$CP$214"}</definedName>
    <definedName name="ert" hidden="1">{"'előző év december'!$A$2:$CP$214"}</definedName>
    <definedName name="ertertwertwert" localSheetId="50" hidden="1">{"'előző év december'!$A$2:$CP$214"}</definedName>
    <definedName name="ertertwertwert" localSheetId="56" hidden="1">{"'előző év december'!$A$2:$CP$214"}</definedName>
    <definedName name="ertertwertwert" localSheetId="57" hidden="1">{"'előző év december'!$A$2:$CP$214"}</definedName>
    <definedName name="ertertwertwert" localSheetId="58" hidden="1">{"'előző év december'!$A$2:$CP$214"}</definedName>
    <definedName name="ertertwertwert" localSheetId="59" hidden="1">{"'előző év december'!$A$2:$CP$214"}</definedName>
    <definedName name="ertertwertwert" localSheetId="62" hidden="1">{"'előző év december'!$A$2:$CP$214"}</definedName>
    <definedName name="ertertwertwert" localSheetId="70" hidden="1">{"'előző év december'!$A$2:$CP$214"}</definedName>
    <definedName name="ertertwertwert" localSheetId="71" hidden="1">{"'előző év december'!$A$2:$CP$214"}</definedName>
    <definedName name="ertertwertwert" localSheetId="72" hidden="1">{"'előző év december'!$A$2:$CP$214"}</definedName>
    <definedName name="ertertwertwert" localSheetId="73" hidden="1">{"'előző év december'!$A$2:$CP$214"}</definedName>
    <definedName name="ertertwertwert" localSheetId="74" hidden="1">{"'előző év december'!$A$2:$CP$214"}</definedName>
    <definedName name="ertertwertwert" localSheetId="79" hidden="1">{"'előző év december'!$A$2:$CP$214"}</definedName>
    <definedName name="ertertwertwert" localSheetId="80" hidden="1">{"'előző év december'!$A$2:$CP$214"}</definedName>
    <definedName name="ertertwertwert" localSheetId="81" hidden="1">{"'előző év december'!$A$2:$CP$214"}</definedName>
    <definedName name="ertertwertwert" localSheetId="97" hidden="1">{"'előző év december'!$A$2:$CP$214"}</definedName>
    <definedName name="ertertwertwert" localSheetId="98" hidden="1">{"'előző év december'!$A$2:$CP$214"}</definedName>
    <definedName name="ertertwertwert" localSheetId="99" hidden="1">{"'előző év december'!$A$2:$CP$214"}</definedName>
    <definedName name="ertertwertwert" localSheetId="100" hidden="1">{"'előző év december'!$A$2:$CP$214"}</definedName>
    <definedName name="ertertwertwert" localSheetId="101" hidden="1">{"'előző év december'!$A$2:$CP$214"}</definedName>
    <definedName name="ertertwertwert" localSheetId="108" hidden="1">{"'előző év december'!$A$2:$CP$214"}</definedName>
    <definedName name="ertertwertwert" localSheetId="115" hidden="1">{"'előző év december'!$A$2:$CP$214"}</definedName>
    <definedName name="ertertwertwert" localSheetId="5" hidden="1">{"'előző év december'!$A$2:$CP$214"}</definedName>
    <definedName name="ertertwertwert" localSheetId="7" hidden="1">{"'előző év december'!$A$2:$CP$214"}</definedName>
    <definedName name="ertertwertwert" localSheetId="8" hidden="1">{"'előző év december'!$A$2:$CP$214"}</definedName>
    <definedName name="ertertwertwert" localSheetId="9" hidden="1">{"'előző év december'!$A$2:$CP$214"}</definedName>
    <definedName name="ertertwertwert" localSheetId="10" hidden="1">{"'előző év december'!$A$2:$CP$214"}</definedName>
    <definedName name="ertertwertwert" localSheetId="14" hidden="1">{"'előző év december'!$A$2:$CP$214"}</definedName>
    <definedName name="ertertwertwert" localSheetId="18" hidden="1">{"'előző év december'!$A$2:$CP$214"}</definedName>
    <definedName name="ertertwertwert" localSheetId="19" hidden="1">{"'előző év december'!$A$2:$CP$214"}</definedName>
    <definedName name="ertertwertwert" localSheetId="21" hidden="1">{"'előző év december'!$A$2:$CP$214"}</definedName>
    <definedName name="ertertwertwert" localSheetId="23" hidden="1">{"'előző év december'!$A$2:$CP$214"}</definedName>
    <definedName name="ertertwertwert" localSheetId="24" hidden="1">{"'előző év december'!$A$2:$CP$214"}</definedName>
    <definedName name="ertertwertwert" localSheetId="25" hidden="1">{"'előző év december'!$A$2:$CP$214"}</definedName>
    <definedName name="ertertwertwert" localSheetId="27" hidden="1">{"'előző év december'!$A$2:$CP$214"}</definedName>
    <definedName name="ertertwertwert" localSheetId="30" hidden="1">{"'előző év december'!$A$2:$CP$214"}</definedName>
    <definedName name="ertertwertwert" localSheetId="33" hidden="1">{"'előző év december'!$A$2:$CP$214"}</definedName>
    <definedName name="ertertwertwert" localSheetId="34" hidden="1">{"'előző év december'!$A$2:$CP$214"}</definedName>
    <definedName name="ertertwertwert" localSheetId="35" hidden="1">{"'előző év december'!$A$2:$CP$214"}</definedName>
    <definedName name="ertertwertwert" localSheetId="36" hidden="1">{"'előző év december'!$A$2:$CP$214"}</definedName>
    <definedName name="ertertwertwert" localSheetId="37" hidden="1">{"'előző év december'!$A$2:$CP$214"}</definedName>
    <definedName name="ertertwertwert" localSheetId="38" hidden="1">{"'előző év december'!$A$2:$CP$214"}</definedName>
    <definedName name="ertertwertwert" localSheetId="39" hidden="1">{"'előző év december'!$A$2:$CP$214"}</definedName>
    <definedName name="ertertwertwert" localSheetId="40" hidden="1">{"'előző év december'!$A$2:$CP$214"}</definedName>
    <definedName name="ertertwertwert" hidden="1">{"'előző év december'!$A$2:$CP$214"}</definedName>
    <definedName name="ESAfl">[24]IFRS!$Q$4:$Q$369</definedName>
    <definedName name="ESAsh">[24]IFRS!$P$4:$P$369</definedName>
    <definedName name="f" localSheetId="50" hidden="1">{"'előző év december'!$A$2:$CP$214"}</definedName>
    <definedName name="f" localSheetId="56" hidden="1">{"'előző év december'!$A$2:$CP$214"}</definedName>
    <definedName name="f" localSheetId="57" hidden="1">{"'előző év december'!$A$2:$CP$214"}</definedName>
    <definedName name="f" localSheetId="58" hidden="1">{"'előző év december'!$A$2:$CP$214"}</definedName>
    <definedName name="f" localSheetId="59" hidden="1">{"'előző év december'!$A$2:$CP$214"}</definedName>
    <definedName name="f" localSheetId="62" hidden="1">{"'előző év december'!$A$2:$CP$214"}</definedName>
    <definedName name="f" localSheetId="70" hidden="1">{"'előző év december'!$A$2:$CP$214"}</definedName>
    <definedName name="f" localSheetId="71" hidden="1">{"'előző év december'!$A$2:$CP$214"}</definedName>
    <definedName name="f" localSheetId="72" hidden="1">{"'előző év december'!$A$2:$CP$214"}</definedName>
    <definedName name="f" localSheetId="73" hidden="1">{"'előző év december'!$A$2:$CP$214"}</definedName>
    <definedName name="f" localSheetId="74" hidden="1">{"'előző év december'!$A$2:$CP$214"}</definedName>
    <definedName name="f" localSheetId="79" hidden="1">{"'előző év december'!$A$2:$CP$214"}</definedName>
    <definedName name="f" localSheetId="80" hidden="1">{"'előző év december'!$A$2:$CP$214"}</definedName>
    <definedName name="f" localSheetId="81" hidden="1">{"'előző év december'!$A$2:$CP$214"}</definedName>
    <definedName name="f" localSheetId="97" hidden="1">{"'előző év december'!$A$2:$CP$214"}</definedName>
    <definedName name="f" localSheetId="98" hidden="1">{"'előző év december'!$A$2:$CP$214"}</definedName>
    <definedName name="f" localSheetId="99" hidden="1">{"'előző év december'!$A$2:$CP$214"}</definedName>
    <definedName name="f" localSheetId="100" hidden="1">{"'előző év december'!$A$2:$CP$214"}</definedName>
    <definedName name="f" localSheetId="101" hidden="1">{"'előző év december'!$A$2:$CP$214"}</definedName>
    <definedName name="f" localSheetId="108" hidden="1">{"'előző év december'!$A$2:$CP$214"}</definedName>
    <definedName name="f" localSheetId="115" hidden="1">{"'előző év december'!$A$2:$CP$214"}</definedName>
    <definedName name="f" localSheetId="5" hidden="1">{"'előző év december'!$A$2:$CP$214"}</definedName>
    <definedName name="f" localSheetId="7" hidden="1">{"'előző év december'!$A$2:$CP$214"}</definedName>
    <definedName name="f" localSheetId="8" hidden="1">{"'előző év december'!$A$2:$CP$214"}</definedName>
    <definedName name="f" localSheetId="9" hidden="1">{"'előző év december'!$A$2:$CP$214"}</definedName>
    <definedName name="f" localSheetId="10" hidden="1">{"'előző év december'!$A$2:$CP$214"}</definedName>
    <definedName name="f" localSheetId="14" hidden="1">{"'előző év december'!$A$2:$CP$214"}</definedName>
    <definedName name="f" localSheetId="18" hidden="1">{"'előző év december'!$A$2:$CP$214"}</definedName>
    <definedName name="f" localSheetId="19" hidden="1">{"'előző év december'!$A$2:$CP$214"}</definedName>
    <definedName name="f" localSheetId="21" hidden="1">{"'előző év december'!$A$2:$CP$214"}</definedName>
    <definedName name="f" localSheetId="23" hidden="1">{"'előző év december'!$A$2:$CP$214"}</definedName>
    <definedName name="f" localSheetId="24" hidden="1">{"'előző év december'!$A$2:$CP$214"}</definedName>
    <definedName name="f" localSheetId="25" hidden="1">{"'előző év december'!$A$2:$CP$214"}</definedName>
    <definedName name="f" localSheetId="27" hidden="1">{"'előző év december'!$A$2:$CP$214"}</definedName>
    <definedName name="f" localSheetId="30" hidden="1">{"'előző év december'!$A$2:$CP$214"}</definedName>
    <definedName name="f" localSheetId="33" hidden="1">{"'előző év december'!$A$2:$CP$214"}</definedName>
    <definedName name="f" localSheetId="34" hidden="1">{"'előző év december'!$A$2:$CP$214"}</definedName>
    <definedName name="f" localSheetId="35" hidden="1">{"'előző év december'!$A$2:$CP$214"}</definedName>
    <definedName name="f" localSheetId="36" hidden="1">{"'előző év december'!$A$2:$CP$214"}</definedName>
    <definedName name="f" localSheetId="37" hidden="1">{"'előző év december'!$A$2:$CP$214"}</definedName>
    <definedName name="f" localSheetId="38" hidden="1">{"'előző év december'!$A$2:$CP$214"}</definedName>
    <definedName name="f" localSheetId="39" hidden="1">{"'előző év december'!$A$2:$CP$214"}</definedName>
    <definedName name="f" localSheetId="40" hidden="1">{"'előző év december'!$A$2:$CP$214"}</definedName>
    <definedName name="f" hidden="1">{"'előző év december'!$A$2:$CP$214"}</definedName>
    <definedName name="ff" localSheetId="50" hidden="1">{"Tab1",#N/A,FALSE,"P";"Tab2",#N/A,FALSE,"P"}</definedName>
    <definedName name="ff" localSheetId="55" hidden="1">{"Tab1",#N/A,FALSE,"P";"Tab2",#N/A,FALSE,"P"}</definedName>
    <definedName name="ff" localSheetId="56" hidden="1">{"Tab1",#N/A,FALSE,"P";"Tab2",#N/A,FALSE,"P"}</definedName>
    <definedName name="ff" localSheetId="57" hidden="1">{"Tab1",#N/A,FALSE,"P";"Tab2",#N/A,FALSE,"P"}</definedName>
    <definedName name="ff" localSheetId="58" hidden="1">{"Tab1",#N/A,FALSE,"P";"Tab2",#N/A,FALSE,"P"}</definedName>
    <definedName name="ff" localSheetId="59" hidden="1">{"Tab1",#N/A,FALSE,"P";"Tab2",#N/A,FALSE,"P"}</definedName>
    <definedName name="ff" localSheetId="62" hidden="1">{"Tab1",#N/A,FALSE,"P";"Tab2",#N/A,FALSE,"P"}</definedName>
    <definedName name="ff" localSheetId="70" hidden="1">{"Tab1",#N/A,FALSE,"P";"Tab2",#N/A,FALSE,"P"}</definedName>
    <definedName name="ff" localSheetId="71" hidden="1">{"Tab1",#N/A,FALSE,"P";"Tab2",#N/A,FALSE,"P"}</definedName>
    <definedName name="ff" localSheetId="72" hidden="1">{"Tab1",#N/A,FALSE,"P";"Tab2",#N/A,FALSE,"P"}</definedName>
    <definedName name="ff" localSheetId="73" hidden="1">{"Tab1",#N/A,FALSE,"P";"Tab2",#N/A,FALSE,"P"}</definedName>
    <definedName name="ff" localSheetId="74" hidden="1">{"Tab1",#N/A,FALSE,"P";"Tab2",#N/A,FALSE,"P"}</definedName>
    <definedName name="ff" localSheetId="75" hidden="1">{"Tab1",#N/A,FALSE,"P";"Tab2",#N/A,FALSE,"P"}</definedName>
    <definedName name="ff" localSheetId="76" hidden="1">{"Tab1",#N/A,FALSE,"P";"Tab2",#N/A,FALSE,"P"}</definedName>
    <definedName name="ff" localSheetId="79" hidden="1">{"Tab1",#N/A,FALSE,"P";"Tab2",#N/A,FALSE,"P"}</definedName>
    <definedName name="ff" localSheetId="80" hidden="1">{"Tab1",#N/A,FALSE,"P";"Tab2",#N/A,FALSE,"P"}</definedName>
    <definedName name="ff" localSheetId="81" hidden="1">{"Tab1",#N/A,FALSE,"P";"Tab2",#N/A,FALSE,"P"}</definedName>
    <definedName name="ff" localSheetId="83" hidden="1">{"Tab1",#N/A,FALSE,"P";"Tab2",#N/A,FALSE,"P"}</definedName>
    <definedName name="ff" localSheetId="97" hidden="1">{"Tab1",#N/A,FALSE,"P";"Tab2",#N/A,FALSE,"P"}</definedName>
    <definedName name="ff" localSheetId="98" hidden="1">{"Tab1",#N/A,FALSE,"P";"Tab2",#N/A,FALSE,"P"}</definedName>
    <definedName name="ff" localSheetId="99" hidden="1">{"Tab1",#N/A,FALSE,"P";"Tab2",#N/A,FALSE,"P"}</definedName>
    <definedName name="ff" localSheetId="100" hidden="1">{"Tab1",#N/A,FALSE,"P";"Tab2",#N/A,FALSE,"P"}</definedName>
    <definedName name="ff" localSheetId="101" hidden="1">{"Tab1",#N/A,FALSE,"P";"Tab2",#N/A,FALSE,"P"}</definedName>
    <definedName name="ff" localSheetId="108" hidden="1">{"Tab1",#N/A,FALSE,"P";"Tab2",#N/A,FALSE,"P"}</definedName>
    <definedName name="ff" localSheetId="115" hidden="1">{"Tab1",#N/A,FALSE,"P";"Tab2",#N/A,FALSE,"P"}</definedName>
    <definedName name="ff" localSheetId="5" hidden="1">{"Tab1",#N/A,FALSE,"P";"Tab2",#N/A,FALSE,"P"}</definedName>
    <definedName name="ff" localSheetId="7" hidden="1">{"Tab1",#N/A,FALSE,"P";"Tab2",#N/A,FALSE,"P"}</definedName>
    <definedName name="ff" localSheetId="8" hidden="1">{"Tab1",#N/A,FALSE,"P";"Tab2",#N/A,FALSE,"P"}</definedName>
    <definedName name="ff" localSheetId="9" hidden="1">{"Tab1",#N/A,FALSE,"P";"Tab2",#N/A,FALSE,"P"}</definedName>
    <definedName name="ff" localSheetId="10" hidden="1">{"Tab1",#N/A,FALSE,"P";"Tab2",#N/A,FALSE,"P"}</definedName>
    <definedName name="ff" localSheetId="14" hidden="1">{"Tab1",#N/A,FALSE,"P";"Tab2",#N/A,FALSE,"P"}</definedName>
    <definedName name="ff" localSheetId="18" hidden="1">{"'előző év december'!$A$2:$CP$214"}</definedName>
    <definedName name="ff" localSheetId="19" hidden="1">{"Tab1",#N/A,FALSE,"P";"Tab2",#N/A,FALSE,"P"}</definedName>
    <definedName name="ff" localSheetId="21" hidden="1">{"Tab1",#N/A,FALSE,"P";"Tab2",#N/A,FALSE,"P"}</definedName>
    <definedName name="ff" localSheetId="23" hidden="1">{"Tab1",#N/A,FALSE,"P";"Tab2",#N/A,FALSE,"P"}</definedName>
    <definedName name="ff" localSheetId="24" hidden="1">{"Tab1",#N/A,FALSE,"P";"Tab2",#N/A,FALSE,"P"}</definedName>
    <definedName name="ff" localSheetId="25" hidden="1">{"Tab1",#N/A,FALSE,"P";"Tab2",#N/A,FALSE,"P"}</definedName>
    <definedName name="ff" localSheetId="27" hidden="1">{"Tab1",#N/A,FALSE,"P";"Tab2",#N/A,FALSE,"P"}</definedName>
    <definedName name="ff" localSheetId="30" hidden="1">{"Tab1",#N/A,FALSE,"P";"Tab2",#N/A,FALSE,"P"}</definedName>
    <definedName name="ff" localSheetId="33" hidden="1">{"Tab1",#N/A,FALSE,"P";"Tab2",#N/A,FALSE,"P"}</definedName>
    <definedName name="ff" localSheetId="34" hidden="1">{"Tab1",#N/A,FALSE,"P";"Tab2",#N/A,FALSE,"P"}</definedName>
    <definedName name="ff" localSheetId="35" hidden="1">{"Tab1",#N/A,FALSE,"P";"Tab2",#N/A,FALSE,"P"}</definedName>
    <definedName name="ff" localSheetId="36" hidden="1">{"Tab1",#N/A,FALSE,"P";"Tab2",#N/A,FALSE,"P"}</definedName>
    <definedName name="ff" localSheetId="37" hidden="1">{"Tab1",#N/A,FALSE,"P";"Tab2",#N/A,FALSE,"P"}</definedName>
    <definedName name="ff" localSheetId="38" hidden="1">{"Tab1",#N/A,FALSE,"P";"Tab2",#N/A,FALSE,"P"}</definedName>
    <definedName name="ff" localSheetId="39" hidden="1">{"Tab1",#N/A,FALSE,"P";"Tab2",#N/A,FALSE,"P"}</definedName>
    <definedName name="ff" localSheetId="40" hidden="1">{"Tab1",#N/A,FALSE,"P";"Tab2",#N/A,FALSE,"P"}</definedName>
    <definedName name="ff" localSheetId="44" hidden="1">{"Tab1",#N/A,FALSE,"P";"Tab2",#N/A,FALSE,"P"}</definedName>
    <definedName name="ff" hidden="1">{"Tab1",#N/A,FALSE,"P";"Tab2",#N/A,FALSE,"P"}</definedName>
    <definedName name="fff" localSheetId="50" hidden="1">{"Tab1",#N/A,FALSE,"P";"Tab2",#N/A,FALSE,"P"}</definedName>
    <definedName name="fff" localSheetId="55" hidden="1">{"Tab1",#N/A,FALSE,"P";"Tab2",#N/A,FALSE,"P"}</definedName>
    <definedName name="fff" localSheetId="56" hidden="1">{"Tab1",#N/A,FALSE,"P";"Tab2",#N/A,FALSE,"P"}</definedName>
    <definedName name="fff" localSheetId="57" hidden="1">{"Tab1",#N/A,FALSE,"P";"Tab2",#N/A,FALSE,"P"}</definedName>
    <definedName name="fff" localSheetId="58" hidden="1">{"Tab1",#N/A,FALSE,"P";"Tab2",#N/A,FALSE,"P"}</definedName>
    <definedName name="fff" localSheetId="59" hidden="1">{"Tab1",#N/A,FALSE,"P";"Tab2",#N/A,FALSE,"P"}</definedName>
    <definedName name="fff" localSheetId="62" hidden="1">{"Tab1",#N/A,FALSE,"P";"Tab2",#N/A,FALSE,"P"}</definedName>
    <definedName name="fff" localSheetId="70" hidden="1">{"Tab1",#N/A,FALSE,"P";"Tab2",#N/A,FALSE,"P"}</definedName>
    <definedName name="fff" localSheetId="71" hidden="1">{"Tab1",#N/A,FALSE,"P";"Tab2",#N/A,FALSE,"P"}</definedName>
    <definedName name="fff" localSheetId="72" hidden="1">{"Tab1",#N/A,FALSE,"P";"Tab2",#N/A,FALSE,"P"}</definedName>
    <definedName name="fff" localSheetId="73" hidden="1">{"Tab1",#N/A,FALSE,"P";"Tab2",#N/A,FALSE,"P"}</definedName>
    <definedName name="fff" localSheetId="74" hidden="1">{"Tab1",#N/A,FALSE,"P";"Tab2",#N/A,FALSE,"P"}</definedName>
    <definedName name="fff" localSheetId="75" hidden="1">{"Tab1",#N/A,FALSE,"P";"Tab2",#N/A,FALSE,"P"}</definedName>
    <definedName name="fff" localSheetId="76" hidden="1">{"Tab1",#N/A,FALSE,"P";"Tab2",#N/A,FALSE,"P"}</definedName>
    <definedName name="fff" localSheetId="79" hidden="1">{"Tab1",#N/A,FALSE,"P";"Tab2",#N/A,FALSE,"P"}</definedName>
    <definedName name="fff" localSheetId="80" hidden="1">{"Tab1",#N/A,FALSE,"P";"Tab2",#N/A,FALSE,"P"}</definedName>
    <definedName name="fff" localSheetId="81" hidden="1">{"Tab1",#N/A,FALSE,"P";"Tab2",#N/A,FALSE,"P"}</definedName>
    <definedName name="fff" localSheetId="83" hidden="1">{"Tab1",#N/A,FALSE,"P";"Tab2",#N/A,FALSE,"P"}</definedName>
    <definedName name="fff" localSheetId="97" hidden="1">{"Tab1",#N/A,FALSE,"P";"Tab2",#N/A,FALSE,"P"}</definedName>
    <definedName name="fff" localSheetId="98" hidden="1">{"Tab1",#N/A,FALSE,"P";"Tab2",#N/A,FALSE,"P"}</definedName>
    <definedName name="fff" localSheetId="99" hidden="1">{"Tab1",#N/A,FALSE,"P";"Tab2",#N/A,FALSE,"P"}</definedName>
    <definedName name="fff" localSheetId="100" hidden="1">{"Tab1",#N/A,FALSE,"P";"Tab2",#N/A,FALSE,"P"}</definedName>
    <definedName name="fff" localSheetId="101" hidden="1">{"Tab1",#N/A,FALSE,"P";"Tab2",#N/A,FALSE,"P"}</definedName>
    <definedName name="fff" localSheetId="108" hidden="1">{"Tab1",#N/A,FALSE,"P";"Tab2",#N/A,FALSE,"P"}</definedName>
    <definedName name="fff" localSheetId="115" hidden="1">{"Tab1",#N/A,FALSE,"P";"Tab2",#N/A,FALSE,"P"}</definedName>
    <definedName name="fff" localSheetId="5" hidden="1">{"Tab1",#N/A,FALSE,"P";"Tab2",#N/A,FALSE,"P"}</definedName>
    <definedName name="fff" localSheetId="7" hidden="1">{"Tab1",#N/A,FALSE,"P";"Tab2",#N/A,FALSE,"P"}</definedName>
    <definedName name="fff" localSheetId="8" hidden="1">{"Tab1",#N/A,FALSE,"P";"Tab2",#N/A,FALSE,"P"}</definedName>
    <definedName name="fff" localSheetId="9" hidden="1">{"Tab1",#N/A,FALSE,"P";"Tab2",#N/A,FALSE,"P"}</definedName>
    <definedName name="fff" localSheetId="10" hidden="1">{"Tab1",#N/A,FALSE,"P";"Tab2",#N/A,FALSE,"P"}</definedName>
    <definedName name="fff" localSheetId="14" hidden="1">{"Tab1",#N/A,FALSE,"P";"Tab2",#N/A,FALSE,"P"}</definedName>
    <definedName name="fff" localSheetId="19" hidden="1">{"Tab1",#N/A,FALSE,"P";"Tab2",#N/A,FALSE,"P"}</definedName>
    <definedName name="fff" localSheetId="21" hidden="1">{"Tab1",#N/A,FALSE,"P";"Tab2",#N/A,FALSE,"P"}</definedName>
    <definedName name="fff" localSheetId="23" hidden="1">{"Tab1",#N/A,FALSE,"P";"Tab2",#N/A,FALSE,"P"}</definedName>
    <definedName name="fff" localSheetId="24" hidden="1">{"Tab1",#N/A,FALSE,"P";"Tab2",#N/A,FALSE,"P"}</definedName>
    <definedName name="fff" localSheetId="25" hidden="1">{"Tab1",#N/A,FALSE,"P";"Tab2",#N/A,FALSE,"P"}</definedName>
    <definedName name="fff" localSheetId="27" hidden="1">{"Tab1",#N/A,FALSE,"P";"Tab2",#N/A,FALSE,"P"}</definedName>
    <definedName name="fff" localSheetId="30" hidden="1">{"Tab1",#N/A,FALSE,"P";"Tab2",#N/A,FALSE,"P"}</definedName>
    <definedName name="fff" localSheetId="33" hidden="1">{"Tab1",#N/A,FALSE,"P";"Tab2",#N/A,FALSE,"P"}</definedName>
    <definedName name="fff" localSheetId="34" hidden="1">{"Tab1",#N/A,FALSE,"P";"Tab2",#N/A,FALSE,"P"}</definedName>
    <definedName name="fff" localSheetId="35" hidden="1">{"Tab1",#N/A,FALSE,"P";"Tab2",#N/A,FALSE,"P"}</definedName>
    <definedName name="fff" localSheetId="36" hidden="1">{"Tab1",#N/A,FALSE,"P";"Tab2",#N/A,FALSE,"P"}</definedName>
    <definedName name="fff" localSheetId="37" hidden="1">{"Tab1",#N/A,FALSE,"P";"Tab2",#N/A,FALSE,"P"}</definedName>
    <definedName name="fff" localSheetId="38" hidden="1">{"Tab1",#N/A,FALSE,"P";"Tab2",#N/A,FALSE,"P"}</definedName>
    <definedName name="fff" localSheetId="39" hidden="1">{"Tab1",#N/A,FALSE,"P";"Tab2",#N/A,FALSE,"P"}</definedName>
    <definedName name="fff" localSheetId="40" hidden="1">{"Tab1",#N/A,FALSE,"P";"Tab2",#N/A,FALSE,"P"}</definedName>
    <definedName name="fff" localSheetId="44" hidden="1">{"Tab1",#N/A,FALSE,"P";"Tab2",#N/A,FALSE,"P"}</definedName>
    <definedName name="fff" hidden="1">{"Tab1",#N/A,FALSE,"P";"Tab2",#N/A,FALSE,"P"}</definedName>
    <definedName name="ffg" localSheetId="50" hidden="1">{"'előző év december'!$A$2:$CP$214"}</definedName>
    <definedName name="ffg" localSheetId="56" hidden="1">{"'előző év december'!$A$2:$CP$214"}</definedName>
    <definedName name="ffg" localSheetId="57" hidden="1">{"'előző év december'!$A$2:$CP$214"}</definedName>
    <definedName name="ffg" localSheetId="58" hidden="1">{"'előző év december'!$A$2:$CP$214"}</definedName>
    <definedName name="ffg" localSheetId="59" hidden="1">{"'előző év december'!$A$2:$CP$214"}</definedName>
    <definedName name="ffg" localSheetId="62" hidden="1">{"'előző év december'!$A$2:$CP$214"}</definedName>
    <definedName name="ffg" localSheetId="70" hidden="1">{"'előző év december'!$A$2:$CP$214"}</definedName>
    <definedName name="ffg" localSheetId="71" hidden="1">{"'előző év december'!$A$2:$CP$214"}</definedName>
    <definedName name="ffg" localSheetId="72" hidden="1">{"'előző év december'!$A$2:$CP$214"}</definedName>
    <definedName name="ffg" localSheetId="73" hidden="1">{"'előző év december'!$A$2:$CP$214"}</definedName>
    <definedName name="ffg" localSheetId="74" hidden="1">{"'előző év december'!$A$2:$CP$214"}</definedName>
    <definedName name="ffg" localSheetId="79" hidden="1">{"'előző év december'!$A$2:$CP$214"}</definedName>
    <definedName name="ffg" localSheetId="80" hidden="1">{"'előző év december'!$A$2:$CP$214"}</definedName>
    <definedName name="ffg" localSheetId="81" hidden="1">{"'előző év december'!$A$2:$CP$214"}</definedName>
    <definedName name="ffg" localSheetId="97" hidden="1">{"'előző év december'!$A$2:$CP$214"}</definedName>
    <definedName name="ffg" localSheetId="98" hidden="1">{"'előző év december'!$A$2:$CP$214"}</definedName>
    <definedName name="ffg" localSheetId="99" hidden="1">{"'előző év december'!$A$2:$CP$214"}</definedName>
    <definedName name="ffg" localSheetId="100" hidden="1">{"'előző év december'!$A$2:$CP$214"}</definedName>
    <definedName name="ffg" localSheetId="101" hidden="1">{"'előző év december'!$A$2:$CP$214"}</definedName>
    <definedName name="ffg" localSheetId="108" hidden="1">{"'előző év december'!$A$2:$CP$214"}</definedName>
    <definedName name="ffg" localSheetId="115" hidden="1">{"'előző év december'!$A$2:$CP$214"}</definedName>
    <definedName name="ffg" localSheetId="5" hidden="1">{"'előző év december'!$A$2:$CP$214"}</definedName>
    <definedName name="ffg" localSheetId="7" hidden="1">{"'előző év december'!$A$2:$CP$214"}</definedName>
    <definedName name="ffg" localSheetId="8" hidden="1">{"'előző év december'!$A$2:$CP$214"}</definedName>
    <definedName name="ffg" localSheetId="9" hidden="1">{"'előző év december'!$A$2:$CP$214"}</definedName>
    <definedName name="ffg" localSheetId="10" hidden="1">{"'előző év december'!$A$2:$CP$214"}</definedName>
    <definedName name="ffg" localSheetId="14" hidden="1">{"'előző év december'!$A$2:$CP$214"}</definedName>
    <definedName name="ffg" localSheetId="18" hidden="1">{"'előző év december'!$A$2:$CP$214"}</definedName>
    <definedName name="ffg" localSheetId="19" hidden="1">{"'előző év december'!$A$2:$CP$214"}</definedName>
    <definedName name="ffg" localSheetId="21" hidden="1">{"'előző év december'!$A$2:$CP$214"}</definedName>
    <definedName name="ffg" localSheetId="23" hidden="1">{"'előző év december'!$A$2:$CP$214"}</definedName>
    <definedName name="ffg" localSheetId="24" hidden="1">{"'előző év december'!$A$2:$CP$214"}</definedName>
    <definedName name="ffg" localSheetId="25" hidden="1">{"'előző év december'!$A$2:$CP$214"}</definedName>
    <definedName name="ffg" localSheetId="27" hidden="1">{"'előző év december'!$A$2:$CP$214"}</definedName>
    <definedName name="ffg" localSheetId="30" hidden="1">{"'előző év december'!$A$2:$CP$214"}</definedName>
    <definedName name="ffg" localSheetId="33" hidden="1">{"'előző év december'!$A$2:$CP$214"}</definedName>
    <definedName name="ffg" localSheetId="34" hidden="1">{"'előző év december'!$A$2:$CP$214"}</definedName>
    <definedName name="ffg" localSheetId="35" hidden="1">{"'előző év december'!$A$2:$CP$214"}</definedName>
    <definedName name="ffg" localSheetId="36" hidden="1">{"'előző év december'!$A$2:$CP$214"}</definedName>
    <definedName name="ffg" localSheetId="37" hidden="1">{"'előző év december'!$A$2:$CP$214"}</definedName>
    <definedName name="ffg" localSheetId="38" hidden="1">{"'előző év december'!$A$2:$CP$214"}</definedName>
    <definedName name="ffg" localSheetId="39" hidden="1">{"'előző év december'!$A$2:$CP$214"}</definedName>
    <definedName name="ffg" localSheetId="40" hidden="1">{"'előző év december'!$A$2:$CP$214"}</definedName>
    <definedName name="ffg" hidden="1">{"'előző év december'!$A$2:$CP$214"}</definedName>
    <definedName name="fg" localSheetId="50" hidden="1">{"'előző év december'!$A$2:$CP$214"}</definedName>
    <definedName name="fg" localSheetId="56" hidden="1">{"'előző év december'!$A$2:$CP$214"}</definedName>
    <definedName name="fg" localSheetId="57" hidden="1">{"'előző év december'!$A$2:$CP$214"}</definedName>
    <definedName name="fg" localSheetId="58" hidden="1">{"'előző év december'!$A$2:$CP$214"}</definedName>
    <definedName name="fg" localSheetId="59" hidden="1">{"'előző év december'!$A$2:$CP$214"}</definedName>
    <definedName name="fg" localSheetId="62" hidden="1">{"'előző év december'!$A$2:$CP$214"}</definedName>
    <definedName name="fg" localSheetId="70" hidden="1">{"'előző év december'!$A$2:$CP$214"}</definedName>
    <definedName name="fg" localSheetId="71" hidden="1">{"'előző év december'!$A$2:$CP$214"}</definedName>
    <definedName name="fg" localSheetId="72" hidden="1">{"'előző év december'!$A$2:$CP$214"}</definedName>
    <definedName name="fg" localSheetId="73" hidden="1">{"'előző év december'!$A$2:$CP$214"}</definedName>
    <definedName name="fg" localSheetId="74" hidden="1">{"'előző év december'!$A$2:$CP$214"}</definedName>
    <definedName name="fg" localSheetId="79" hidden="1">{"'előző év december'!$A$2:$CP$214"}</definedName>
    <definedName name="fg" localSheetId="80" hidden="1">{"'előző év december'!$A$2:$CP$214"}</definedName>
    <definedName name="fg" localSheetId="81" hidden="1">{"'előző év december'!$A$2:$CP$214"}</definedName>
    <definedName name="fg" localSheetId="97" hidden="1">{"'előző év december'!$A$2:$CP$214"}</definedName>
    <definedName name="fg" localSheetId="98" hidden="1">{"'előző év december'!$A$2:$CP$214"}</definedName>
    <definedName name="fg" localSheetId="99" hidden="1">{"'előző év december'!$A$2:$CP$214"}</definedName>
    <definedName name="fg" localSheetId="100" hidden="1">{"'előző év december'!$A$2:$CP$214"}</definedName>
    <definedName name="fg" localSheetId="101" hidden="1">{"'előző év december'!$A$2:$CP$214"}</definedName>
    <definedName name="fg" localSheetId="108" hidden="1">{"'előző év december'!$A$2:$CP$214"}</definedName>
    <definedName name="fg" localSheetId="115" hidden="1">{"'előző év december'!$A$2:$CP$214"}</definedName>
    <definedName name="fg" localSheetId="5" hidden="1">{"'előző év december'!$A$2:$CP$214"}</definedName>
    <definedName name="fg" localSheetId="7" hidden="1">{"'előző év december'!$A$2:$CP$214"}</definedName>
    <definedName name="fg" localSheetId="8" hidden="1">{"'előző év december'!$A$2:$CP$214"}</definedName>
    <definedName name="fg" localSheetId="9" hidden="1">{"'előző év december'!$A$2:$CP$214"}</definedName>
    <definedName name="fg" localSheetId="10" hidden="1">{"'előző év december'!$A$2:$CP$214"}</definedName>
    <definedName name="fg" localSheetId="14" hidden="1">{"'előző év december'!$A$2:$CP$214"}</definedName>
    <definedName name="fg" localSheetId="18" hidden="1">{"'előző év december'!$A$2:$CP$214"}</definedName>
    <definedName name="fg" localSheetId="19" hidden="1">{"'előző év december'!$A$2:$CP$214"}</definedName>
    <definedName name="fg" localSheetId="21" hidden="1">{"'előző év december'!$A$2:$CP$214"}</definedName>
    <definedName name="fg" localSheetId="23" hidden="1">{"'előző év december'!$A$2:$CP$214"}</definedName>
    <definedName name="fg" localSheetId="24" hidden="1">{"'előző év december'!$A$2:$CP$214"}</definedName>
    <definedName name="fg" localSheetId="25" hidden="1">{"'előző év december'!$A$2:$CP$214"}</definedName>
    <definedName name="fg" localSheetId="27" hidden="1">{"'előző év december'!$A$2:$CP$214"}</definedName>
    <definedName name="fg" localSheetId="30" hidden="1">{"'előző év december'!$A$2:$CP$214"}</definedName>
    <definedName name="fg" localSheetId="33" hidden="1">{"'előző év december'!$A$2:$CP$214"}</definedName>
    <definedName name="fg" localSheetId="34" hidden="1">{"'előző év december'!$A$2:$CP$214"}</definedName>
    <definedName name="fg" localSheetId="35" hidden="1">{"'előző év december'!$A$2:$CP$214"}</definedName>
    <definedName name="fg" localSheetId="36" hidden="1">{"'előző év december'!$A$2:$CP$214"}</definedName>
    <definedName name="fg" localSheetId="37" hidden="1">{"'előző év december'!$A$2:$CP$214"}</definedName>
    <definedName name="fg" localSheetId="38" hidden="1">{"'előző év december'!$A$2:$CP$214"}</definedName>
    <definedName name="fg" localSheetId="39" hidden="1">{"'előző év december'!$A$2:$CP$214"}</definedName>
    <definedName name="fg" localSheetId="40" hidden="1">{"'előző év december'!$A$2:$CP$214"}</definedName>
    <definedName name="fg" hidden="1">{"'előző év december'!$A$2:$CP$214"}</definedName>
    <definedName name="fill" localSheetId="55" hidden="1">'[25]Macroframework-Ver.1'!$A$1:$A$267</definedName>
    <definedName name="fill" localSheetId="70" hidden="1">'[25]Macroframework-Ver.1'!$A$1:$A$267</definedName>
    <definedName name="fill" localSheetId="71" hidden="1">'[26]Macroframework-Ver.1'!$A$1:$A$267</definedName>
    <definedName name="fill" localSheetId="72" hidden="1">'[26]Macroframework-Ver.1'!$A$1:$A$267</definedName>
    <definedName name="fill" localSheetId="73" hidden="1">'[26]Macroframework-Ver.1'!$A$1:$A$267</definedName>
    <definedName name="fill" localSheetId="74" hidden="1">'[26]Macroframework-Ver.1'!$A$1:$A$267</definedName>
    <definedName name="fill" localSheetId="79" hidden="1">'[27]Macroframework-Ver.1'!$A$1:$A$267</definedName>
    <definedName name="fill" localSheetId="80" hidden="1">'[25]Macroframework-Ver.1'!$A$1:$A$267</definedName>
    <definedName name="fill" localSheetId="81" hidden="1">'[25]Macroframework-Ver.1'!$A$1:$A$267</definedName>
    <definedName name="fill" localSheetId="101" hidden="1">'[25]Macroframework-Ver.1'!$A$1:$A$267</definedName>
    <definedName name="fill" localSheetId="108" hidden="1">'[25]Macroframework-Ver.1'!$A$1:$A$267</definedName>
    <definedName name="fill" localSheetId="115" hidden="1">'[26]Macroframework-Ver.1'!$A$1:$A$267</definedName>
    <definedName name="fill" localSheetId="7" hidden="1">'[25]Macroframework-Ver.1'!$A$1:$A$267</definedName>
    <definedName name="fill" localSheetId="8" hidden="1">'[25]Macroframework-Ver.1'!$A$1:$A$267</definedName>
    <definedName name="fill" localSheetId="9" hidden="1">'[25]Macroframework-Ver.1'!$A$1:$A$267</definedName>
    <definedName name="fill" localSheetId="10" hidden="1">'[26]Macroframework-Ver.1'!$A$1:$A$267</definedName>
    <definedName name="fill" localSheetId="19" hidden="1">'[25]Macroframework-Ver.1'!$A$1:$A$267</definedName>
    <definedName name="fill" localSheetId="21" hidden="1">'[25]Macroframework-Ver.1'!$A$1:$A$267</definedName>
    <definedName name="fill" localSheetId="23" hidden="1">'[25]Macroframework-Ver.1'!$A$1:$A$267</definedName>
    <definedName name="fill" localSheetId="24" hidden="1">'[25]Macroframework-Ver.1'!$A$1:$A$267</definedName>
    <definedName name="fill" localSheetId="25" hidden="1">'[25]Macroframework-Ver.1'!$A$1:$A$267</definedName>
    <definedName name="fill" localSheetId="27" hidden="1">'[25]Macroframework-Ver.1'!$A$1:$A$267</definedName>
    <definedName name="fill" localSheetId="30" hidden="1">'[25]Macroframework-Ver.1'!$A$1:$A$267</definedName>
    <definedName name="fill" localSheetId="33" hidden="1">'[25]Macroframework-Ver.1'!$A$1:$A$267</definedName>
    <definedName name="fill" localSheetId="34" hidden="1">'[26]Macroframework-Ver.1'!$A$1:$A$267</definedName>
    <definedName name="fill" localSheetId="35" hidden="1">'[26]Macroframework-Ver.1'!$A$1:$A$267</definedName>
    <definedName name="fill" localSheetId="36" hidden="1">'[26]Macroframework-Ver.1'!$A$1:$A$267</definedName>
    <definedName name="fill" localSheetId="37" hidden="1">'[26]Macroframework-Ver.1'!$A$1:$A$267</definedName>
    <definedName name="fill" localSheetId="38" hidden="1">'[26]Macroframework-Ver.1'!$A$1:$A$267</definedName>
    <definedName name="fill" localSheetId="39" hidden="1">'[25]Macroframework-Ver.1'!$A$1:$A$267</definedName>
    <definedName name="fill" localSheetId="40" hidden="1">'[25]Macroframework-Ver.1'!$A$1:$A$267</definedName>
    <definedName name="fill" hidden="1">'[26]Macroframework-Ver.1'!$A$1:$A$267</definedName>
    <definedName name="Financing" localSheetId="50" hidden="1">{"Tab1",#N/A,FALSE,"P";"Tab2",#N/A,FALSE,"P"}</definedName>
    <definedName name="Financing" localSheetId="55" hidden="1">{"Tab1",#N/A,FALSE,"P";"Tab2",#N/A,FALSE,"P"}</definedName>
    <definedName name="Financing" localSheetId="56" hidden="1">{"Tab1",#N/A,FALSE,"P";"Tab2",#N/A,FALSE,"P"}</definedName>
    <definedName name="Financing" localSheetId="57" hidden="1">{"Tab1",#N/A,FALSE,"P";"Tab2",#N/A,FALSE,"P"}</definedName>
    <definedName name="Financing" localSheetId="58" hidden="1">{"Tab1",#N/A,FALSE,"P";"Tab2",#N/A,FALSE,"P"}</definedName>
    <definedName name="Financing" localSheetId="59" hidden="1">{"Tab1",#N/A,FALSE,"P";"Tab2",#N/A,FALSE,"P"}</definedName>
    <definedName name="Financing" localSheetId="62" hidden="1">{"Tab1",#N/A,FALSE,"P";"Tab2",#N/A,FALSE,"P"}</definedName>
    <definedName name="Financing" localSheetId="70" hidden="1">{"Tab1",#N/A,FALSE,"P";"Tab2",#N/A,FALSE,"P"}</definedName>
    <definedName name="Financing" localSheetId="71" hidden="1">{"Tab1",#N/A,FALSE,"P";"Tab2",#N/A,FALSE,"P"}</definedName>
    <definedName name="Financing" localSheetId="72" hidden="1">{"Tab1",#N/A,FALSE,"P";"Tab2",#N/A,FALSE,"P"}</definedName>
    <definedName name="Financing" localSheetId="73" hidden="1">{"Tab1",#N/A,FALSE,"P";"Tab2",#N/A,FALSE,"P"}</definedName>
    <definedName name="Financing" localSheetId="74" hidden="1">{"Tab1",#N/A,FALSE,"P";"Tab2",#N/A,FALSE,"P"}</definedName>
    <definedName name="Financing" localSheetId="75" hidden="1">{"Tab1",#N/A,FALSE,"P";"Tab2",#N/A,FALSE,"P"}</definedName>
    <definedName name="Financing" localSheetId="76" hidden="1">{"Tab1",#N/A,FALSE,"P";"Tab2",#N/A,FALSE,"P"}</definedName>
    <definedName name="Financing" localSheetId="79" hidden="1">{"Tab1",#N/A,FALSE,"P";"Tab2",#N/A,FALSE,"P"}</definedName>
    <definedName name="Financing" localSheetId="80" hidden="1">{"Tab1",#N/A,FALSE,"P";"Tab2",#N/A,FALSE,"P"}</definedName>
    <definedName name="Financing" localSheetId="81" hidden="1">{"Tab1",#N/A,FALSE,"P";"Tab2",#N/A,FALSE,"P"}</definedName>
    <definedName name="Financing" localSheetId="83" hidden="1">{"Tab1",#N/A,FALSE,"P";"Tab2",#N/A,FALSE,"P"}</definedName>
    <definedName name="Financing" localSheetId="97" hidden="1">{"Tab1",#N/A,FALSE,"P";"Tab2",#N/A,FALSE,"P"}</definedName>
    <definedName name="Financing" localSheetId="98" hidden="1">{"Tab1",#N/A,FALSE,"P";"Tab2",#N/A,FALSE,"P"}</definedName>
    <definedName name="Financing" localSheetId="99" hidden="1">{"Tab1",#N/A,FALSE,"P";"Tab2",#N/A,FALSE,"P"}</definedName>
    <definedName name="Financing" localSheetId="100" hidden="1">{"Tab1",#N/A,FALSE,"P";"Tab2",#N/A,FALSE,"P"}</definedName>
    <definedName name="Financing" localSheetId="101" hidden="1">{"Tab1",#N/A,FALSE,"P";"Tab2",#N/A,FALSE,"P"}</definedName>
    <definedName name="Financing" localSheetId="108" hidden="1">{"Tab1",#N/A,FALSE,"P";"Tab2",#N/A,FALSE,"P"}</definedName>
    <definedName name="Financing" localSheetId="115" hidden="1">{"Tab1",#N/A,FALSE,"P";"Tab2",#N/A,FALSE,"P"}</definedName>
    <definedName name="Financing" localSheetId="5" hidden="1">{"Tab1",#N/A,FALSE,"P";"Tab2",#N/A,FALSE,"P"}</definedName>
    <definedName name="Financing" localSheetId="7" hidden="1">{"Tab1",#N/A,FALSE,"P";"Tab2",#N/A,FALSE,"P"}</definedName>
    <definedName name="Financing" localSheetId="8" hidden="1">{"Tab1",#N/A,FALSE,"P";"Tab2",#N/A,FALSE,"P"}</definedName>
    <definedName name="Financing" localSheetId="9" hidden="1">{"Tab1",#N/A,FALSE,"P";"Tab2",#N/A,FALSE,"P"}</definedName>
    <definedName name="Financing" localSheetId="10" hidden="1">{"Tab1",#N/A,FALSE,"P";"Tab2",#N/A,FALSE,"P"}</definedName>
    <definedName name="Financing" localSheetId="14" hidden="1">{"Tab1",#N/A,FALSE,"P";"Tab2",#N/A,FALSE,"P"}</definedName>
    <definedName name="Financing" localSheetId="19" hidden="1">{"Tab1",#N/A,FALSE,"P";"Tab2",#N/A,FALSE,"P"}</definedName>
    <definedName name="Financing" localSheetId="21" hidden="1">{"Tab1",#N/A,FALSE,"P";"Tab2",#N/A,FALSE,"P"}</definedName>
    <definedName name="Financing" localSheetId="23" hidden="1">{"Tab1",#N/A,FALSE,"P";"Tab2",#N/A,FALSE,"P"}</definedName>
    <definedName name="Financing" localSheetId="24" hidden="1">{"Tab1",#N/A,FALSE,"P";"Tab2",#N/A,FALSE,"P"}</definedName>
    <definedName name="Financing" localSheetId="25" hidden="1">{"Tab1",#N/A,FALSE,"P";"Tab2",#N/A,FALSE,"P"}</definedName>
    <definedName name="Financing" localSheetId="27" hidden="1">{"Tab1",#N/A,FALSE,"P";"Tab2",#N/A,FALSE,"P"}</definedName>
    <definedName name="Financing" localSheetId="30" hidden="1">{"Tab1",#N/A,FALSE,"P";"Tab2",#N/A,FALSE,"P"}</definedName>
    <definedName name="Financing" localSheetId="33" hidden="1">{"Tab1",#N/A,FALSE,"P";"Tab2",#N/A,FALSE,"P"}</definedName>
    <definedName name="Financing" localSheetId="34" hidden="1">{"Tab1",#N/A,FALSE,"P";"Tab2",#N/A,FALSE,"P"}</definedName>
    <definedName name="Financing" localSheetId="35" hidden="1">{"Tab1",#N/A,FALSE,"P";"Tab2",#N/A,FALSE,"P"}</definedName>
    <definedName name="Financing" localSheetId="36" hidden="1">{"Tab1",#N/A,FALSE,"P";"Tab2",#N/A,FALSE,"P"}</definedName>
    <definedName name="Financing" localSheetId="37" hidden="1">{"Tab1",#N/A,FALSE,"P";"Tab2",#N/A,FALSE,"P"}</definedName>
    <definedName name="Financing" localSheetId="38" hidden="1">{"Tab1",#N/A,FALSE,"P";"Tab2",#N/A,FALSE,"P"}</definedName>
    <definedName name="Financing" localSheetId="39" hidden="1">{"Tab1",#N/A,FALSE,"P";"Tab2",#N/A,FALSE,"P"}</definedName>
    <definedName name="Financing" localSheetId="40" hidden="1">{"Tab1",#N/A,FALSE,"P";"Tab2",#N/A,FALSE,"P"}</definedName>
    <definedName name="Financing" localSheetId="44" hidden="1">{"Tab1",#N/A,FALSE,"P";"Tab2",#N/A,FALSE,"P"}</definedName>
    <definedName name="Financing" hidden="1">{"Tab1",#N/A,FALSE,"P";"Tab2",#N/A,FALSE,"P"}</definedName>
    <definedName name="frt" localSheetId="50" hidden="1">{"'előző év december'!$A$2:$CP$214"}</definedName>
    <definedName name="frt" localSheetId="56" hidden="1">{"'előző év december'!$A$2:$CP$214"}</definedName>
    <definedName name="frt" localSheetId="57" hidden="1">{"'előző év december'!$A$2:$CP$214"}</definedName>
    <definedName name="frt" localSheetId="58" hidden="1">{"'előző év december'!$A$2:$CP$214"}</definedName>
    <definedName name="frt" localSheetId="59" hidden="1">{"'előző év december'!$A$2:$CP$214"}</definedName>
    <definedName name="frt" localSheetId="62" hidden="1">{"'előző év december'!$A$2:$CP$214"}</definedName>
    <definedName name="frt" localSheetId="70" hidden="1">{"'előző év december'!$A$2:$CP$214"}</definedName>
    <definedName name="frt" localSheetId="71" hidden="1">{"'előző év december'!$A$2:$CP$214"}</definedName>
    <definedName name="frt" localSheetId="72" hidden="1">{"'előző év december'!$A$2:$CP$214"}</definedName>
    <definedName name="frt" localSheetId="73" hidden="1">{"'előző év december'!$A$2:$CP$214"}</definedName>
    <definedName name="frt" localSheetId="74" hidden="1">{"'előző év december'!$A$2:$CP$214"}</definedName>
    <definedName name="frt" localSheetId="79" hidden="1">{"'előző év december'!$A$2:$CP$214"}</definedName>
    <definedName name="frt" localSheetId="80" hidden="1">{"'előző év december'!$A$2:$CP$214"}</definedName>
    <definedName name="frt" localSheetId="81" hidden="1">{"'előző év december'!$A$2:$CP$214"}</definedName>
    <definedName name="frt" localSheetId="97" hidden="1">{"'előző év december'!$A$2:$CP$214"}</definedName>
    <definedName name="frt" localSheetId="98" hidden="1">{"'előző év december'!$A$2:$CP$214"}</definedName>
    <definedName name="frt" localSheetId="99" hidden="1">{"'előző év december'!$A$2:$CP$214"}</definedName>
    <definedName name="frt" localSheetId="100" hidden="1">{"'előző év december'!$A$2:$CP$214"}</definedName>
    <definedName name="frt" localSheetId="101" hidden="1">{"'előző év december'!$A$2:$CP$214"}</definedName>
    <definedName name="frt" localSheetId="108" hidden="1">{"'előző év december'!$A$2:$CP$214"}</definedName>
    <definedName name="frt" localSheetId="115" hidden="1">{"'előző év december'!$A$2:$CP$214"}</definedName>
    <definedName name="frt" localSheetId="5" hidden="1">{"'előző év december'!$A$2:$CP$214"}</definedName>
    <definedName name="frt" localSheetId="7" hidden="1">{"'előző év december'!$A$2:$CP$214"}</definedName>
    <definedName name="frt" localSheetId="8" hidden="1">{"'előző év december'!$A$2:$CP$214"}</definedName>
    <definedName name="frt" localSheetId="9" hidden="1">{"'előző év december'!$A$2:$CP$214"}</definedName>
    <definedName name="frt" localSheetId="10" hidden="1">{"'előző év december'!$A$2:$CP$214"}</definedName>
    <definedName name="frt" localSheetId="14" hidden="1">{"'előző év december'!$A$2:$CP$214"}</definedName>
    <definedName name="frt" localSheetId="18" hidden="1">{"'előző év december'!$A$2:$CP$214"}</definedName>
    <definedName name="frt" localSheetId="19" hidden="1">{"'előző év december'!$A$2:$CP$214"}</definedName>
    <definedName name="frt" localSheetId="21" hidden="1">{"'előző év december'!$A$2:$CP$214"}</definedName>
    <definedName name="frt" localSheetId="23" hidden="1">{"'előző év december'!$A$2:$CP$214"}</definedName>
    <definedName name="frt" localSheetId="24" hidden="1">{"'előző év december'!$A$2:$CP$214"}</definedName>
    <definedName name="frt" localSheetId="25" hidden="1">{"'előző év december'!$A$2:$CP$214"}</definedName>
    <definedName name="frt" localSheetId="27" hidden="1">{"'előző év december'!$A$2:$CP$214"}</definedName>
    <definedName name="frt" localSheetId="30" hidden="1">{"'előző év december'!$A$2:$CP$214"}</definedName>
    <definedName name="frt" localSheetId="33" hidden="1">{"'előző év december'!$A$2:$CP$214"}</definedName>
    <definedName name="frt" localSheetId="34" hidden="1">{"'előző év december'!$A$2:$CP$214"}</definedName>
    <definedName name="frt" localSheetId="35" hidden="1">{"'előző év december'!$A$2:$CP$214"}</definedName>
    <definedName name="frt" localSheetId="36" hidden="1">{"'előző év december'!$A$2:$CP$214"}</definedName>
    <definedName name="frt" localSheetId="37" hidden="1">{"'előző év december'!$A$2:$CP$214"}</definedName>
    <definedName name="frt" localSheetId="38" hidden="1">{"'előző év december'!$A$2:$CP$214"}</definedName>
    <definedName name="frt" localSheetId="39" hidden="1">{"'előző év december'!$A$2:$CP$214"}</definedName>
    <definedName name="frt" localSheetId="40" hidden="1">{"'előző év december'!$A$2:$CP$214"}</definedName>
    <definedName name="frt" hidden="1">{"'előző év december'!$A$2:$CP$214"}</definedName>
    <definedName name="ggg" localSheetId="50" hidden="1">{"Riqfin97",#N/A,FALSE,"Tran";"Riqfinpro",#N/A,FALSE,"Tran"}</definedName>
    <definedName name="ggg" localSheetId="55" hidden="1">{"Riqfin97",#N/A,FALSE,"Tran";"Riqfinpro",#N/A,FALSE,"Tran"}</definedName>
    <definedName name="ggg" localSheetId="56" hidden="1">{"Riqfin97",#N/A,FALSE,"Tran";"Riqfinpro",#N/A,FALSE,"Tran"}</definedName>
    <definedName name="ggg" localSheetId="57" hidden="1">{"Riqfin97",#N/A,FALSE,"Tran";"Riqfinpro",#N/A,FALSE,"Tran"}</definedName>
    <definedName name="ggg" localSheetId="58" hidden="1">{"Riqfin97",#N/A,FALSE,"Tran";"Riqfinpro",#N/A,FALSE,"Tran"}</definedName>
    <definedName name="ggg" localSheetId="59" hidden="1">{"Riqfin97",#N/A,FALSE,"Tran";"Riqfinpro",#N/A,FALSE,"Tran"}</definedName>
    <definedName name="ggg" localSheetId="62" hidden="1">{"Riqfin97",#N/A,FALSE,"Tran";"Riqfinpro",#N/A,FALSE,"Tran"}</definedName>
    <definedName name="ggg" localSheetId="70" hidden="1">{"Riqfin97",#N/A,FALSE,"Tran";"Riqfinpro",#N/A,FALSE,"Tran"}</definedName>
    <definedName name="ggg" localSheetId="71" hidden="1">{"Riqfin97",#N/A,FALSE,"Tran";"Riqfinpro",#N/A,FALSE,"Tran"}</definedName>
    <definedName name="ggg" localSheetId="72" hidden="1">{"Riqfin97",#N/A,FALSE,"Tran";"Riqfinpro",#N/A,FALSE,"Tran"}</definedName>
    <definedName name="ggg" localSheetId="73" hidden="1">{"Riqfin97",#N/A,FALSE,"Tran";"Riqfinpro",#N/A,FALSE,"Tran"}</definedName>
    <definedName name="ggg" localSheetId="74" hidden="1">{"Riqfin97",#N/A,FALSE,"Tran";"Riqfinpro",#N/A,FALSE,"Tran"}</definedName>
    <definedName name="ggg" localSheetId="75" hidden="1">{"Riqfin97",#N/A,FALSE,"Tran";"Riqfinpro",#N/A,FALSE,"Tran"}</definedName>
    <definedName name="ggg" localSheetId="76" hidden="1">{"Riqfin97",#N/A,FALSE,"Tran";"Riqfinpro",#N/A,FALSE,"Tran"}</definedName>
    <definedName name="ggg" localSheetId="79" hidden="1">{"Riqfin97",#N/A,FALSE,"Tran";"Riqfinpro",#N/A,FALSE,"Tran"}</definedName>
    <definedName name="ggg" localSheetId="80" hidden="1">{"Riqfin97",#N/A,FALSE,"Tran";"Riqfinpro",#N/A,FALSE,"Tran"}</definedName>
    <definedName name="ggg" localSheetId="81" hidden="1">{"Riqfin97",#N/A,FALSE,"Tran";"Riqfinpro",#N/A,FALSE,"Tran"}</definedName>
    <definedName name="ggg" localSheetId="83" hidden="1">{"Riqfin97",#N/A,FALSE,"Tran";"Riqfinpro",#N/A,FALSE,"Tran"}</definedName>
    <definedName name="ggg" localSheetId="97" hidden="1">{"Riqfin97",#N/A,FALSE,"Tran";"Riqfinpro",#N/A,FALSE,"Tran"}</definedName>
    <definedName name="ggg" localSheetId="98" hidden="1">{"Riqfin97",#N/A,FALSE,"Tran";"Riqfinpro",#N/A,FALSE,"Tran"}</definedName>
    <definedName name="ggg" localSheetId="99" hidden="1">{"Riqfin97",#N/A,FALSE,"Tran";"Riqfinpro",#N/A,FALSE,"Tran"}</definedName>
    <definedName name="ggg" localSheetId="100" hidden="1">{"Riqfin97",#N/A,FALSE,"Tran";"Riqfinpro",#N/A,FALSE,"Tran"}</definedName>
    <definedName name="ggg" localSheetId="101" hidden="1">{"Riqfin97",#N/A,FALSE,"Tran";"Riqfinpro",#N/A,FALSE,"Tran"}</definedName>
    <definedName name="ggg" localSheetId="108" hidden="1">{"Riqfin97",#N/A,FALSE,"Tran";"Riqfinpro",#N/A,FALSE,"Tran"}</definedName>
    <definedName name="ggg" localSheetId="115" hidden="1">{"Riqfin97",#N/A,FALSE,"Tran";"Riqfinpro",#N/A,FALSE,"Tran"}</definedName>
    <definedName name="ggg" localSheetId="5" hidden="1">{"Riqfin97",#N/A,FALSE,"Tran";"Riqfinpro",#N/A,FALSE,"Tran"}</definedName>
    <definedName name="ggg" localSheetId="7" hidden="1">{"Riqfin97",#N/A,FALSE,"Tran";"Riqfinpro",#N/A,FALSE,"Tran"}</definedName>
    <definedName name="ggg" localSheetId="8" hidden="1">{"Riqfin97",#N/A,FALSE,"Tran";"Riqfinpro",#N/A,FALSE,"Tran"}</definedName>
    <definedName name="ggg" localSheetId="9" hidden="1">{"Riqfin97",#N/A,FALSE,"Tran";"Riqfinpro",#N/A,FALSE,"Tran"}</definedName>
    <definedName name="ggg" localSheetId="10" hidden="1">{"Riqfin97",#N/A,FALSE,"Tran";"Riqfinpro",#N/A,FALSE,"Tran"}</definedName>
    <definedName name="ggg" localSheetId="14" hidden="1">{"Riqfin97",#N/A,FALSE,"Tran";"Riqfinpro",#N/A,FALSE,"Tran"}</definedName>
    <definedName name="ggg" localSheetId="19" hidden="1">{"Riqfin97",#N/A,FALSE,"Tran";"Riqfinpro",#N/A,FALSE,"Tran"}</definedName>
    <definedName name="ggg" localSheetId="21" hidden="1">{"Riqfin97",#N/A,FALSE,"Tran";"Riqfinpro",#N/A,FALSE,"Tran"}</definedName>
    <definedName name="ggg" localSheetId="23" hidden="1">{"Riqfin97",#N/A,FALSE,"Tran";"Riqfinpro",#N/A,FALSE,"Tran"}</definedName>
    <definedName name="ggg" localSheetId="24" hidden="1">{"Riqfin97",#N/A,FALSE,"Tran";"Riqfinpro",#N/A,FALSE,"Tran"}</definedName>
    <definedName name="ggg" localSheetId="25" hidden="1">{"Riqfin97",#N/A,FALSE,"Tran";"Riqfinpro",#N/A,FALSE,"Tran"}</definedName>
    <definedName name="ggg" localSheetId="27" hidden="1">{"Riqfin97",#N/A,FALSE,"Tran";"Riqfinpro",#N/A,FALSE,"Tran"}</definedName>
    <definedName name="ggg" localSheetId="30" hidden="1">{"Riqfin97",#N/A,FALSE,"Tran";"Riqfinpro",#N/A,FALSE,"Tran"}</definedName>
    <definedName name="ggg" localSheetId="33" hidden="1">{"Riqfin97",#N/A,FALSE,"Tran";"Riqfinpro",#N/A,FALSE,"Tran"}</definedName>
    <definedName name="ggg" localSheetId="34" hidden="1">{"Riqfin97",#N/A,FALSE,"Tran";"Riqfinpro",#N/A,FALSE,"Tran"}</definedName>
    <definedName name="ggg" localSheetId="35" hidden="1">{"Riqfin97",#N/A,FALSE,"Tran";"Riqfinpro",#N/A,FALSE,"Tran"}</definedName>
    <definedName name="ggg" localSheetId="36" hidden="1">{"Riqfin97",#N/A,FALSE,"Tran";"Riqfinpro",#N/A,FALSE,"Tran"}</definedName>
    <definedName name="ggg" localSheetId="37" hidden="1">{"Riqfin97",#N/A,FALSE,"Tran";"Riqfinpro",#N/A,FALSE,"Tran"}</definedName>
    <definedName name="ggg" localSheetId="38" hidden="1">{"Riqfin97",#N/A,FALSE,"Tran";"Riqfinpro",#N/A,FALSE,"Tran"}</definedName>
    <definedName name="ggg" localSheetId="39" hidden="1">{"Riqfin97",#N/A,FALSE,"Tran";"Riqfinpro",#N/A,FALSE,"Tran"}</definedName>
    <definedName name="ggg" localSheetId="40" hidden="1">{"Riqfin97",#N/A,FALSE,"Tran";"Riqfinpro",#N/A,FALSE,"Tran"}</definedName>
    <definedName name="ggg" localSheetId="44" hidden="1">{"Riqfin97",#N/A,FALSE,"Tran";"Riqfinpro",#N/A,FALSE,"Tran"}</definedName>
    <definedName name="ggg" hidden="1">{"Riqfin97",#N/A,FALSE,"Tran";"Riqfinpro",#N/A,FALSE,"Tran"}</definedName>
    <definedName name="ggggg" localSheetId="49" hidden="1">'[28]J(Priv.Cap)'!#REF!</definedName>
    <definedName name="ggggg" localSheetId="50" hidden="1">'[28]J(Priv.Cap)'!#REF!</definedName>
    <definedName name="ggggg" localSheetId="51" hidden="1">'[28]J(Priv.Cap)'!#REF!</definedName>
    <definedName name="ggggg" localSheetId="53" hidden="1">'[28]J(Priv.Cap)'!#REF!</definedName>
    <definedName name="ggggg" localSheetId="54" hidden="1">'[28]J(Priv.Cap)'!#REF!</definedName>
    <definedName name="ggggg" localSheetId="55" hidden="1">'[28]J(Priv.Cap)'!#REF!</definedName>
    <definedName name="ggggg" localSheetId="56" hidden="1">'[28]J(Priv.Cap)'!#REF!</definedName>
    <definedName name="ggggg" localSheetId="57" hidden="1">'[28]J(Priv.Cap)'!#REF!</definedName>
    <definedName name="ggggg" localSheetId="58" hidden="1">'[28]J(Priv.Cap)'!#REF!</definedName>
    <definedName name="ggggg" localSheetId="59" hidden="1">'[28]J(Priv.Cap)'!#REF!</definedName>
    <definedName name="ggggg" localSheetId="62" hidden="1">'[28]J(Priv.Cap)'!#REF!</definedName>
    <definedName name="ggggg" localSheetId="70" hidden="1">'[28]J(Priv.Cap)'!#REF!</definedName>
    <definedName name="ggggg" localSheetId="75" hidden="1">'[28]J(Priv.Cap)'!#REF!</definedName>
    <definedName name="ggggg" localSheetId="76" hidden="1">'[28]J(Priv.Cap)'!#REF!</definedName>
    <definedName name="ggggg" localSheetId="79" hidden="1">'[28]J(Priv.Cap)'!#REF!</definedName>
    <definedName name="ggggg" localSheetId="80" hidden="1">'[28]J(Priv.Cap)'!#REF!</definedName>
    <definedName name="ggggg" localSheetId="81" hidden="1">'[28]J(Priv.Cap)'!#REF!</definedName>
    <definedName name="ggggg" localSheetId="83" hidden="1">'[28]J(Priv.Cap)'!#REF!</definedName>
    <definedName name="ggggg" localSheetId="87" hidden="1">'[28]J(Priv.Cap)'!#REF!</definedName>
    <definedName name="ggggg" localSheetId="95" hidden="1">'[28]J(Priv.Cap)'!#REF!</definedName>
    <definedName name="ggggg" localSheetId="97" hidden="1">'[28]J(Priv.Cap)'!#REF!</definedName>
    <definedName name="ggggg" localSheetId="98" hidden="1">'[28]J(Priv.Cap)'!#REF!</definedName>
    <definedName name="ggggg" localSheetId="99" hidden="1">'[28]J(Priv.Cap)'!#REF!</definedName>
    <definedName name="ggggg" localSheetId="100" hidden="1">'[28]J(Priv.Cap)'!#REF!</definedName>
    <definedName name="ggggg" localSheetId="101" hidden="1">'[28]J(Priv.Cap)'!#REF!</definedName>
    <definedName name="ggggg" localSheetId="108" hidden="1">'[28]J(Priv.Cap)'!#REF!</definedName>
    <definedName name="ggggg" localSheetId="5" hidden="1">'[28]J(Priv.Cap)'!#REF!</definedName>
    <definedName name="ggggg" localSheetId="6" hidden="1">'[28]J(Priv.Cap)'!#REF!</definedName>
    <definedName name="ggggg" localSheetId="7" hidden="1">'[28]J(Priv.Cap)'!#REF!</definedName>
    <definedName name="ggggg" localSheetId="8" hidden="1">'[28]J(Priv.Cap)'!#REF!</definedName>
    <definedName name="ggggg" localSheetId="9" hidden="1">'[28]J(Priv.Cap)'!#REF!</definedName>
    <definedName name="ggggg" localSheetId="14" hidden="1">'[28]J(Priv.Cap)'!#REF!</definedName>
    <definedName name="ggggg" localSheetId="15" hidden="1">'[28]J(Priv.Cap)'!#REF!</definedName>
    <definedName name="ggggg" localSheetId="16" hidden="1">'[28]J(Priv.Cap)'!#REF!</definedName>
    <definedName name="ggggg" localSheetId="17" hidden="1">'[28]J(Priv.Cap)'!#REF!</definedName>
    <definedName name="ggggg" localSheetId="19" hidden="1">'[28]J(Priv.Cap)'!#REF!</definedName>
    <definedName name="ggggg" localSheetId="21" hidden="1">'[28]J(Priv.Cap)'!#REF!</definedName>
    <definedName name="ggggg" localSheetId="23" hidden="1">'[28]J(Priv.Cap)'!#REF!</definedName>
    <definedName name="ggggg" localSheetId="24" hidden="1">'[28]J(Priv.Cap)'!#REF!</definedName>
    <definedName name="ggggg" localSheetId="25" hidden="1">'[28]J(Priv.Cap)'!#REF!</definedName>
    <definedName name="ggggg" localSheetId="27" hidden="1">'[28]J(Priv.Cap)'!#REF!</definedName>
    <definedName name="ggggg" localSheetId="30" hidden="1">'[28]J(Priv.Cap)'!#REF!</definedName>
    <definedName name="ggggg" localSheetId="33" hidden="1">'[28]J(Priv.Cap)'!#REF!</definedName>
    <definedName name="ggggg" localSheetId="34" hidden="1">'[28]J(Priv.Cap)'!#REF!</definedName>
    <definedName name="ggggg" localSheetId="35" hidden="1">'[28]J(Priv.Cap)'!#REF!</definedName>
    <definedName name="ggggg" localSheetId="36" hidden="1">'[28]J(Priv.Cap)'!#REF!</definedName>
    <definedName name="ggggg" localSheetId="37" hidden="1">'[28]J(Priv.Cap)'!#REF!</definedName>
    <definedName name="ggggg" localSheetId="38" hidden="1">'[28]J(Priv.Cap)'!#REF!</definedName>
    <definedName name="ggggg" localSheetId="39" hidden="1">'[28]J(Priv.Cap)'!#REF!</definedName>
    <definedName name="ggggg" localSheetId="40" hidden="1">'[28]J(Priv.Cap)'!#REF!</definedName>
    <definedName name="ggggg" localSheetId="44" hidden="1">'[28]J(Priv.Cap)'!#REF!</definedName>
    <definedName name="ggggg" hidden="1">'[28]J(Priv.Cap)'!#REF!</definedName>
    <definedName name="gh" localSheetId="50" hidden="1">{"'előző év december'!$A$2:$CP$214"}</definedName>
    <definedName name="gh" localSheetId="56" hidden="1">{"'előző év december'!$A$2:$CP$214"}</definedName>
    <definedName name="gh" localSheetId="57" hidden="1">{"'előző év december'!$A$2:$CP$214"}</definedName>
    <definedName name="gh" localSheetId="58" hidden="1">{"'előző év december'!$A$2:$CP$214"}</definedName>
    <definedName name="gh" localSheetId="59" hidden="1">{"'előző év december'!$A$2:$CP$214"}</definedName>
    <definedName name="gh" localSheetId="62" hidden="1">{"'előző év december'!$A$2:$CP$214"}</definedName>
    <definedName name="gh" localSheetId="70" hidden="1">{"'előző év december'!$A$2:$CP$214"}</definedName>
    <definedName name="gh" localSheetId="71" hidden="1">{"'előző év december'!$A$2:$CP$214"}</definedName>
    <definedName name="gh" localSheetId="72" hidden="1">{"'előző év december'!$A$2:$CP$214"}</definedName>
    <definedName name="gh" localSheetId="73" hidden="1">{"'előző év december'!$A$2:$CP$214"}</definedName>
    <definedName name="gh" localSheetId="74" hidden="1">{"'előző év december'!$A$2:$CP$214"}</definedName>
    <definedName name="gh" localSheetId="79" hidden="1">{"'előző év december'!$A$2:$CP$214"}</definedName>
    <definedName name="gh" localSheetId="80" hidden="1">{"'előző év december'!$A$2:$CP$214"}</definedName>
    <definedName name="gh" localSheetId="81" hidden="1">{"'előző év december'!$A$2:$CP$214"}</definedName>
    <definedName name="gh" localSheetId="97" hidden="1">{"'előző év december'!$A$2:$CP$214"}</definedName>
    <definedName name="gh" localSheetId="98" hidden="1">{"'előző év december'!$A$2:$CP$214"}</definedName>
    <definedName name="gh" localSheetId="99" hidden="1">{"'előző év december'!$A$2:$CP$214"}</definedName>
    <definedName name="gh" localSheetId="100" hidden="1">{"'előző év december'!$A$2:$CP$214"}</definedName>
    <definedName name="gh" localSheetId="101" hidden="1">{"'előző év december'!$A$2:$CP$214"}</definedName>
    <definedName name="gh" localSheetId="108" hidden="1">{"'előző év december'!$A$2:$CP$214"}</definedName>
    <definedName name="gh" localSheetId="115" hidden="1">{"'előző év december'!$A$2:$CP$214"}</definedName>
    <definedName name="gh" localSheetId="5" hidden="1">{"'előző év december'!$A$2:$CP$214"}</definedName>
    <definedName name="gh" localSheetId="7" hidden="1">{"'előző év december'!$A$2:$CP$214"}</definedName>
    <definedName name="gh" localSheetId="8" hidden="1">{"'előző év december'!$A$2:$CP$214"}</definedName>
    <definedName name="gh" localSheetId="9" hidden="1">{"'előző év december'!$A$2:$CP$214"}</definedName>
    <definedName name="gh" localSheetId="10" hidden="1">{"'előző év december'!$A$2:$CP$214"}</definedName>
    <definedName name="gh" localSheetId="14" hidden="1">{"'előző év december'!$A$2:$CP$214"}</definedName>
    <definedName name="gh" localSheetId="18" hidden="1">{"'előző év december'!$A$2:$CP$214"}</definedName>
    <definedName name="gh" localSheetId="19" hidden="1">{"'előző év december'!$A$2:$CP$214"}</definedName>
    <definedName name="gh" localSheetId="21" hidden="1">{"'előző év december'!$A$2:$CP$214"}</definedName>
    <definedName name="gh" localSheetId="23" hidden="1">{"'előző év december'!$A$2:$CP$214"}</definedName>
    <definedName name="gh" localSheetId="24" hidden="1">{"'előző év december'!$A$2:$CP$214"}</definedName>
    <definedName name="gh" localSheetId="25" hidden="1">{"'előző év december'!$A$2:$CP$214"}</definedName>
    <definedName name="gh" localSheetId="27" hidden="1">{"'előző év december'!$A$2:$CP$214"}</definedName>
    <definedName name="gh" localSheetId="30" hidden="1">{"'előző év december'!$A$2:$CP$214"}</definedName>
    <definedName name="gh" localSheetId="33" hidden="1">{"'előző év december'!$A$2:$CP$214"}</definedName>
    <definedName name="gh" localSheetId="34" hidden="1">{"'előző év december'!$A$2:$CP$214"}</definedName>
    <definedName name="gh" localSheetId="35" hidden="1">{"'előző év december'!$A$2:$CP$214"}</definedName>
    <definedName name="gh" localSheetId="36" hidden="1">{"'előző év december'!$A$2:$CP$214"}</definedName>
    <definedName name="gh" localSheetId="37" hidden="1">{"'előző év december'!$A$2:$CP$214"}</definedName>
    <definedName name="gh" localSheetId="38" hidden="1">{"'előző év december'!$A$2:$CP$214"}</definedName>
    <definedName name="gh" localSheetId="39" hidden="1">{"'előző év december'!$A$2:$CP$214"}</definedName>
    <definedName name="gh" localSheetId="40" hidden="1">{"'előző év december'!$A$2:$CP$214"}</definedName>
    <definedName name="gh" hidden="1">{"'előző év december'!$A$2:$CP$214"}</definedName>
    <definedName name="ghj" localSheetId="50" hidden="1">{"'előző év december'!$A$2:$CP$214"}</definedName>
    <definedName name="ghj" localSheetId="56" hidden="1">{"'előző év december'!$A$2:$CP$214"}</definedName>
    <definedName name="ghj" localSheetId="57" hidden="1">{"'előző év december'!$A$2:$CP$214"}</definedName>
    <definedName name="ghj" localSheetId="58" hidden="1">{"'előző év december'!$A$2:$CP$214"}</definedName>
    <definedName name="ghj" localSheetId="59" hidden="1">{"'előző év december'!$A$2:$CP$214"}</definedName>
    <definedName name="ghj" localSheetId="62" hidden="1">{"'előző év december'!$A$2:$CP$214"}</definedName>
    <definedName name="ghj" localSheetId="70" hidden="1">{"'előző év december'!$A$2:$CP$214"}</definedName>
    <definedName name="ghj" localSheetId="71" hidden="1">{"'előző év december'!$A$2:$CP$214"}</definedName>
    <definedName name="ghj" localSheetId="72" hidden="1">{"'előző év december'!$A$2:$CP$214"}</definedName>
    <definedName name="ghj" localSheetId="73" hidden="1">{"'előző év december'!$A$2:$CP$214"}</definedName>
    <definedName name="ghj" localSheetId="74" hidden="1">{"'előző év december'!$A$2:$CP$214"}</definedName>
    <definedName name="ghj" localSheetId="79" hidden="1">{"'előző év december'!$A$2:$CP$214"}</definedName>
    <definedName name="ghj" localSheetId="80" hidden="1">{"'előző év december'!$A$2:$CP$214"}</definedName>
    <definedName name="ghj" localSheetId="81" hidden="1">{"'előző év december'!$A$2:$CP$214"}</definedName>
    <definedName name="ghj" localSheetId="97" hidden="1">{"'előző év december'!$A$2:$CP$214"}</definedName>
    <definedName name="ghj" localSheetId="98" hidden="1">{"'előző év december'!$A$2:$CP$214"}</definedName>
    <definedName name="ghj" localSheetId="99" hidden="1">{"'előző év december'!$A$2:$CP$214"}</definedName>
    <definedName name="ghj" localSheetId="100" hidden="1">{"'előző év december'!$A$2:$CP$214"}</definedName>
    <definedName name="ghj" localSheetId="101" hidden="1">{"'előző év december'!$A$2:$CP$214"}</definedName>
    <definedName name="ghj" localSheetId="108" hidden="1">{"'előző év december'!$A$2:$CP$214"}</definedName>
    <definedName name="ghj" localSheetId="115" hidden="1">{"'előző év december'!$A$2:$CP$214"}</definedName>
    <definedName name="ghj" localSheetId="5" hidden="1">{"'előző év december'!$A$2:$CP$214"}</definedName>
    <definedName name="ghj" localSheetId="7" hidden="1">{"'előző év december'!$A$2:$CP$214"}</definedName>
    <definedName name="ghj" localSheetId="8" hidden="1">{"'előző év december'!$A$2:$CP$214"}</definedName>
    <definedName name="ghj" localSheetId="9" hidden="1">{"'előző év december'!$A$2:$CP$214"}</definedName>
    <definedName name="ghj" localSheetId="10" hidden="1">{"'előző év december'!$A$2:$CP$214"}</definedName>
    <definedName name="ghj" localSheetId="14" hidden="1">{"'előző év december'!$A$2:$CP$214"}</definedName>
    <definedName name="ghj" localSheetId="18" hidden="1">{"'előző év december'!$A$2:$CP$214"}</definedName>
    <definedName name="ghj" localSheetId="19" hidden="1">{"'előző év december'!$A$2:$CP$214"}</definedName>
    <definedName name="ghj" localSheetId="21" hidden="1">{"'előző év december'!$A$2:$CP$214"}</definedName>
    <definedName name="ghj" localSheetId="23" hidden="1">{"'előző év december'!$A$2:$CP$214"}</definedName>
    <definedName name="ghj" localSheetId="24" hidden="1">{"'előző év december'!$A$2:$CP$214"}</definedName>
    <definedName name="ghj" localSheetId="25" hidden="1">{"'előző év december'!$A$2:$CP$214"}</definedName>
    <definedName name="ghj" localSheetId="27" hidden="1">{"'előző év december'!$A$2:$CP$214"}</definedName>
    <definedName name="ghj" localSheetId="30" hidden="1">{"'előző év december'!$A$2:$CP$214"}</definedName>
    <definedName name="ghj" localSheetId="33" hidden="1">{"'előző év december'!$A$2:$CP$214"}</definedName>
    <definedName name="ghj" localSheetId="34" hidden="1">{"'előző év december'!$A$2:$CP$214"}</definedName>
    <definedName name="ghj" localSheetId="35" hidden="1">{"'előző év december'!$A$2:$CP$214"}</definedName>
    <definedName name="ghj" localSheetId="36" hidden="1">{"'előző év december'!$A$2:$CP$214"}</definedName>
    <definedName name="ghj" localSheetId="37" hidden="1">{"'előző év december'!$A$2:$CP$214"}</definedName>
    <definedName name="ghj" localSheetId="38" hidden="1">{"'előző év december'!$A$2:$CP$214"}</definedName>
    <definedName name="ghj" localSheetId="39" hidden="1">{"'előző év december'!$A$2:$CP$214"}</definedName>
    <definedName name="ghj" localSheetId="40" hidden="1">{"'előző év december'!$A$2:$CP$214"}</definedName>
    <definedName name="ghj" hidden="1">{"'előző év december'!$A$2:$CP$214"}</definedName>
    <definedName name="hgf" localSheetId="50" hidden="1">{"'előző év december'!$A$2:$CP$214"}</definedName>
    <definedName name="hgf" localSheetId="56" hidden="1">{"'előző év december'!$A$2:$CP$214"}</definedName>
    <definedName name="hgf" localSheetId="57" hidden="1">{"'előző év december'!$A$2:$CP$214"}</definedName>
    <definedName name="hgf" localSheetId="58" hidden="1">{"'előző év december'!$A$2:$CP$214"}</definedName>
    <definedName name="hgf" localSheetId="59" hidden="1">{"'előző év december'!$A$2:$CP$214"}</definedName>
    <definedName name="hgf" localSheetId="62" hidden="1">{"'előző év december'!$A$2:$CP$214"}</definedName>
    <definedName name="hgf" localSheetId="70" hidden="1">{"'előző év december'!$A$2:$CP$214"}</definedName>
    <definedName name="hgf" localSheetId="71" hidden="1">{"'előző év december'!$A$2:$CP$214"}</definedName>
    <definedName name="hgf" localSheetId="72" hidden="1">{"'előző év december'!$A$2:$CP$214"}</definedName>
    <definedName name="hgf" localSheetId="73" hidden="1">{"'előző év december'!$A$2:$CP$214"}</definedName>
    <definedName name="hgf" localSheetId="74" hidden="1">{"'előző év december'!$A$2:$CP$214"}</definedName>
    <definedName name="hgf" localSheetId="79" hidden="1">{"'előző év december'!$A$2:$CP$214"}</definedName>
    <definedName name="hgf" localSheetId="80" hidden="1">{"'előző év december'!$A$2:$CP$214"}</definedName>
    <definedName name="hgf" localSheetId="81" hidden="1">{"'előző év december'!$A$2:$CP$214"}</definedName>
    <definedName name="hgf" localSheetId="97" hidden="1">{"'előző év december'!$A$2:$CP$214"}</definedName>
    <definedName name="hgf" localSheetId="98" hidden="1">{"'előző év december'!$A$2:$CP$214"}</definedName>
    <definedName name="hgf" localSheetId="99" hidden="1">{"'előző év december'!$A$2:$CP$214"}</definedName>
    <definedName name="hgf" localSheetId="100" hidden="1">{"'előző év december'!$A$2:$CP$214"}</definedName>
    <definedName name="hgf" localSheetId="101" hidden="1">{"'előző év december'!$A$2:$CP$214"}</definedName>
    <definedName name="hgf" localSheetId="108" hidden="1">{"'előző év december'!$A$2:$CP$214"}</definedName>
    <definedName name="hgf" localSheetId="115" hidden="1">{"'előző év december'!$A$2:$CP$214"}</definedName>
    <definedName name="hgf" localSheetId="5" hidden="1">{"'előző év december'!$A$2:$CP$214"}</definedName>
    <definedName name="hgf" localSheetId="7" hidden="1">{"'előző év december'!$A$2:$CP$214"}</definedName>
    <definedName name="hgf" localSheetId="8" hidden="1">{"'előző év december'!$A$2:$CP$214"}</definedName>
    <definedName name="hgf" localSheetId="9" hidden="1">{"'előző év december'!$A$2:$CP$214"}</definedName>
    <definedName name="hgf" localSheetId="10" hidden="1">{"'előző év december'!$A$2:$CP$214"}</definedName>
    <definedName name="hgf" localSheetId="14" hidden="1">{"'előző év december'!$A$2:$CP$214"}</definedName>
    <definedName name="hgf" localSheetId="18" hidden="1">{"'előző év december'!$A$2:$CP$214"}</definedName>
    <definedName name="hgf" localSheetId="19" hidden="1">{"'előző év december'!$A$2:$CP$214"}</definedName>
    <definedName name="hgf" localSheetId="21" hidden="1">{"'előző év december'!$A$2:$CP$214"}</definedName>
    <definedName name="hgf" localSheetId="23" hidden="1">{"'előző év december'!$A$2:$CP$214"}</definedName>
    <definedName name="hgf" localSheetId="24" hidden="1">{"'előző év december'!$A$2:$CP$214"}</definedName>
    <definedName name="hgf" localSheetId="25" hidden="1">{"'előző év december'!$A$2:$CP$214"}</definedName>
    <definedName name="hgf" localSheetId="27" hidden="1">{"'előző év december'!$A$2:$CP$214"}</definedName>
    <definedName name="hgf" localSheetId="30" hidden="1">{"'előző év december'!$A$2:$CP$214"}</definedName>
    <definedName name="hgf" localSheetId="33" hidden="1">{"'előző év december'!$A$2:$CP$214"}</definedName>
    <definedName name="hgf" localSheetId="34" hidden="1">{"'előző év december'!$A$2:$CP$214"}</definedName>
    <definedName name="hgf" localSheetId="35" hidden="1">{"'előző év december'!$A$2:$CP$214"}</definedName>
    <definedName name="hgf" localSheetId="36" hidden="1">{"'előző év december'!$A$2:$CP$214"}</definedName>
    <definedName name="hgf" localSheetId="37" hidden="1">{"'előző év december'!$A$2:$CP$214"}</definedName>
    <definedName name="hgf" localSheetId="38" hidden="1">{"'előző év december'!$A$2:$CP$214"}</definedName>
    <definedName name="hgf" localSheetId="39" hidden="1">{"'előző év december'!$A$2:$CP$214"}</definedName>
    <definedName name="hgf" localSheetId="40" hidden="1">{"'előző év december'!$A$2:$CP$214"}</definedName>
    <definedName name="hgf" hidden="1">{"'előző év december'!$A$2:$CP$214"}</definedName>
    <definedName name="hgfd" localSheetId="50" hidden="1">{#N/A,#N/A,FALSE,"I";#N/A,#N/A,FALSE,"J";#N/A,#N/A,FALSE,"K";#N/A,#N/A,FALSE,"L";#N/A,#N/A,FALSE,"M";#N/A,#N/A,FALSE,"N";#N/A,#N/A,FALSE,"O"}</definedName>
    <definedName name="hgfd" localSheetId="55" hidden="1">{#N/A,#N/A,FALSE,"I";#N/A,#N/A,FALSE,"J";#N/A,#N/A,FALSE,"K";#N/A,#N/A,FALSE,"L";#N/A,#N/A,FALSE,"M";#N/A,#N/A,FALSE,"N";#N/A,#N/A,FALSE,"O"}</definedName>
    <definedName name="hgfd" localSheetId="56" hidden="1">{#N/A,#N/A,FALSE,"I";#N/A,#N/A,FALSE,"J";#N/A,#N/A,FALSE,"K";#N/A,#N/A,FALSE,"L";#N/A,#N/A,FALSE,"M";#N/A,#N/A,FALSE,"N";#N/A,#N/A,FALSE,"O"}</definedName>
    <definedName name="hgfd" localSheetId="57" hidden="1">{#N/A,#N/A,FALSE,"I";#N/A,#N/A,FALSE,"J";#N/A,#N/A,FALSE,"K";#N/A,#N/A,FALSE,"L";#N/A,#N/A,FALSE,"M";#N/A,#N/A,FALSE,"N";#N/A,#N/A,FALSE,"O"}</definedName>
    <definedName name="hgfd" localSheetId="58" hidden="1">{#N/A,#N/A,FALSE,"I";#N/A,#N/A,FALSE,"J";#N/A,#N/A,FALSE,"K";#N/A,#N/A,FALSE,"L";#N/A,#N/A,FALSE,"M";#N/A,#N/A,FALSE,"N";#N/A,#N/A,FALSE,"O"}</definedName>
    <definedName name="hgfd" localSheetId="59" hidden="1">{#N/A,#N/A,FALSE,"I";#N/A,#N/A,FALSE,"J";#N/A,#N/A,FALSE,"K";#N/A,#N/A,FALSE,"L";#N/A,#N/A,FALSE,"M";#N/A,#N/A,FALSE,"N";#N/A,#N/A,FALSE,"O"}</definedName>
    <definedName name="hgfd" localSheetId="62" hidden="1">{#N/A,#N/A,FALSE,"I";#N/A,#N/A,FALSE,"J";#N/A,#N/A,FALSE,"K";#N/A,#N/A,FALSE,"L";#N/A,#N/A,FALSE,"M";#N/A,#N/A,FALSE,"N";#N/A,#N/A,FALSE,"O"}</definedName>
    <definedName name="hgfd" localSheetId="70" hidden="1">{#N/A,#N/A,FALSE,"I";#N/A,#N/A,FALSE,"J";#N/A,#N/A,FALSE,"K";#N/A,#N/A,FALSE,"L";#N/A,#N/A,FALSE,"M";#N/A,#N/A,FALSE,"N";#N/A,#N/A,FALSE,"O"}</definedName>
    <definedName name="hgfd" localSheetId="71" hidden="1">{#N/A,#N/A,FALSE,"I";#N/A,#N/A,FALSE,"J";#N/A,#N/A,FALSE,"K";#N/A,#N/A,FALSE,"L";#N/A,#N/A,FALSE,"M";#N/A,#N/A,FALSE,"N";#N/A,#N/A,FALSE,"O"}</definedName>
    <definedName name="hgfd" localSheetId="72" hidden="1">{#N/A,#N/A,FALSE,"I";#N/A,#N/A,FALSE,"J";#N/A,#N/A,FALSE,"K";#N/A,#N/A,FALSE,"L";#N/A,#N/A,FALSE,"M";#N/A,#N/A,FALSE,"N";#N/A,#N/A,FALSE,"O"}</definedName>
    <definedName name="hgfd" localSheetId="73" hidden="1">{#N/A,#N/A,FALSE,"I";#N/A,#N/A,FALSE,"J";#N/A,#N/A,FALSE,"K";#N/A,#N/A,FALSE,"L";#N/A,#N/A,FALSE,"M";#N/A,#N/A,FALSE,"N";#N/A,#N/A,FALSE,"O"}</definedName>
    <definedName name="hgfd" localSheetId="74" hidden="1">{#N/A,#N/A,FALSE,"I";#N/A,#N/A,FALSE,"J";#N/A,#N/A,FALSE,"K";#N/A,#N/A,FALSE,"L";#N/A,#N/A,FALSE,"M";#N/A,#N/A,FALSE,"N";#N/A,#N/A,FALSE,"O"}</definedName>
    <definedName name="hgfd" localSheetId="75" hidden="1">{#N/A,#N/A,FALSE,"I";#N/A,#N/A,FALSE,"J";#N/A,#N/A,FALSE,"K";#N/A,#N/A,FALSE,"L";#N/A,#N/A,FALSE,"M";#N/A,#N/A,FALSE,"N";#N/A,#N/A,FALSE,"O"}</definedName>
    <definedName name="hgfd" localSheetId="76" hidden="1">{#N/A,#N/A,FALSE,"I";#N/A,#N/A,FALSE,"J";#N/A,#N/A,FALSE,"K";#N/A,#N/A,FALSE,"L";#N/A,#N/A,FALSE,"M";#N/A,#N/A,FALSE,"N";#N/A,#N/A,FALSE,"O"}</definedName>
    <definedName name="hgfd" localSheetId="79" hidden="1">{#N/A,#N/A,FALSE,"I";#N/A,#N/A,FALSE,"J";#N/A,#N/A,FALSE,"K";#N/A,#N/A,FALSE,"L";#N/A,#N/A,FALSE,"M";#N/A,#N/A,FALSE,"N";#N/A,#N/A,FALSE,"O"}</definedName>
    <definedName name="hgfd" localSheetId="80" hidden="1">{#N/A,#N/A,FALSE,"I";#N/A,#N/A,FALSE,"J";#N/A,#N/A,FALSE,"K";#N/A,#N/A,FALSE,"L";#N/A,#N/A,FALSE,"M";#N/A,#N/A,FALSE,"N";#N/A,#N/A,FALSE,"O"}</definedName>
    <definedName name="hgfd" localSheetId="81" hidden="1">{#N/A,#N/A,FALSE,"I";#N/A,#N/A,FALSE,"J";#N/A,#N/A,FALSE,"K";#N/A,#N/A,FALSE,"L";#N/A,#N/A,FALSE,"M";#N/A,#N/A,FALSE,"N";#N/A,#N/A,FALSE,"O"}</definedName>
    <definedName name="hgfd" localSheetId="83" hidden="1">{#N/A,#N/A,FALSE,"I";#N/A,#N/A,FALSE,"J";#N/A,#N/A,FALSE,"K";#N/A,#N/A,FALSE,"L";#N/A,#N/A,FALSE,"M";#N/A,#N/A,FALSE,"N";#N/A,#N/A,FALSE,"O"}</definedName>
    <definedName name="hgfd" localSheetId="97" hidden="1">{#N/A,#N/A,FALSE,"I";#N/A,#N/A,FALSE,"J";#N/A,#N/A,FALSE,"K";#N/A,#N/A,FALSE,"L";#N/A,#N/A,FALSE,"M";#N/A,#N/A,FALSE,"N";#N/A,#N/A,FALSE,"O"}</definedName>
    <definedName name="hgfd" localSheetId="98" hidden="1">{#N/A,#N/A,FALSE,"I";#N/A,#N/A,FALSE,"J";#N/A,#N/A,FALSE,"K";#N/A,#N/A,FALSE,"L";#N/A,#N/A,FALSE,"M";#N/A,#N/A,FALSE,"N";#N/A,#N/A,FALSE,"O"}</definedName>
    <definedName name="hgfd" localSheetId="99" hidden="1">{#N/A,#N/A,FALSE,"I";#N/A,#N/A,FALSE,"J";#N/A,#N/A,FALSE,"K";#N/A,#N/A,FALSE,"L";#N/A,#N/A,FALSE,"M";#N/A,#N/A,FALSE,"N";#N/A,#N/A,FALSE,"O"}</definedName>
    <definedName name="hgfd" localSheetId="100" hidden="1">{#N/A,#N/A,FALSE,"I";#N/A,#N/A,FALSE,"J";#N/A,#N/A,FALSE,"K";#N/A,#N/A,FALSE,"L";#N/A,#N/A,FALSE,"M";#N/A,#N/A,FALSE,"N";#N/A,#N/A,FALSE,"O"}</definedName>
    <definedName name="hgfd" localSheetId="101" hidden="1">{#N/A,#N/A,FALSE,"I";#N/A,#N/A,FALSE,"J";#N/A,#N/A,FALSE,"K";#N/A,#N/A,FALSE,"L";#N/A,#N/A,FALSE,"M";#N/A,#N/A,FALSE,"N";#N/A,#N/A,FALSE,"O"}</definedName>
    <definedName name="hgfd" localSheetId="108" hidden="1">{#N/A,#N/A,FALSE,"I";#N/A,#N/A,FALSE,"J";#N/A,#N/A,FALSE,"K";#N/A,#N/A,FALSE,"L";#N/A,#N/A,FALSE,"M";#N/A,#N/A,FALSE,"N";#N/A,#N/A,FALSE,"O"}</definedName>
    <definedName name="hgfd" localSheetId="115" hidden="1">{#N/A,#N/A,FALSE,"I";#N/A,#N/A,FALSE,"J";#N/A,#N/A,FALSE,"K";#N/A,#N/A,FALSE,"L";#N/A,#N/A,FALSE,"M";#N/A,#N/A,FALSE,"N";#N/A,#N/A,FALSE,"O"}</definedName>
    <definedName name="hgfd" localSheetId="5" hidden="1">{#N/A,#N/A,FALSE,"I";#N/A,#N/A,FALSE,"J";#N/A,#N/A,FALSE,"K";#N/A,#N/A,FALSE,"L";#N/A,#N/A,FALSE,"M";#N/A,#N/A,FALSE,"N";#N/A,#N/A,FALSE,"O"}</definedName>
    <definedName name="hgfd" localSheetId="7" hidden="1">{#N/A,#N/A,FALSE,"I";#N/A,#N/A,FALSE,"J";#N/A,#N/A,FALSE,"K";#N/A,#N/A,FALSE,"L";#N/A,#N/A,FALSE,"M";#N/A,#N/A,FALSE,"N";#N/A,#N/A,FALSE,"O"}</definedName>
    <definedName name="hgfd" localSheetId="8" hidden="1">{#N/A,#N/A,FALSE,"I";#N/A,#N/A,FALSE,"J";#N/A,#N/A,FALSE,"K";#N/A,#N/A,FALSE,"L";#N/A,#N/A,FALSE,"M";#N/A,#N/A,FALSE,"N";#N/A,#N/A,FALSE,"O"}</definedName>
    <definedName name="hgfd" localSheetId="9" hidden="1">{#N/A,#N/A,FALSE,"I";#N/A,#N/A,FALSE,"J";#N/A,#N/A,FALSE,"K";#N/A,#N/A,FALSE,"L";#N/A,#N/A,FALSE,"M";#N/A,#N/A,FALSE,"N";#N/A,#N/A,FALSE,"O"}</definedName>
    <definedName name="hgfd" localSheetId="10" hidden="1">{#N/A,#N/A,FALSE,"I";#N/A,#N/A,FALSE,"J";#N/A,#N/A,FALSE,"K";#N/A,#N/A,FALSE,"L";#N/A,#N/A,FALSE,"M";#N/A,#N/A,FALSE,"N";#N/A,#N/A,FALSE,"O"}</definedName>
    <definedName name="hgfd" localSheetId="14" hidden="1">{#N/A,#N/A,FALSE,"I";#N/A,#N/A,FALSE,"J";#N/A,#N/A,FALSE,"K";#N/A,#N/A,FALSE,"L";#N/A,#N/A,FALSE,"M";#N/A,#N/A,FALSE,"N";#N/A,#N/A,FALSE,"O"}</definedName>
    <definedName name="hgfd" localSheetId="19" hidden="1">{#N/A,#N/A,FALSE,"I";#N/A,#N/A,FALSE,"J";#N/A,#N/A,FALSE,"K";#N/A,#N/A,FALSE,"L";#N/A,#N/A,FALSE,"M";#N/A,#N/A,FALSE,"N";#N/A,#N/A,FALSE,"O"}</definedName>
    <definedName name="hgfd" localSheetId="21" hidden="1">{#N/A,#N/A,FALSE,"I";#N/A,#N/A,FALSE,"J";#N/A,#N/A,FALSE,"K";#N/A,#N/A,FALSE,"L";#N/A,#N/A,FALSE,"M";#N/A,#N/A,FALSE,"N";#N/A,#N/A,FALSE,"O"}</definedName>
    <definedName name="hgfd" localSheetId="23" hidden="1">{#N/A,#N/A,FALSE,"I";#N/A,#N/A,FALSE,"J";#N/A,#N/A,FALSE,"K";#N/A,#N/A,FALSE,"L";#N/A,#N/A,FALSE,"M";#N/A,#N/A,FALSE,"N";#N/A,#N/A,FALSE,"O"}</definedName>
    <definedName name="hgfd" localSheetId="24" hidden="1">{#N/A,#N/A,FALSE,"I";#N/A,#N/A,FALSE,"J";#N/A,#N/A,FALSE,"K";#N/A,#N/A,FALSE,"L";#N/A,#N/A,FALSE,"M";#N/A,#N/A,FALSE,"N";#N/A,#N/A,FALSE,"O"}</definedName>
    <definedName name="hgfd" localSheetId="25" hidden="1">{#N/A,#N/A,FALSE,"I";#N/A,#N/A,FALSE,"J";#N/A,#N/A,FALSE,"K";#N/A,#N/A,FALSE,"L";#N/A,#N/A,FALSE,"M";#N/A,#N/A,FALSE,"N";#N/A,#N/A,FALSE,"O"}</definedName>
    <definedName name="hgfd" localSheetId="27" hidden="1">{#N/A,#N/A,FALSE,"I";#N/A,#N/A,FALSE,"J";#N/A,#N/A,FALSE,"K";#N/A,#N/A,FALSE,"L";#N/A,#N/A,FALSE,"M";#N/A,#N/A,FALSE,"N";#N/A,#N/A,FALSE,"O"}</definedName>
    <definedName name="hgfd" localSheetId="30" hidden="1">{#N/A,#N/A,FALSE,"I";#N/A,#N/A,FALSE,"J";#N/A,#N/A,FALSE,"K";#N/A,#N/A,FALSE,"L";#N/A,#N/A,FALSE,"M";#N/A,#N/A,FALSE,"N";#N/A,#N/A,FALSE,"O"}</definedName>
    <definedName name="hgfd" localSheetId="33" hidden="1">{#N/A,#N/A,FALSE,"I";#N/A,#N/A,FALSE,"J";#N/A,#N/A,FALSE,"K";#N/A,#N/A,FALSE,"L";#N/A,#N/A,FALSE,"M";#N/A,#N/A,FALSE,"N";#N/A,#N/A,FALSE,"O"}</definedName>
    <definedName name="hgfd" localSheetId="34" hidden="1">{#N/A,#N/A,FALSE,"I";#N/A,#N/A,FALSE,"J";#N/A,#N/A,FALSE,"K";#N/A,#N/A,FALSE,"L";#N/A,#N/A,FALSE,"M";#N/A,#N/A,FALSE,"N";#N/A,#N/A,FALSE,"O"}</definedName>
    <definedName name="hgfd" localSheetId="35" hidden="1">{#N/A,#N/A,FALSE,"I";#N/A,#N/A,FALSE,"J";#N/A,#N/A,FALSE,"K";#N/A,#N/A,FALSE,"L";#N/A,#N/A,FALSE,"M";#N/A,#N/A,FALSE,"N";#N/A,#N/A,FALSE,"O"}</definedName>
    <definedName name="hgfd" localSheetId="36" hidden="1">{#N/A,#N/A,FALSE,"I";#N/A,#N/A,FALSE,"J";#N/A,#N/A,FALSE,"K";#N/A,#N/A,FALSE,"L";#N/A,#N/A,FALSE,"M";#N/A,#N/A,FALSE,"N";#N/A,#N/A,FALSE,"O"}</definedName>
    <definedName name="hgfd" localSheetId="37" hidden="1">{#N/A,#N/A,FALSE,"I";#N/A,#N/A,FALSE,"J";#N/A,#N/A,FALSE,"K";#N/A,#N/A,FALSE,"L";#N/A,#N/A,FALSE,"M";#N/A,#N/A,FALSE,"N";#N/A,#N/A,FALSE,"O"}</definedName>
    <definedName name="hgfd" localSheetId="38" hidden="1">{#N/A,#N/A,FALSE,"I";#N/A,#N/A,FALSE,"J";#N/A,#N/A,FALSE,"K";#N/A,#N/A,FALSE,"L";#N/A,#N/A,FALSE,"M";#N/A,#N/A,FALSE,"N";#N/A,#N/A,FALSE,"O"}</definedName>
    <definedName name="hgfd" localSheetId="39" hidden="1">{#N/A,#N/A,FALSE,"I";#N/A,#N/A,FALSE,"J";#N/A,#N/A,FALSE,"K";#N/A,#N/A,FALSE,"L";#N/A,#N/A,FALSE,"M";#N/A,#N/A,FALSE,"N";#N/A,#N/A,FALSE,"O"}</definedName>
    <definedName name="hgfd" localSheetId="40" hidden="1">{#N/A,#N/A,FALSE,"I";#N/A,#N/A,FALSE,"J";#N/A,#N/A,FALSE,"K";#N/A,#N/A,FALSE,"L";#N/A,#N/A,FALSE,"M";#N/A,#N/A,FALSE,"N";#N/A,#N/A,FALSE,"O"}</definedName>
    <definedName name="hgfd" hidden="1">{#N/A,#N/A,FALSE,"I";#N/A,#N/A,FALSE,"J";#N/A,#N/A,FALSE,"K";#N/A,#N/A,FALSE,"L";#N/A,#N/A,FALSE,"M";#N/A,#N/A,FALSE,"N";#N/A,#N/A,FALSE,"O"}</definedName>
    <definedName name="hhh" localSheetId="49" hidden="1">'[29]J(Priv.Cap)'!#REF!</definedName>
    <definedName name="hhh" localSheetId="50" hidden="1">'[29]J(Priv.Cap)'!#REF!</definedName>
    <definedName name="hhh" localSheetId="51" hidden="1">'[29]J(Priv.Cap)'!#REF!</definedName>
    <definedName name="hhh" localSheetId="53" hidden="1">'[29]J(Priv.Cap)'!#REF!</definedName>
    <definedName name="hhh" localSheetId="54" hidden="1">'[29]J(Priv.Cap)'!#REF!</definedName>
    <definedName name="hhh" localSheetId="55" hidden="1">'[29]J(Priv.Cap)'!#REF!</definedName>
    <definedName name="hhh" localSheetId="56" hidden="1">'[29]J(Priv.Cap)'!#REF!</definedName>
    <definedName name="hhh" localSheetId="57" hidden="1">'[29]J(Priv.Cap)'!#REF!</definedName>
    <definedName name="hhh" localSheetId="58" hidden="1">'[29]J(Priv.Cap)'!#REF!</definedName>
    <definedName name="hhh" localSheetId="59" hidden="1">'[29]J(Priv.Cap)'!#REF!</definedName>
    <definedName name="hhh" localSheetId="62" hidden="1">'[29]J(Priv.Cap)'!#REF!</definedName>
    <definedName name="hhh" localSheetId="70" hidden="1">'[29]J(Priv.Cap)'!#REF!</definedName>
    <definedName name="hhh" localSheetId="75" hidden="1">'[29]J(Priv.Cap)'!#REF!</definedName>
    <definedName name="hhh" localSheetId="76" hidden="1">'[29]J(Priv.Cap)'!#REF!</definedName>
    <definedName name="hhh" localSheetId="79" hidden="1">'[29]J(Priv.Cap)'!#REF!</definedName>
    <definedName name="hhh" localSheetId="80" hidden="1">'[29]J(Priv.Cap)'!#REF!</definedName>
    <definedName name="hhh" localSheetId="81" hidden="1">'[29]J(Priv.Cap)'!#REF!</definedName>
    <definedName name="hhh" localSheetId="83" hidden="1">'[29]J(Priv.Cap)'!#REF!</definedName>
    <definedName name="hhh" localSheetId="87" hidden="1">'[29]J(Priv.Cap)'!#REF!</definedName>
    <definedName name="hhh" localSheetId="95" hidden="1">'[29]J(Priv.Cap)'!#REF!</definedName>
    <definedName name="hhh" localSheetId="97" hidden="1">'[29]J(Priv.Cap)'!#REF!</definedName>
    <definedName name="hhh" localSheetId="98" hidden="1">'[29]J(Priv.Cap)'!#REF!</definedName>
    <definedName name="hhh" localSheetId="99" hidden="1">'[29]J(Priv.Cap)'!#REF!</definedName>
    <definedName name="hhh" localSheetId="100" hidden="1">'[29]J(Priv.Cap)'!#REF!</definedName>
    <definedName name="hhh" localSheetId="101" hidden="1">'[29]J(Priv.Cap)'!#REF!</definedName>
    <definedName name="hhh" localSheetId="108" hidden="1">'[29]J(Priv.Cap)'!#REF!</definedName>
    <definedName name="hhh" localSheetId="5" hidden="1">'[29]J(Priv.Cap)'!#REF!</definedName>
    <definedName name="hhh" localSheetId="6" hidden="1">'[29]J(Priv.Cap)'!#REF!</definedName>
    <definedName name="hhh" localSheetId="7" hidden="1">'[29]J(Priv.Cap)'!#REF!</definedName>
    <definedName name="hhh" localSheetId="8" hidden="1">'[29]J(Priv.Cap)'!#REF!</definedName>
    <definedName name="hhh" localSheetId="9" hidden="1">'[29]J(Priv.Cap)'!#REF!</definedName>
    <definedName name="hhh" localSheetId="14" hidden="1">'[29]J(Priv.Cap)'!#REF!</definedName>
    <definedName name="hhh" localSheetId="15" hidden="1">'[29]J(Priv.Cap)'!#REF!</definedName>
    <definedName name="hhh" localSheetId="16" hidden="1">'[29]J(Priv.Cap)'!#REF!</definedName>
    <definedName name="hhh" localSheetId="17" hidden="1">'[29]J(Priv.Cap)'!#REF!</definedName>
    <definedName name="hhh" localSheetId="19" hidden="1">'[29]J(Priv.Cap)'!#REF!</definedName>
    <definedName name="hhh" localSheetId="21" hidden="1">'[29]J(Priv.Cap)'!#REF!</definedName>
    <definedName name="hhh" localSheetId="23" hidden="1">'[29]J(Priv.Cap)'!#REF!</definedName>
    <definedName name="hhh" localSheetId="24" hidden="1">'[29]J(Priv.Cap)'!#REF!</definedName>
    <definedName name="hhh" localSheetId="25" hidden="1">'[29]J(Priv.Cap)'!#REF!</definedName>
    <definedName name="hhh" localSheetId="27" hidden="1">'[29]J(Priv.Cap)'!#REF!</definedName>
    <definedName name="hhh" localSheetId="30" hidden="1">'[29]J(Priv.Cap)'!#REF!</definedName>
    <definedName name="hhh" localSheetId="33" hidden="1">'[29]J(Priv.Cap)'!#REF!</definedName>
    <definedName name="hhh" localSheetId="34" hidden="1">'[29]J(Priv.Cap)'!#REF!</definedName>
    <definedName name="hhh" localSheetId="35" hidden="1">'[29]J(Priv.Cap)'!#REF!</definedName>
    <definedName name="hhh" localSheetId="36" hidden="1">'[29]J(Priv.Cap)'!#REF!</definedName>
    <definedName name="hhh" localSheetId="37" hidden="1">'[29]J(Priv.Cap)'!#REF!</definedName>
    <definedName name="hhh" localSheetId="38" hidden="1">'[29]J(Priv.Cap)'!#REF!</definedName>
    <definedName name="hhh" localSheetId="39" hidden="1">'[29]J(Priv.Cap)'!#REF!</definedName>
    <definedName name="hhh" localSheetId="40" hidden="1">'[29]J(Priv.Cap)'!#REF!</definedName>
    <definedName name="hhh" localSheetId="44" hidden="1">'[29]J(Priv.Cap)'!#REF!</definedName>
    <definedName name="hhh" hidden="1">'[29]J(Priv.Cap)'!#REF!</definedName>
    <definedName name="HTML_CodePage" localSheetId="18" hidden="1">1250</definedName>
    <definedName name="HTML_CodePage" hidden="1">1252</definedName>
    <definedName name="HTML_Control" localSheetId="50" hidden="1">{"'Resources'!$A$1:$W$34","'Balance Sheet'!$A$1:$W$58","'SFD'!$A$1:$J$52"}</definedName>
    <definedName name="HTML_Control" localSheetId="55" hidden="1">{"'Resources'!$A$1:$W$34","'Balance Sheet'!$A$1:$W$58","'SFD'!$A$1:$J$52"}</definedName>
    <definedName name="HTML_Control" localSheetId="56" hidden="1">{"'Resources'!$A$1:$W$34","'Balance Sheet'!$A$1:$W$58","'SFD'!$A$1:$J$52"}</definedName>
    <definedName name="HTML_Control" localSheetId="57" hidden="1">{"'Resources'!$A$1:$W$34","'Balance Sheet'!$A$1:$W$58","'SFD'!$A$1:$J$52"}</definedName>
    <definedName name="HTML_Control" localSheetId="58" hidden="1">{"'Resources'!$A$1:$W$34","'Balance Sheet'!$A$1:$W$58","'SFD'!$A$1:$J$52"}</definedName>
    <definedName name="HTML_Control" localSheetId="59" hidden="1">{"'Resources'!$A$1:$W$34","'Balance Sheet'!$A$1:$W$58","'SFD'!$A$1:$J$52"}</definedName>
    <definedName name="HTML_Control" localSheetId="62" hidden="1">{"'Resources'!$A$1:$W$34","'Balance Sheet'!$A$1:$W$58","'SFD'!$A$1:$J$52"}</definedName>
    <definedName name="HTML_Control" localSheetId="70" hidden="1">{"'Resources'!$A$1:$W$34","'Balance Sheet'!$A$1:$W$58","'SFD'!$A$1:$J$52"}</definedName>
    <definedName name="HTML_Control" localSheetId="71" hidden="1">{"'Resources'!$A$1:$W$34","'Balance Sheet'!$A$1:$W$58","'SFD'!$A$1:$J$52"}</definedName>
    <definedName name="HTML_Control" localSheetId="72" hidden="1">{"'Resources'!$A$1:$W$34","'Balance Sheet'!$A$1:$W$58","'SFD'!$A$1:$J$52"}</definedName>
    <definedName name="HTML_Control" localSheetId="73" hidden="1">{"'Resources'!$A$1:$W$34","'Balance Sheet'!$A$1:$W$58","'SFD'!$A$1:$J$52"}</definedName>
    <definedName name="HTML_Control" localSheetId="74" hidden="1">{"'Resources'!$A$1:$W$34","'Balance Sheet'!$A$1:$W$58","'SFD'!$A$1:$J$52"}</definedName>
    <definedName name="HTML_Control" localSheetId="75" hidden="1">{"'Resources'!$A$1:$W$34","'Balance Sheet'!$A$1:$W$58","'SFD'!$A$1:$J$52"}</definedName>
    <definedName name="HTML_Control" localSheetId="76" hidden="1">{"'Resources'!$A$1:$W$34","'Balance Sheet'!$A$1:$W$58","'SFD'!$A$1:$J$52"}</definedName>
    <definedName name="HTML_Control" localSheetId="79" hidden="1">{"'Resources'!$A$1:$W$34","'Balance Sheet'!$A$1:$W$58","'SFD'!$A$1:$J$52"}</definedName>
    <definedName name="HTML_Control" localSheetId="80" hidden="1">{"'Resources'!$A$1:$W$34","'Balance Sheet'!$A$1:$W$58","'SFD'!$A$1:$J$52"}</definedName>
    <definedName name="HTML_Control" localSheetId="81" hidden="1">{"'Resources'!$A$1:$W$34","'Balance Sheet'!$A$1:$W$58","'SFD'!$A$1:$J$52"}</definedName>
    <definedName name="HTML_Control" localSheetId="83" hidden="1">{"'Resources'!$A$1:$W$34","'Balance Sheet'!$A$1:$W$58","'SFD'!$A$1:$J$52"}</definedName>
    <definedName name="HTML_Control" localSheetId="97" hidden="1">{"'Resources'!$A$1:$W$34","'Balance Sheet'!$A$1:$W$58","'SFD'!$A$1:$J$52"}</definedName>
    <definedName name="HTML_Control" localSheetId="98" hidden="1">{"'Resources'!$A$1:$W$34","'Balance Sheet'!$A$1:$W$58","'SFD'!$A$1:$J$52"}</definedName>
    <definedName name="HTML_Control" localSheetId="99" hidden="1">{"'Resources'!$A$1:$W$34","'Balance Sheet'!$A$1:$W$58","'SFD'!$A$1:$J$52"}</definedName>
    <definedName name="HTML_Control" localSheetId="100" hidden="1">{"'Resources'!$A$1:$W$34","'Balance Sheet'!$A$1:$W$58","'SFD'!$A$1:$J$52"}</definedName>
    <definedName name="HTML_Control" localSheetId="101" hidden="1">{"'Resources'!$A$1:$W$34","'Balance Sheet'!$A$1:$W$58","'SFD'!$A$1:$J$52"}</definedName>
    <definedName name="HTML_Control" localSheetId="108" hidden="1">{"'Resources'!$A$1:$W$34","'Balance Sheet'!$A$1:$W$58","'SFD'!$A$1:$J$52"}</definedName>
    <definedName name="HTML_Control" localSheetId="115" hidden="1">{"'Resources'!$A$1:$W$34","'Balance Sheet'!$A$1:$W$58","'SFD'!$A$1:$J$52"}</definedName>
    <definedName name="HTML_Control" localSheetId="5" hidden="1">{"'Resources'!$A$1:$W$34","'Balance Sheet'!$A$1:$W$58","'SFD'!$A$1:$J$52"}</definedName>
    <definedName name="HTML_Control" localSheetId="7" hidden="1">{"'Resources'!$A$1:$W$34","'Balance Sheet'!$A$1:$W$58","'SFD'!$A$1:$J$52"}</definedName>
    <definedName name="HTML_Control" localSheetId="8" hidden="1">{"'Resources'!$A$1:$W$34","'Balance Sheet'!$A$1:$W$58","'SFD'!$A$1:$J$52"}</definedName>
    <definedName name="HTML_Control" localSheetId="9" hidden="1">{"'Resources'!$A$1:$W$34","'Balance Sheet'!$A$1:$W$58","'SFD'!$A$1:$J$52"}</definedName>
    <definedName name="HTML_Control" localSheetId="10" hidden="1">{"'Resources'!$A$1:$W$34","'Balance Sheet'!$A$1:$W$58","'SFD'!$A$1:$J$52"}</definedName>
    <definedName name="HTML_Control" localSheetId="14" hidden="1">{"'Resources'!$A$1:$W$34","'Balance Sheet'!$A$1:$W$58","'SFD'!$A$1:$J$52"}</definedName>
    <definedName name="HTML_Control" localSheetId="18" hidden="1">{"'előző év december'!$A$2:$CP$214"}</definedName>
    <definedName name="HTML_Control" localSheetId="19" hidden="1">{"'Resources'!$A$1:$W$34","'Balance Sheet'!$A$1:$W$58","'SFD'!$A$1:$J$52"}</definedName>
    <definedName name="HTML_Control" localSheetId="21" hidden="1">{"'Resources'!$A$1:$W$34","'Balance Sheet'!$A$1:$W$58","'SFD'!$A$1:$J$52"}</definedName>
    <definedName name="HTML_Control" localSheetId="23" hidden="1">{"'Resources'!$A$1:$W$34","'Balance Sheet'!$A$1:$W$58","'SFD'!$A$1:$J$52"}</definedName>
    <definedName name="HTML_Control" localSheetId="24" hidden="1">{"'Resources'!$A$1:$W$34","'Balance Sheet'!$A$1:$W$58","'SFD'!$A$1:$J$52"}</definedName>
    <definedName name="HTML_Control" localSheetId="25" hidden="1">{"'Resources'!$A$1:$W$34","'Balance Sheet'!$A$1:$W$58","'SFD'!$A$1:$J$52"}</definedName>
    <definedName name="HTML_Control" localSheetId="27" hidden="1">{"'Resources'!$A$1:$W$34","'Balance Sheet'!$A$1:$W$58","'SFD'!$A$1:$J$52"}</definedName>
    <definedName name="HTML_Control" localSheetId="30" hidden="1">{"'Resources'!$A$1:$W$34","'Balance Sheet'!$A$1:$W$58","'SFD'!$A$1:$J$52"}</definedName>
    <definedName name="HTML_Control" localSheetId="33" hidden="1">{"'Resources'!$A$1:$W$34","'Balance Sheet'!$A$1:$W$58","'SFD'!$A$1:$J$52"}</definedName>
    <definedName name="HTML_Control" localSheetId="34" hidden="1">{"'Resources'!$A$1:$W$34","'Balance Sheet'!$A$1:$W$58","'SFD'!$A$1:$J$52"}</definedName>
    <definedName name="HTML_Control" localSheetId="35" hidden="1">{"'Resources'!$A$1:$W$34","'Balance Sheet'!$A$1:$W$58","'SFD'!$A$1:$J$52"}</definedName>
    <definedName name="HTML_Control" localSheetId="36" hidden="1">{"'Resources'!$A$1:$W$34","'Balance Sheet'!$A$1:$W$58","'SFD'!$A$1:$J$52"}</definedName>
    <definedName name="HTML_Control" localSheetId="37" hidden="1">{"'Resources'!$A$1:$W$34","'Balance Sheet'!$A$1:$W$58","'SFD'!$A$1:$J$52"}</definedName>
    <definedName name="HTML_Control" localSheetId="38" hidden="1">{"'Resources'!$A$1:$W$34","'Balance Sheet'!$A$1:$W$58","'SFD'!$A$1:$J$52"}</definedName>
    <definedName name="HTML_Control" localSheetId="39" hidden="1">{"'Resources'!$A$1:$W$34","'Balance Sheet'!$A$1:$W$58","'SFD'!$A$1:$J$52"}</definedName>
    <definedName name="HTML_Control" localSheetId="40" hidden="1">{"'Resources'!$A$1:$W$34","'Balance Sheet'!$A$1:$W$58","'SFD'!$A$1:$J$52"}</definedName>
    <definedName name="HTML_Control" hidden="1">{"'Resources'!$A$1:$W$34","'Balance Sheet'!$A$1:$W$58","'SFD'!$A$1:$J$52"}</definedName>
    <definedName name="HTML_Controll2" localSheetId="50" hidden="1">{"'előző év december'!$A$2:$CP$214"}</definedName>
    <definedName name="HTML_Controll2" localSheetId="56" hidden="1">{"'előző év december'!$A$2:$CP$214"}</definedName>
    <definedName name="HTML_Controll2" localSheetId="57" hidden="1">{"'előző év december'!$A$2:$CP$214"}</definedName>
    <definedName name="HTML_Controll2" localSheetId="58" hidden="1">{"'előző év december'!$A$2:$CP$214"}</definedName>
    <definedName name="HTML_Controll2" localSheetId="59" hidden="1">{"'előző év december'!$A$2:$CP$214"}</definedName>
    <definedName name="HTML_Controll2" localSheetId="62" hidden="1">{"'előző év december'!$A$2:$CP$214"}</definedName>
    <definedName name="HTML_Controll2" localSheetId="70" hidden="1">{"'előző év december'!$A$2:$CP$214"}</definedName>
    <definedName name="HTML_Controll2" localSheetId="71" hidden="1">{"'előző év december'!$A$2:$CP$214"}</definedName>
    <definedName name="HTML_Controll2" localSheetId="72" hidden="1">{"'előző év december'!$A$2:$CP$214"}</definedName>
    <definedName name="HTML_Controll2" localSheetId="73" hidden="1">{"'előző év december'!$A$2:$CP$214"}</definedName>
    <definedName name="HTML_Controll2" localSheetId="74" hidden="1">{"'előző év december'!$A$2:$CP$214"}</definedName>
    <definedName name="HTML_Controll2" localSheetId="79" hidden="1">{"'előző év december'!$A$2:$CP$214"}</definedName>
    <definedName name="HTML_Controll2" localSheetId="80" hidden="1">{"'előző év december'!$A$2:$CP$214"}</definedName>
    <definedName name="HTML_Controll2" localSheetId="81" hidden="1">{"'előző év december'!$A$2:$CP$214"}</definedName>
    <definedName name="HTML_Controll2" localSheetId="97" hidden="1">{"'előző év december'!$A$2:$CP$214"}</definedName>
    <definedName name="HTML_Controll2" localSheetId="98" hidden="1">{"'előző év december'!$A$2:$CP$214"}</definedName>
    <definedName name="HTML_Controll2" localSheetId="99" hidden="1">{"'előző év december'!$A$2:$CP$214"}</definedName>
    <definedName name="HTML_Controll2" localSheetId="100" hidden="1">{"'előző év december'!$A$2:$CP$214"}</definedName>
    <definedName name="HTML_Controll2" localSheetId="101" hidden="1">{"'előző év december'!$A$2:$CP$214"}</definedName>
    <definedName name="HTML_Controll2" localSheetId="108" hidden="1">{"'előző év december'!$A$2:$CP$214"}</definedName>
    <definedName name="HTML_Controll2" localSheetId="115" hidden="1">{"'előző év december'!$A$2:$CP$214"}</definedName>
    <definedName name="HTML_Controll2" localSheetId="5" hidden="1">{"'előző év december'!$A$2:$CP$214"}</definedName>
    <definedName name="HTML_Controll2" localSheetId="7" hidden="1">{"'előző év december'!$A$2:$CP$214"}</definedName>
    <definedName name="HTML_Controll2" localSheetId="8" hidden="1">{"'előző év december'!$A$2:$CP$214"}</definedName>
    <definedName name="HTML_Controll2" localSheetId="9" hidden="1">{"'előző év december'!$A$2:$CP$214"}</definedName>
    <definedName name="HTML_Controll2" localSheetId="10" hidden="1">{"'előző év december'!$A$2:$CP$214"}</definedName>
    <definedName name="HTML_Controll2" localSheetId="14" hidden="1">{"'előző év december'!$A$2:$CP$214"}</definedName>
    <definedName name="HTML_Controll2" localSheetId="18" hidden="1">{"'előző év december'!$A$2:$CP$214"}</definedName>
    <definedName name="HTML_Controll2" localSheetId="19" hidden="1">{"'előző év december'!$A$2:$CP$214"}</definedName>
    <definedName name="HTML_Controll2" localSheetId="21" hidden="1">{"'előző év december'!$A$2:$CP$214"}</definedName>
    <definedName name="HTML_Controll2" localSheetId="23" hidden="1">{"'előző év december'!$A$2:$CP$214"}</definedName>
    <definedName name="HTML_Controll2" localSheetId="24" hidden="1">{"'előző év december'!$A$2:$CP$214"}</definedName>
    <definedName name="HTML_Controll2" localSheetId="25" hidden="1">{"'előző év december'!$A$2:$CP$214"}</definedName>
    <definedName name="HTML_Controll2" localSheetId="27" hidden="1">{"'előző év december'!$A$2:$CP$214"}</definedName>
    <definedName name="HTML_Controll2" localSheetId="30" hidden="1">{"'előző év december'!$A$2:$CP$214"}</definedName>
    <definedName name="HTML_Controll2" localSheetId="33" hidden="1">{"'előző év december'!$A$2:$CP$214"}</definedName>
    <definedName name="HTML_Controll2" localSheetId="34" hidden="1">{"'előző év december'!$A$2:$CP$214"}</definedName>
    <definedName name="HTML_Controll2" localSheetId="35" hidden="1">{"'előző év december'!$A$2:$CP$214"}</definedName>
    <definedName name="HTML_Controll2" localSheetId="36" hidden="1">{"'előző év december'!$A$2:$CP$214"}</definedName>
    <definedName name="HTML_Controll2" localSheetId="37" hidden="1">{"'előző év december'!$A$2:$CP$214"}</definedName>
    <definedName name="HTML_Controll2" localSheetId="38" hidden="1">{"'előző év december'!$A$2:$CP$214"}</definedName>
    <definedName name="HTML_Controll2" localSheetId="39" hidden="1">{"'előző év december'!$A$2:$CP$214"}</definedName>
    <definedName name="HTML_Controll2" localSheetId="40" hidden="1">{"'előző év december'!$A$2:$CP$214"}</definedName>
    <definedName name="HTML_Controll2" hidden="1">{"'előző év december'!$A$2:$CP$214"}</definedName>
    <definedName name="HTML_Description" hidden="1">""</definedName>
    <definedName name="HTML_Email" hidden="1">""</definedName>
    <definedName name="html_f" localSheetId="50" hidden="1">{"'előző év december'!$A$2:$CP$214"}</definedName>
    <definedName name="html_f" localSheetId="56" hidden="1">{"'előző év december'!$A$2:$CP$214"}</definedName>
    <definedName name="html_f" localSheetId="57" hidden="1">{"'előző év december'!$A$2:$CP$214"}</definedName>
    <definedName name="html_f" localSheetId="58" hidden="1">{"'előző év december'!$A$2:$CP$214"}</definedName>
    <definedName name="html_f" localSheetId="59" hidden="1">{"'előző év december'!$A$2:$CP$214"}</definedName>
    <definedName name="html_f" localSheetId="62" hidden="1">{"'előző év december'!$A$2:$CP$214"}</definedName>
    <definedName name="html_f" localSheetId="70" hidden="1">{"'előző év december'!$A$2:$CP$214"}</definedName>
    <definedName name="html_f" localSheetId="71" hidden="1">{"'előző év december'!$A$2:$CP$214"}</definedName>
    <definedName name="html_f" localSheetId="72" hidden="1">{"'előző év december'!$A$2:$CP$214"}</definedName>
    <definedName name="html_f" localSheetId="73" hidden="1">{"'előző év december'!$A$2:$CP$214"}</definedName>
    <definedName name="html_f" localSheetId="74" hidden="1">{"'előző év december'!$A$2:$CP$214"}</definedName>
    <definedName name="html_f" localSheetId="79" hidden="1">{"'előző év december'!$A$2:$CP$214"}</definedName>
    <definedName name="html_f" localSheetId="80" hidden="1">{"'előző év december'!$A$2:$CP$214"}</definedName>
    <definedName name="html_f" localSheetId="81" hidden="1">{"'előző év december'!$A$2:$CP$214"}</definedName>
    <definedName name="html_f" localSheetId="97" hidden="1">{"'előző év december'!$A$2:$CP$214"}</definedName>
    <definedName name="html_f" localSheetId="98" hidden="1">{"'előző év december'!$A$2:$CP$214"}</definedName>
    <definedName name="html_f" localSheetId="99" hidden="1">{"'előző év december'!$A$2:$CP$214"}</definedName>
    <definedName name="html_f" localSheetId="100" hidden="1">{"'előző év december'!$A$2:$CP$214"}</definedName>
    <definedName name="html_f" localSheetId="101" hidden="1">{"'előző év december'!$A$2:$CP$214"}</definedName>
    <definedName name="html_f" localSheetId="108" hidden="1">{"'előző év december'!$A$2:$CP$214"}</definedName>
    <definedName name="html_f" localSheetId="115" hidden="1">{"'előző év december'!$A$2:$CP$214"}</definedName>
    <definedName name="html_f" localSheetId="5" hidden="1">{"'előző év december'!$A$2:$CP$214"}</definedName>
    <definedName name="html_f" localSheetId="7" hidden="1">{"'előző év december'!$A$2:$CP$214"}</definedName>
    <definedName name="html_f" localSheetId="8" hidden="1">{"'előző év december'!$A$2:$CP$214"}</definedName>
    <definedName name="html_f" localSheetId="9" hidden="1">{"'előző év december'!$A$2:$CP$214"}</definedName>
    <definedName name="html_f" localSheetId="10" hidden="1">{"'előző év december'!$A$2:$CP$214"}</definedName>
    <definedName name="html_f" localSheetId="14" hidden="1">{"'előző év december'!$A$2:$CP$214"}</definedName>
    <definedName name="html_f" localSheetId="18" hidden="1">{"'előző év december'!$A$2:$CP$214"}</definedName>
    <definedName name="html_f" localSheetId="19" hidden="1">{"'előző év december'!$A$2:$CP$214"}</definedName>
    <definedName name="html_f" localSheetId="21" hidden="1">{"'előző év december'!$A$2:$CP$214"}</definedName>
    <definedName name="html_f" localSheetId="23" hidden="1">{"'előző év december'!$A$2:$CP$214"}</definedName>
    <definedName name="html_f" localSheetId="24" hidden="1">{"'előző év december'!$A$2:$CP$214"}</definedName>
    <definedName name="html_f" localSheetId="25" hidden="1">{"'előző év december'!$A$2:$CP$214"}</definedName>
    <definedName name="html_f" localSheetId="27" hidden="1">{"'előző év december'!$A$2:$CP$214"}</definedName>
    <definedName name="html_f" localSheetId="30" hidden="1">{"'előző év december'!$A$2:$CP$214"}</definedName>
    <definedName name="html_f" localSheetId="33" hidden="1">{"'előző év december'!$A$2:$CP$214"}</definedName>
    <definedName name="html_f" localSheetId="34" hidden="1">{"'előző év december'!$A$2:$CP$214"}</definedName>
    <definedName name="html_f" localSheetId="35" hidden="1">{"'előző év december'!$A$2:$CP$214"}</definedName>
    <definedName name="html_f" localSheetId="36" hidden="1">{"'előző év december'!$A$2:$CP$214"}</definedName>
    <definedName name="html_f" localSheetId="37" hidden="1">{"'előző év december'!$A$2:$CP$214"}</definedName>
    <definedName name="html_f" localSheetId="38" hidden="1">{"'előző év december'!$A$2:$CP$214"}</definedName>
    <definedName name="html_f" localSheetId="39" hidden="1">{"'előző év december'!$A$2:$CP$214"}</definedName>
    <definedName name="html_f" localSheetId="40" hidden="1">{"'előző év december'!$A$2:$CP$214"}</definedName>
    <definedName name="html_f" hidden="1">{"'előző év december'!$A$2:$CP$214"}</definedName>
    <definedName name="HTML_Header" localSheetId="18" hidden="1">"előző év december"</definedName>
    <definedName name="HTML_Header" hidden="1">"Balance Sheet"</definedName>
    <definedName name="HTML_LastUpdate" localSheetId="18" hidden="1">"9/16/99"</definedName>
    <definedName name="HTML_LastUpdate" hidden="1">"11/14/97"</definedName>
    <definedName name="HTML_LineAfter" hidden="1">FALSE</definedName>
    <definedName name="HTML_LineBefore" hidden="1">FALSE</definedName>
    <definedName name="HTML_Name" localSheetId="18" hidden="1">"gasparj"</definedName>
    <definedName name="HTML_Name" hidden="1">"Frank M. Meek"</definedName>
    <definedName name="HTML_OBDlg2" hidden="1">TRUE</definedName>
    <definedName name="HTML_OBDlg4" hidden="1">TRUE</definedName>
    <definedName name="HTML_OS" hidden="1">0</definedName>
    <definedName name="HTML_PathFile" localSheetId="18" hidden="1">"I:\Fogyar\CpiCSO\MyHTML.htm"</definedName>
    <definedName name="HTML_PathFile" hidden="1">"Q:\DATA\AR\98FYFS\SEPT97\ESAF\esafadmfsHL.htm"</definedName>
    <definedName name="HTML_Title" localSheetId="18" hidden="1">"CPI160total"</definedName>
    <definedName name="HTML_Title" hidden="1">"ADMFS97HTMLlinks"</definedName>
    <definedName name="chart4" localSheetId="50" hidden="1">{#N/A,#N/A,FALSE,"CB";#N/A,#N/A,FALSE,"CMB";#N/A,#N/A,FALSE,"NBFI"}</definedName>
    <definedName name="chart4" localSheetId="55" hidden="1">{#N/A,#N/A,FALSE,"CB";#N/A,#N/A,FALSE,"CMB";#N/A,#N/A,FALSE,"NBFI"}</definedName>
    <definedName name="chart4" localSheetId="56" hidden="1">{#N/A,#N/A,FALSE,"CB";#N/A,#N/A,FALSE,"CMB";#N/A,#N/A,FALSE,"NBFI"}</definedName>
    <definedName name="chart4" localSheetId="57" hidden="1">{#N/A,#N/A,FALSE,"CB";#N/A,#N/A,FALSE,"CMB";#N/A,#N/A,FALSE,"NBFI"}</definedName>
    <definedName name="chart4" localSheetId="58" hidden="1">{#N/A,#N/A,FALSE,"CB";#N/A,#N/A,FALSE,"CMB";#N/A,#N/A,FALSE,"NBFI"}</definedName>
    <definedName name="chart4" localSheetId="59" hidden="1">{#N/A,#N/A,FALSE,"CB";#N/A,#N/A,FALSE,"CMB";#N/A,#N/A,FALSE,"NBFI"}</definedName>
    <definedName name="chart4" localSheetId="62" hidden="1">{#N/A,#N/A,FALSE,"CB";#N/A,#N/A,FALSE,"CMB";#N/A,#N/A,FALSE,"NBFI"}</definedName>
    <definedName name="chart4" localSheetId="70" hidden="1">{#N/A,#N/A,FALSE,"CB";#N/A,#N/A,FALSE,"CMB";#N/A,#N/A,FALSE,"NBFI"}</definedName>
    <definedName name="chart4" localSheetId="71" hidden="1">{#N/A,#N/A,FALSE,"CB";#N/A,#N/A,FALSE,"CMB";#N/A,#N/A,FALSE,"NBFI"}</definedName>
    <definedName name="chart4" localSheetId="72" hidden="1">{#N/A,#N/A,FALSE,"CB";#N/A,#N/A,FALSE,"CMB";#N/A,#N/A,FALSE,"NBFI"}</definedName>
    <definedName name="chart4" localSheetId="73" hidden="1">{#N/A,#N/A,FALSE,"CB";#N/A,#N/A,FALSE,"CMB";#N/A,#N/A,FALSE,"NBFI"}</definedName>
    <definedName name="chart4" localSheetId="74" hidden="1">{#N/A,#N/A,FALSE,"CB";#N/A,#N/A,FALSE,"CMB";#N/A,#N/A,FALSE,"NBFI"}</definedName>
    <definedName name="chart4" localSheetId="75" hidden="1">{#N/A,#N/A,FALSE,"CB";#N/A,#N/A,FALSE,"CMB";#N/A,#N/A,FALSE,"NBFI"}</definedName>
    <definedName name="chart4" localSheetId="76" hidden="1">{#N/A,#N/A,FALSE,"CB";#N/A,#N/A,FALSE,"CMB";#N/A,#N/A,FALSE,"NBFI"}</definedName>
    <definedName name="chart4" localSheetId="79" hidden="1">{#N/A,#N/A,FALSE,"CB";#N/A,#N/A,FALSE,"CMB";#N/A,#N/A,FALSE,"NBFI"}</definedName>
    <definedName name="chart4" localSheetId="80" hidden="1">{#N/A,#N/A,FALSE,"CB";#N/A,#N/A,FALSE,"CMB";#N/A,#N/A,FALSE,"NBFI"}</definedName>
    <definedName name="chart4" localSheetId="81" hidden="1">{#N/A,#N/A,FALSE,"CB";#N/A,#N/A,FALSE,"CMB";#N/A,#N/A,FALSE,"NBFI"}</definedName>
    <definedName name="chart4" localSheetId="83" hidden="1">{#N/A,#N/A,FALSE,"CB";#N/A,#N/A,FALSE,"CMB";#N/A,#N/A,FALSE,"NBFI"}</definedName>
    <definedName name="chart4" localSheetId="97" hidden="1">{#N/A,#N/A,FALSE,"CB";#N/A,#N/A,FALSE,"CMB";#N/A,#N/A,FALSE,"NBFI"}</definedName>
    <definedName name="chart4" localSheetId="98" hidden="1">{#N/A,#N/A,FALSE,"CB";#N/A,#N/A,FALSE,"CMB";#N/A,#N/A,FALSE,"NBFI"}</definedName>
    <definedName name="chart4" localSheetId="99" hidden="1">{#N/A,#N/A,FALSE,"CB";#N/A,#N/A,FALSE,"CMB";#N/A,#N/A,FALSE,"NBFI"}</definedName>
    <definedName name="chart4" localSheetId="100" hidden="1">{#N/A,#N/A,FALSE,"CB";#N/A,#N/A,FALSE,"CMB";#N/A,#N/A,FALSE,"NBFI"}</definedName>
    <definedName name="chart4" localSheetId="101" hidden="1">{#N/A,#N/A,FALSE,"CB";#N/A,#N/A,FALSE,"CMB";#N/A,#N/A,FALSE,"NBFI"}</definedName>
    <definedName name="chart4" localSheetId="108" hidden="1">{#N/A,#N/A,FALSE,"CB";#N/A,#N/A,FALSE,"CMB";#N/A,#N/A,FALSE,"NBFI"}</definedName>
    <definedName name="chart4" localSheetId="115" hidden="1">{#N/A,#N/A,FALSE,"CB";#N/A,#N/A,FALSE,"CMB";#N/A,#N/A,FALSE,"NBFI"}</definedName>
    <definedName name="chart4" localSheetId="5" hidden="1">{#N/A,#N/A,FALSE,"CB";#N/A,#N/A,FALSE,"CMB";#N/A,#N/A,FALSE,"NBFI"}</definedName>
    <definedName name="chart4" localSheetId="7" hidden="1">{#N/A,#N/A,FALSE,"CB";#N/A,#N/A,FALSE,"CMB";#N/A,#N/A,FALSE,"NBFI"}</definedName>
    <definedName name="chart4" localSheetId="8" hidden="1">{#N/A,#N/A,FALSE,"CB";#N/A,#N/A,FALSE,"CMB";#N/A,#N/A,FALSE,"NBFI"}</definedName>
    <definedName name="chart4" localSheetId="9" hidden="1">{#N/A,#N/A,FALSE,"CB";#N/A,#N/A,FALSE,"CMB";#N/A,#N/A,FALSE,"NBFI"}</definedName>
    <definedName name="chart4" localSheetId="10" hidden="1">{#N/A,#N/A,FALSE,"CB";#N/A,#N/A,FALSE,"CMB";#N/A,#N/A,FALSE,"NBFI"}</definedName>
    <definedName name="chart4" localSheetId="14" hidden="1">{#N/A,#N/A,FALSE,"CB";#N/A,#N/A,FALSE,"CMB";#N/A,#N/A,FALSE,"NBFI"}</definedName>
    <definedName name="chart4" localSheetId="19" hidden="1">{#N/A,#N/A,FALSE,"CB";#N/A,#N/A,FALSE,"CMB";#N/A,#N/A,FALSE,"NBFI"}</definedName>
    <definedName name="chart4" localSheetId="21" hidden="1">{#N/A,#N/A,FALSE,"CB";#N/A,#N/A,FALSE,"CMB";#N/A,#N/A,FALSE,"NBFI"}</definedName>
    <definedName name="chart4" localSheetId="23" hidden="1">{#N/A,#N/A,FALSE,"CB";#N/A,#N/A,FALSE,"CMB";#N/A,#N/A,FALSE,"NBFI"}</definedName>
    <definedName name="chart4" localSheetId="24" hidden="1">{#N/A,#N/A,FALSE,"CB";#N/A,#N/A,FALSE,"CMB";#N/A,#N/A,FALSE,"NBFI"}</definedName>
    <definedName name="chart4" localSheetId="25" hidden="1">{#N/A,#N/A,FALSE,"CB";#N/A,#N/A,FALSE,"CMB";#N/A,#N/A,FALSE,"NBFI"}</definedName>
    <definedName name="chart4" localSheetId="27" hidden="1">{#N/A,#N/A,FALSE,"CB";#N/A,#N/A,FALSE,"CMB";#N/A,#N/A,FALSE,"NBFI"}</definedName>
    <definedName name="chart4" localSheetId="30" hidden="1">{#N/A,#N/A,FALSE,"CB";#N/A,#N/A,FALSE,"CMB";#N/A,#N/A,FALSE,"NBFI"}</definedName>
    <definedName name="chart4" localSheetId="33" hidden="1">{#N/A,#N/A,FALSE,"CB";#N/A,#N/A,FALSE,"CMB";#N/A,#N/A,FALSE,"NBFI"}</definedName>
    <definedName name="chart4" localSheetId="34" hidden="1">{#N/A,#N/A,FALSE,"CB";#N/A,#N/A,FALSE,"CMB";#N/A,#N/A,FALSE,"NBFI"}</definedName>
    <definedName name="chart4" localSheetId="35" hidden="1">{#N/A,#N/A,FALSE,"CB";#N/A,#N/A,FALSE,"CMB";#N/A,#N/A,FALSE,"NBFI"}</definedName>
    <definedName name="chart4" localSheetId="36" hidden="1">{#N/A,#N/A,FALSE,"CB";#N/A,#N/A,FALSE,"CMB";#N/A,#N/A,FALSE,"NBFI"}</definedName>
    <definedName name="chart4" localSheetId="37" hidden="1">{#N/A,#N/A,FALSE,"CB";#N/A,#N/A,FALSE,"CMB";#N/A,#N/A,FALSE,"NBFI"}</definedName>
    <definedName name="chart4" localSheetId="38" hidden="1">{#N/A,#N/A,FALSE,"CB";#N/A,#N/A,FALSE,"CMB";#N/A,#N/A,FALSE,"NBFI"}</definedName>
    <definedName name="chart4" localSheetId="39" hidden="1">{#N/A,#N/A,FALSE,"CB";#N/A,#N/A,FALSE,"CMB";#N/A,#N/A,FALSE,"NBFI"}</definedName>
    <definedName name="chart4" localSheetId="40" hidden="1">{#N/A,#N/A,FALSE,"CB";#N/A,#N/A,FALSE,"CMB";#N/A,#N/A,FALSE,"NBFI"}</definedName>
    <definedName name="chart4" hidden="1">{#N/A,#N/A,FALSE,"CB";#N/A,#N/A,FALSE,"CMB";#N/A,#N/A,FALSE,"NBFI"}</definedName>
    <definedName name="ii" localSheetId="50" hidden="1">{"Tab1",#N/A,FALSE,"P";"Tab2",#N/A,FALSE,"P"}</definedName>
    <definedName name="ii" localSheetId="55" hidden="1">{"Tab1",#N/A,FALSE,"P";"Tab2",#N/A,FALSE,"P"}</definedName>
    <definedName name="ii" localSheetId="56" hidden="1">{"Tab1",#N/A,FALSE,"P";"Tab2",#N/A,FALSE,"P"}</definedName>
    <definedName name="ii" localSheetId="57" hidden="1">{"Tab1",#N/A,FALSE,"P";"Tab2",#N/A,FALSE,"P"}</definedName>
    <definedName name="ii" localSheetId="58" hidden="1">{"Tab1",#N/A,FALSE,"P";"Tab2",#N/A,FALSE,"P"}</definedName>
    <definedName name="ii" localSheetId="59" hidden="1">{"Tab1",#N/A,FALSE,"P";"Tab2",#N/A,FALSE,"P"}</definedName>
    <definedName name="ii" localSheetId="62" hidden="1">{"Tab1",#N/A,FALSE,"P";"Tab2",#N/A,FALSE,"P"}</definedName>
    <definedName name="ii" localSheetId="70" hidden="1">{"Tab1",#N/A,FALSE,"P";"Tab2",#N/A,FALSE,"P"}</definedName>
    <definedName name="ii" localSheetId="71" hidden="1">{"Tab1",#N/A,FALSE,"P";"Tab2",#N/A,FALSE,"P"}</definedName>
    <definedName name="ii" localSheetId="72" hidden="1">{"Tab1",#N/A,FALSE,"P";"Tab2",#N/A,FALSE,"P"}</definedName>
    <definedName name="ii" localSheetId="73" hidden="1">{"Tab1",#N/A,FALSE,"P";"Tab2",#N/A,FALSE,"P"}</definedName>
    <definedName name="ii" localSheetId="74" hidden="1">{"Tab1",#N/A,FALSE,"P";"Tab2",#N/A,FALSE,"P"}</definedName>
    <definedName name="ii" localSheetId="75" hidden="1">{"Tab1",#N/A,FALSE,"P";"Tab2",#N/A,FALSE,"P"}</definedName>
    <definedName name="ii" localSheetId="76" hidden="1">{"Tab1",#N/A,FALSE,"P";"Tab2",#N/A,FALSE,"P"}</definedName>
    <definedName name="ii" localSheetId="79" hidden="1">{"Tab1",#N/A,FALSE,"P";"Tab2",#N/A,FALSE,"P"}</definedName>
    <definedName name="ii" localSheetId="80" hidden="1">{"Tab1",#N/A,FALSE,"P";"Tab2",#N/A,FALSE,"P"}</definedName>
    <definedName name="ii" localSheetId="81" hidden="1">{"Tab1",#N/A,FALSE,"P";"Tab2",#N/A,FALSE,"P"}</definedName>
    <definedName name="ii" localSheetId="83" hidden="1">{"Tab1",#N/A,FALSE,"P";"Tab2",#N/A,FALSE,"P"}</definedName>
    <definedName name="ii" localSheetId="97" hidden="1">{"Tab1",#N/A,FALSE,"P";"Tab2",#N/A,FALSE,"P"}</definedName>
    <definedName name="ii" localSheetId="98" hidden="1">{"Tab1",#N/A,FALSE,"P";"Tab2",#N/A,FALSE,"P"}</definedName>
    <definedName name="ii" localSheetId="99" hidden="1">{"Tab1",#N/A,FALSE,"P";"Tab2",#N/A,FALSE,"P"}</definedName>
    <definedName name="ii" localSheetId="100" hidden="1">{"Tab1",#N/A,FALSE,"P";"Tab2",#N/A,FALSE,"P"}</definedName>
    <definedName name="ii" localSheetId="101" hidden="1">{"Tab1",#N/A,FALSE,"P";"Tab2",#N/A,FALSE,"P"}</definedName>
    <definedName name="ii" localSheetId="108" hidden="1">{"Tab1",#N/A,FALSE,"P";"Tab2",#N/A,FALSE,"P"}</definedName>
    <definedName name="ii" localSheetId="115" hidden="1">{"Tab1",#N/A,FALSE,"P";"Tab2",#N/A,FALSE,"P"}</definedName>
    <definedName name="ii" localSheetId="5" hidden="1">{"Tab1",#N/A,FALSE,"P";"Tab2",#N/A,FALSE,"P"}</definedName>
    <definedName name="ii" localSheetId="7" hidden="1">{"Tab1",#N/A,FALSE,"P";"Tab2",#N/A,FALSE,"P"}</definedName>
    <definedName name="ii" localSheetId="8" hidden="1">{"Tab1",#N/A,FALSE,"P";"Tab2",#N/A,FALSE,"P"}</definedName>
    <definedName name="ii" localSheetId="9" hidden="1">{"Tab1",#N/A,FALSE,"P";"Tab2",#N/A,FALSE,"P"}</definedName>
    <definedName name="ii" localSheetId="10" hidden="1">{"Tab1",#N/A,FALSE,"P";"Tab2",#N/A,FALSE,"P"}</definedName>
    <definedName name="ii" localSheetId="14" hidden="1">{"Tab1",#N/A,FALSE,"P";"Tab2",#N/A,FALSE,"P"}</definedName>
    <definedName name="ii" localSheetId="19" hidden="1">{"Tab1",#N/A,FALSE,"P";"Tab2",#N/A,FALSE,"P"}</definedName>
    <definedName name="ii" localSheetId="21" hidden="1">{"Tab1",#N/A,FALSE,"P";"Tab2",#N/A,FALSE,"P"}</definedName>
    <definedName name="ii" localSheetId="23" hidden="1">{"Tab1",#N/A,FALSE,"P";"Tab2",#N/A,FALSE,"P"}</definedName>
    <definedName name="ii" localSheetId="24" hidden="1">{"Tab1",#N/A,FALSE,"P";"Tab2",#N/A,FALSE,"P"}</definedName>
    <definedName name="ii" localSheetId="25" hidden="1">{"Tab1",#N/A,FALSE,"P";"Tab2",#N/A,FALSE,"P"}</definedName>
    <definedName name="ii" localSheetId="27" hidden="1">{"Tab1",#N/A,FALSE,"P";"Tab2",#N/A,FALSE,"P"}</definedName>
    <definedName name="ii" localSheetId="30" hidden="1">{"Tab1",#N/A,FALSE,"P";"Tab2",#N/A,FALSE,"P"}</definedName>
    <definedName name="ii" localSheetId="33" hidden="1">{"Tab1",#N/A,FALSE,"P";"Tab2",#N/A,FALSE,"P"}</definedName>
    <definedName name="ii" localSheetId="34" hidden="1">{"Tab1",#N/A,FALSE,"P";"Tab2",#N/A,FALSE,"P"}</definedName>
    <definedName name="ii" localSheetId="35" hidden="1">{"Tab1",#N/A,FALSE,"P";"Tab2",#N/A,FALSE,"P"}</definedName>
    <definedName name="ii" localSheetId="36" hidden="1">{"Tab1",#N/A,FALSE,"P";"Tab2",#N/A,FALSE,"P"}</definedName>
    <definedName name="ii" localSheetId="37" hidden="1">{"Tab1",#N/A,FALSE,"P";"Tab2",#N/A,FALSE,"P"}</definedName>
    <definedName name="ii" localSheetId="38" hidden="1">{"Tab1",#N/A,FALSE,"P";"Tab2",#N/A,FALSE,"P"}</definedName>
    <definedName name="ii" localSheetId="39" hidden="1">{"Tab1",#N/A,FALSE,"P";"Tab2",#N/A,FALSE,"P"}</definedName>
    <definedName name="ii" localSheetId="40" hidden="1">{"Tab1",#N/A,FALSE,"P";"Tab2",#N/A,FALSE,"P"}</definedName>
    <definedName name="ii" localSheetId="44" hidden="1">{"Tab1",#N/A,FALSE,"P";"Tab2",#N/A,FALSE,"P"}</definedName>
    <definedName name="ii" hidden="1">{"Tab1",#N/A,FALSE,"P";"Tab2",#N/A,FALSE,"P"}</definedName>
    <definedName name="inflation" localSheetId="49" hidden="1">[30]TAB34!#REF!</definedName>
    <definedName name="inflation" localSheetId="50" hidden="1">[31]TAB34!#REF!</definedName>
    <definedName name="inflation" localSheetId="51" hidden="1">[30]TAB34!#REF!</definedName>
    <definedName name="inflation" localSheetId="53" hidden="1">[30]TAB34!#REF!</definedName>
    <definedName name="inflation" localSheetId="54" hidden="1">[30]TAB34!#REF!</definedName>
    <definedName name="inflation" localSheetId="55" hidden="1">[32]TAB34!#REF!</definedName>
    <definedName name="inflation" localSheetId="56" hidden="1">[32]TAB34!#REF!</definedName>
    <definedName name="inflation" localSheetId="57" hidden="1">[32]TAB34!#REF!</definedName>
    <definedName name="inflation" localSheetId="58" hidden="1">[32]TAB34!#REF!</definedName>
    <definedName name="inflation" localSheetId="59" hidden="1">[32]TAB34!#REF!</definedName>
    <definedName name="inflation" localSheetId="62" hidden="1">[32]TAB34!#REF!</definedName>
    <definedName name="inflation" localSheetId="70" hidden="1">[32]TAB34!#REF!</definedName>
    <definedName name="inflation" localSheetId="71" hidden="1">[30]TAB34!#REF!</definedName>
    <definedName name="inflation" localSheetId="72" hidden="1">[30]TAB34!#REF!</definedName>
    <definedName name="inflation" localSheetId="73" hidden="1">[30]TAB34!#REF!</definedName>
    <definedName name="inflation" localSheetId="74" hidden="1">[30]TAB34!#REF!</definedName>
    <definedName name="inflation" localSheetId="75" hidden="1">[30]TAB34!#REF!</definedName>
    <definedName name="inflation" localSheetId="76" hidden="1">[30]TAB34!#REF!</definedName>
    <definedName name="inflation" localSheetId="79" hidden="1">[31]TAB34!#REF!</definedName>
    <definedName name="inflation" localSheetId="80" hidden="1">[32]TAB34!#REF!</definedName>
    <definedName name="inflation" localSheetId="81" hidden="1">[32]TAB34!#REF!</definedName>
    <definedName name="inflation" localSheetId="83" hidden="1">[30]TAB34!#REF!</definedName>
    <definedName name="inflation" localSheetId="87" hidden="1">[31]TAB34!#REF!</definedName>
    <definedName name="inflation" localSheetId="95" hidden="1">[30]TAB34!#REF!</definedName>
    <definedName name="inflation" localSheetId="97" hidden="1">[32]TAB34!#REF!</definedName>
    <definedName name="inflation" localSheetId="98" hidden="1">[32]TAB34!#REF!</definedName>
    <definedName name="inflation" localSheetId="99" hidden="1">[32]TAB34!#REF!</definedName>
    <definedName name="inflation" localSheetId="100" hidden="1">[32]TAB34!#REF!</definedName>
    <definedName name="inflation" localSheetId="101" hidden="1">[32]TAB34!#REF!</definedName>
    <definedName name="inflation" localSheetId="108" hidden="1">[32]TAB34!#REF!</definedName>
    <definedName name="inflation" localSheetId="115" hidden="1">[30]TAB34!#REF!</definedName>
    <definedName name="inflation" localSheetId="5" hidden="1">[32]TAB34!#REF!</definedName>
    <definedName name="inflation" localSheetId="6" hidden="1">[32]TAB34!#REF!</definedName>
    <definedName name="inflation" localSheetId="7" hidden="1">[32]TAB34!#REF!</definedName>
    <definedName name="inflation" localSheetId="8" hidden="1">[32]TAB34!#REF!</definedName>
    <definedName name="inflation" localSheetId="9" hidden="1">[32]TAB34!#REF!</definedName>
    <definedName name="inflation" localSheetId="10" hidden="1">[30]TAB34!#REF!</definedName>
    <definedName name="inflation" localSheetId="14" hidden="1">[32]TAB34!#REF!</definedName>
    <definedName name="inflation" localSheetId="15" hidden="1">[33]TAB34!#REF!</definedName>
    <definedName name="inflation" localSheetId="16" hidden="1">[33]TAB34!#REF!</definedName>
    <definedName name="inflation" localSheetId="17" hidden="1">[33]TAB34!#REF!</definedName>
    <definedName name="inflation" localSheetId="19" hidden="1">[32]TAB34!#REF!</definedName>
    <definedName name="inflation" localSheetId="21" hidden="1">[32]TAB34!#REF!</definedName>
    <definedName name="inflation" localSheetId="23" hidden="1">[32]TAB34!#REF!</definedName>
    <definedName name="inflation" localSheetId="24" hidden="1">[32]TAB34!#REF!</definedName>
    <definedName name="inflation" localSheetId="25" hidden="1">[32]TAB34!#REF!</definedName>
    <definedName name="inflation" localSheetId="27" hidden="1">[32]TAB34!#REF!</definedName>
    <definedName name="inflation" localSheetId="30" hidden="1">[32]TAB34!#REF!</definedName>
    <definedName name="inflation" localSheetId="33" hidden="1">[32]TAB34!#REF!</definedName>
    <definedName name="inflation" localSheetId="34" hidden="1">[30]TAB34!#REF!</definedName>
    <definedName name="inflation" localSheetId="35" hidden="1">[30]TAB34!#REF!</definedName>
    <definedName name="inflation" localSheetId="36" hidden="1">[30]TAB34!#REF!</definedName>
    <definedName name="inflation" localSheetId="37" hidden="1">[30]TAB34!#REF!</definedName>
    <definedName name="inflation" localSheetId="38" hidden="1">[30]TAB34!#REF!</definedName>
    <definedName name="inflation" localSheetId="39" hidden="1">[32]TAB34!#REF!</definedName>
    <definedName name="inflation" localSheetId="40" hidden="1">[32]TAB34!#REF!</definedName>
    <definedName name="inflation" localSheetId="44" hidden="1">[34]TAB34!#REF!</definedName>
    <definedName name="inflation" hidden="1">[30]TAB34!#REF!</definedName>
    <definedName name="jhgf" localSheetId="50" hidden="1">{"MONA",#N/A,FALSE,"S"}</definedName>
    <definedName name="jhgf" localSheetId="55" hidden="1">{"MONA",#N/A,FALSE,"S"}</definedName>
    <definedName name="jhgf" localSheetId="56" hidden="1">{"MONA",#N/A,FALSE,"S"}</definedName>
    <definedName name="jhgf" localSheetId="57" hidden="1">{"MONA",#N/A,FALSE,"S"}</definedName>
    <definedName name="jhgf" localSheetId="58" hidden="1">{"MONA",#N/A,FALSE,"S"}</definedName>
    <definedName name="jhgf" localSheetId="59" hidden="1">{"MONA",#N/A,FALSE,"S"}</definedName>
    <definedName name="jhgf" localSheetId="62" hidden="1">{"MONA",#N/A,FALSE,"S"}</definedName>
    <definedName name="jhgf" localSheetId="70" hidden="1">{"MONA",#N/A,FALSE,"S"}</definedName>
    <definedName name="jhgf" localSheetId="71" hidden="1">{"MONA",#N/A,FALSE,"S"}</definedName>
    <definedName name="jhgf" localSheetId="72" hidden="1">{"MONA",#N/A,FALSE,"S"}</definedName>
    <definedName name="jhgf" localSheetId="73" hidden="1">{"MONA",#N/A,FALSE,"S"}</definedName>
    <definedName name="jhgf" localSheetId="74" hidden="1">{"MONA",#N/A,FALSE,"S"}</definedName>
    <definedName name="jhgf" localSheetId="75" hidden="1">{"MONA",#N/A,FALSE,"S"}</definedName>
    <definedName name="jhgf" localSheetId="76" hidden="1">{"MONA",#N/A,FALSE,"S"}</definedName>
    <definedName name="jhgf" localSheetId="79" hidden="1">{"MONA",#N/A,FALSE,"S"}</definedName>
    <definedName name="jhgf" localSheetId="80" hidden="1">{"MONA",#N/A,FALSE,"S"}</definedName>
    <definedName name="jhgf" localSheetId="81" hidden="1">{"MONA",#N/A,FALSE,"S"}</definedName>
    <definedName name="jhgf" localSheetId="83" hidden="1">{"MONA",#N/A,FALSE,"S"}</definedName>
    <definedName name="jhgf" localSheetId="97" hidden="1">{"MONA",#N/A,FALSE,"S"}</definedName>
    <definedName name="jhgf" localSheetId="98" hidden="1">{"MONA",#N/A,FALSE,"S"}</definedName>
    <definedName name="jhgf" localSheetId="99" hidden="1">{"MONA",#N/A,FALSE,"S"}</definedName>
    <definedName name="jhgf" localSheetId="100" hidden="1">{"MONA",#N/A,FALSE,"S"}</definedName>
    <definedName name="jhgf" localSheetId="101" hidden="1">{"MONA",#N/A,FALSE,"S"}</definedName>
    <definedName name="jhgf" localSheetId="108" hidden="1">{"MONA",#N/A,FALSE,"S"}</definedName>
    <definedName name="jhgf" localSheetId="115" hidden="1">{"MONA",#N/A,FALSE,"S"}</definedName>
    <definedName name="jhgf" localSheetId="5" hidden="1">{"MONA",#N/A,FALSE,"S"}</definedName>
    <definedName name="jhgf" localSheetId="7" hidden="1">{"MONA",#N/A,FALSE,"S"}</definedName>
    <definedName name="jhgf" localSheetId="8" hidden="1">{"MONA",#N/A,FALSE,"S"}</definedName>
    <definedName name="jhgf" localSheetId="9" hidden="1">{"MONA",#N/A,FALSE,"S"}</definedName>
    <definedName name="jhgf" localSheetId="10" hidden="1">{"MONA",#N/A,FALSE,"S"}</definedName>
    <definedName name="jhgf" localSheetId="14" hidden="1">{"MONA",#N/A,FALSE,"S"}</definedName>
    <definedName name="jhgf" localSheetId="19" hidden="1">{"MONA",#N/A,FALSE,"S"}</definedName>
    <definedName name="jhgf" localSheetId="21" hidden="1">{"MONA",#N/A,FALSE,"S"}</definedName>
    <definedName name="jhgf" localSheetId="23" hidden="1">{"MONA",#N/A,FALSE,"S"}</definedName>
    <definedName name="jhgf" localSheetId="24" hidden="1">{"MONA",#N/A,FALSE,"S"}</definedName>
    <definedName name="jhgf" localSheetId="25" hidden="1">{"MONA",#N/A,FALSE,"S"}</definedName>
    <definedName name="jhgf" localSheetId="27" hidden="1">{"MONA",#N/A,FALSE,"S"}</definedName>
    <definedName name="jhgf" localSheetId="30" hidden="1">{"MONA",#N/A,FALSE,"S"}</definedName>
    <definedName name="jhgf" localSheetId="33" hidden="1">{"MONA",#N/A,FALSE,"S"}</definedName>
    <definedName name="jhgf" localSheetId="34" hidden="1">{"MONA",#N/A,FALSE,"S"}</definedName>
    <definedName name="jhgf" localSheetId="35" hidden="1">{"MONA",#N/A,FALSE,"S"}</definedName>
    <definedName name="jhgf" localSheetId="36" hidden="1">{"MONA",#N/A,FALSE,"S"}</definedName>
    <definedName name="jhgf" localSheetId="37" hidden="1">{"MONA",#N/A,FALSE,"S"}</definedName>
    <definedName name="jhgf" localSheetId="38" hidden="1">{"MONA",#N/A,FALSE,"S"}</definedName>
    <definedName name="jhgf" localSheetId="39" hidden="1">{"MONA",#N/A,FALSE,"S"}</definedName>
    <definedName name="jhgf" localSheetId="40" hidden="1">{"MONA",#N/A,FALSE,"S"}</definedName>
    <definedName name="jhgf" hidden="1">{"MONA",#N/A,FALSE,"S"}</definedName>
    <definedName name="jj" localSheetId="50" hidden="1">{"Riqfin97",#N/A,FALSE,"Tran";"Riqfinpro",#N/A,FALSE,"Tran"}</definedName>
    <definedName name="jj" localSheetId="55" hidden="1">{"Riqfin97",#N/A,FALSE,"Tran";"Riqfinpro",#N/A,FALSE,"Tran"}</definedName>
    <definedName name="jj" localSheetId="56" hidden="1">{"Riqfin97",#N/A,FALSE,"Tran";"Riqfinpro",#N/A,FALSE,"Tran"}</definedName>
    <definedName name="jj" localSheetId="57" hidden="1">{"Riqfin97",#N/A,FALSE,"Tran";"Riqfinpro",#N/A,FALSE,"Tran"}</definedName>
    <definedName name="jj" localSheetId="58" hidden="1">{"Riqfin97",#N/A,FALSE,"Tran";"Riqfinpro",#N/A,FALSE,"Tran"}</definedName>
    <definedName name="jj" localSheetId="59" hidden="1">{"Riqfin97",#N/A,FALSE,"Tran";"Riqfinpro",#N/A,FALSE,"Tran"}</definedName>
    <definedName name="jj" localSheetId="62" hidden="1">{"Riqfin97",#N/A,FALSE,"Tran";"Riqfinpro",#N/A,FALSE,"Tran"}</definedName>
    <definedName name="jj" localSheetId="70" hidden="1">{"Riqfin97",#N/A,FALSE,"Tran";"Riqfinpro",#N/A,FALSE,"Tran"}</definedName>
    <definedName name="jj" localSheetId="71" hidden="1">{"Riqfin97",#N/A,FALSE,"Tran";"Riqfinpro",#N/A,FALSE,"Tran"}</definedName>
    <definedName name="jj" localSheetId="72" hidden="1">{"Riqfin97",#N/A,FALSE,"Tran";"Riqfinpro",#N/A,FALSE,"Tran"}</definedName>
    <definedName name="jj" localSheetId="73" hidden="1">{"Riqfin97",#N/A,FALSE,"Tran";"Riqfinpro",#N/A,FALSE,"Tran"}</definedName>
    <definedName name="jj" localSheetId="74" hidden="1">{"Riqfin97",#N/A,FALSE,"Tran";"Riqfinpro",#N/A,FALSE,"Tran"}</definedName>
    <definedName name="jj" localSheetId="75" hidden="1">{"Riqfin97",#N/A,FALSE,"Tran";"Riqfinpro",#N/A,FALSE,"Tran"}</definedName>
    <definedName name="jj" localSheetId="76" hidden="1">{"Riqfin97",#N/A,FALSE,"Tran";"Riqfinpro",#N/A,FALSE,"Tran"}</definedName>
    <definedName name="jj" localSheetId="79" hidden="1">{"Riqfin97",#N/A,FALSE,"Tran";"Riqfinpro",#N/A,FALSE,"Tran"}</definedName>
    <definedName name="jj" localSheetId="80" hidden="1">{"Riqfin97",#N/A,FALSE,"Tran";"Riqfinpro",#N/A,FALSE,"Tran"}</definedName>
    <definedName name="jj" localSheetId="81" hidden="1">{"Riqfin97",#N/A,FALSE,"Tran";"Riqfinpro",#N/A,FALSE,"Tran"}</definedName>
    <definedName name="jj" localSheetId="83" hidden="1">{"Riqfin97",#N/A,FALSE,"Tran";"Riqfinpro",#N/A,FALSE,"Tran"}</definedName>
    <definedName name="jj" localSheetId="97" hidden="1">{"Riqfin97",#N/A,FALSE,"Tran";"Riqfinpro",#N/A,FALSE,"Tran"}</definedName>
    <definedName name="jj" localSheetId="98" hidden="1">{"Riqfin97",#N/A,FALSE,"Tran";"Riqfinpro",#N/A,FALSE,"Tran"}</definedName>
    <definedName name="jj" localSheetId="99" hidden="1">{"Riqfin97",#N/A,FALSE,"Tran";"Riqfinpro",#N/A,FALSE,"Tran"}</definedName>
    <definedName name="jj" localSheetId="100" hidden="1">{"Riqfin97",#N/A,FALSE,"Tran";"Riqfinpro",#N/A,FALSE,"Tran"}</definedName>
    <definedName name="jj" localSheetId="101" hidden="1">{"Riqfin97",#N/A,FALSE,"Tran";"Riqfinpro",#N/A,FALSE,"Tran"}</definedName>
    <definedName name="jj" localSheetId="108" hidden="1">{"Riqfin97",#N/A,FALSE,"Tran";"Riqfinpro",#N/A,FALSE,"Tran"}</definedName>
    <definedName name="jj" localSheetId="115" hidden="1">{"Riqfin97",#N/A,FALSE,"Tran";"Riqfinpro",#N/A,FALSE,"Tran"}</definedName>
    <definedName name="jj" localSheetId="5" hidden="1">{"Riqfin97",#N/A,FALSE,"Tran";"Riqfinpro",#N/A,FALSE,"Tran"}</definedName>
    <definedName name="jj" localSheetId="7" hidden="1">{"Riqfin97",#N/A,FALSE,"Tran";"Riqfinpro",#N/A,FALSE,"Tran"}</definedName>
    <definedName name="jj" localSheetId="8" hidden="1">{"Riqfin97",#N/A,FALSE,"Tran";"Riqfinpro",#N/A,FALSE,"Tran"}</definedName>
    <definedName name="jj" localSheetId="9" hidden="1">{"Riqfin97",#N/A,FALSE,"Tran";"Riqfinpro",#N/A,FALSE,"Tran"}</definedName>
    <definedName name="jj" localSheetId="10" hidden="1">{"Riqfin97",#N/A,FALSE,"Tran";"Riqfinpro",#N/A,FALSE,"Tran"}</definedName>
    <definedName name="jj" localSheetId="14" hidden="1">{"Riqfin97",#N/A,FALSE,"Tran";"Riqfinpro",#N/A,FALSE,"Tran"}</definedName>
    <definedName name="jj" localSheetId="19" hidden="1">{"Riqfin97",#N/A,FALSE,"Tran";"Riqfinpro",#N/A,FALSE,"Tran"}</definedName>
    <definedName name="jj" localSheetId="21" hidden="1">{"Riqfin97",#N/A,FALSE,"Tran";"Riqfinpro",#N/A,FALSE,"Tran"}</definedName>
    <definedName name="jj" localSheetId="23" hidden="1">{"Riqfin97",#N/A,FALSE,"Tran";"Riqfinpro",#N/A,FALSE,"Tran"}</definedName>
    <definedName name="jj" localSheetId="24" hidden="1">{"Riqfin97",#N/A,FALSE,"Tran";"Riqfinpro",#N/A,FALSE,"Tran"}</definedName>
    <definedName name="jj" localSheetId="25" hidden="1">{"Riqfin97",#N/A,FALSE,"Tran";"Riqfinpro",#N/A,FALSE,"Tran"}</definedName>
    <definedName name="jj" localSheetId="27" hidden="1">{"Riqfin97",#N/A,FALSE,"Tran";"Riqfinpro",#N/A,FALSE,"Tran"}</definedName>
    <definedName name="jj" localSheetId="30" hidden="1">{"Riqfin97",#N/A,FALSE,"Tran";"Riqfinpro",#N/A,FALSE,"Tran"}</definedName>
    <definedName name="jj" localSheetId="33" hidden="1">{"Riqfin97",#N/A,FALSE,"Tran";"Riqfinpro",#N/A,FALSE,"Tran"}</definedName>
    <definedName name="jj" localSheetId="34" hidden="1">{"Riqfin97",#N/A,FALSE,"Tran";"Riqfinpro",#N/A,FALSE,"Tran"}</definedName>
    <definedName name="jj" localSheetId="35" hidden="1">{"Riqfin97",#N/A,FALSE,"Tran";"Riqfinpro",#N/A,FALSE,"Tran"}</definedName>
    <definedName name="jj" localSheetId="36" hidden="1">{"Riqfin97",#N/A,FALSE,"Tran";"Riqfinpro",#N/A,FALSE,"Tran"}</definedName>
    <definedName name="jj" localSheetId="37" hidden="1">{"Riqfin97",#N/A,FALSE,"Tran";"Riqfinpro",#N/A,FALSE,"Tran"}</definedName>
    <definedName name="jj" localSheetId="38" hidden="1">{"Riqfin97",#N/A,FALSE,"Tran";"Riqfinpro",#N/A,FALSE,"Tran"}</definedName>
    <definedName name="jj" localSheetId="39" hidden="1">{"Riqfin97",#N/A,FALSE,"Tran";"Riqfinpro",#N/A,FALSE,"Tran"}</definedName>
    <definedName name="jj" localSheetId="40" hidden="1">{"Riqfin97",#N/A,FALSE,"Tran";"Riqfinpro",#N/A,FALSE,"Tran"}</definedName>
    <definedName name="jj" localSheetId="44" hidden="1">{"Riqfin97",#N/A,FALSE,"Tran";"Riqfinpro",#N/A,FALSE,"Tran"}</definedName>
    <definedName name="jj" hidden="1">{"Riqfin97",#N/A,FALSE,"Tran";"Riqfinpro",#N/A,FALSE,"Tran"}</definedName>
    <definedName name="jjj" localSheetId="49" hidden="1">[35]M!#REF!</definedName>
    <definedName name="jjj" localSheetId="50" hidden="1">[35]M!#REF!</definedName>
    <definedName name="jjj" localSheetId="51" hidden="1">[35]M!#REF!</definedName>
    <definedName name="jjj" localSheetId="53" hidden="1">[35]M!#REF!</definedName>
    <definedName name="jjj" localSheetId="54" hidden="1">[35]M!#REF!</definedName>
    <definedName name="jjj" localSheetId="55" hidden="1">[35]M!#REF!</definedName>
    <definedName name="jjj" localSheetId="56" hidden="1">[35]M!#REF!</definedName>
    <definedName name="jjj" localSheetId="57" hidden="1">[35]M!#REF!</definedName>
    <definedName name="jjj" localSheetId="58" hidden="1">[35]M!#REF!</definedName>
    <definedName name="jjj" localSheetId="59" hidden="1">[35]M!#REF!</definedName>
    <definedName name="jjj" localSheetId="62" hidden="1">[35]M!#REF!</definedName>
    <definedName name="jjj" localSheetId="70" hidden="1">[35]M!#REF!</definedName>
    <definedName name="jjj" localSheetId="75" hidden="1">[35]M!#REF!</definedName>
    <definedName name="jjj" localSheetId="76" hidden="1">[35]M!#REF!</definedName>
    <definedName name="jjj" localSheetId="79" hidden="1">[35]M!#REF!</definedName>
    <definedName name="jjj" localSheetId="80" hidden="1">[35]M!#REF!</definedName>
    <definedName name="jjj" localSheetId="81" hidden="1">[35]M!#REF!</definedName>
    <definedName name="jjj" localSheetId="83" hidden="1">[35]M!#REF!</definedName>
    <definedName name="jjj" localSheetId="87" hidden="1">[35]M!#REF!</definedName>
    <definedName name="jjj" localSheetId="95" hidden="1">[35]M!#REF!</definedName>
    <definedName name="jjj" localSheetId="97" hidden="1">[35]M!#REF!</definedName>
    <definedName name="jjj" localSheetId="98" hidden="1">[35]M!#REF!</definedName>
    <definedName name="jjj" localSheetId="99" hidden="1">[35]M!#REF!</definedName>
    <definedName name="jjj" localSheetId="100" hidden="1">[35]M!#REF!</definedName>
    <definedName name="jjj" localSheetId="101" hidden="1">[35]M!#REF!</definedName>
    <definedName name="jjj" localSheetId="108" hidden="1">[35]M!#REF!</definedName>
    <definedName name="jjj" localSheetId="5" hidden="1">[35]M!#REF!</definedName>
    <definedName name="jjj" localSheetId="6" hidden="1">[35]M!#REF!</definedName>
    <definedName name="jjj" localSheetId="7" hidden="1">[35]M!#REF!</definedName>
    <definedName name="jjj" localSheetId="8" hidden="1">[35]M!#REF!</definedName>
    <definedName name="jjj" localSheetId="9" hidden="1">[35]M!#REF!</definedName>
    <definedName name="jjj" localSheetId="14" hidden="1">[35]M!#REF!</definedName>
    <definedName name="jjj" localSheetId="15" hidden="1">[35]M!#REF!</definedName>
    <definedName name="jjj" localSheetId="16" hidden="1">[35]M!#REF!</definedName>
    <definedName name="jjj" localSheetId="17" hidden="1">[35]M!#REF!</definedName>
    <definedName name="jjj" localSheetId="19" hidden="1">[35]M!#REF!</definedName>
    <definedName name="jjj" localSheetId="21" hidden="1">[35]M!#REF!</definedName>
    <definedName name="jjj" localSheetId="23" hidden="1">[35]M!#REF!</definedName>
    <definedName name="jjj" localSheetId="24" hidden="1">[35]M!#REF!</definedName>
    <definedName name="jjj" localSheetId="25" hidden="1">[35]M!#REF!</definedName>
    <definedName name="jjj" localSheetId="27" hidden="1">[35]M!#REF!</definedName>
    <definedName name="jjj" localSheetId="30" hidden="1">[35]M!#REF!</definedName>
    <definedName name="jjj" localSheetId="33" hidden="1">[35]M!#REF!</definedName>
    <definedName name="jjj" localSheetId="34" hidden="1">[35]M!#REF!</definedName>
    <definedName name="jjj" localSheetId="35" hidden="1">[35]M!#REF!</definedName>
    <definedName name="jjj" localSheetId="36" hidden="1">[35]M!#REF!</definedName>
    <definedName name="jjj" localSheetId="37" hidden="1">[35]M!#REF!</definedName>
    <definedName name="jjj" localSheetId="38" hidden="1">[35]M!#REF!</definedName>
    <definedName name="jjj" localSheetId="39" hidden="1">[35]M!#REF!</definedName>
    <definedName name="jjj" localSheetId="40" hidden="1">[35]M!#REF!</definedName>
    <definedName name="jjj" localSheetId="44" hidden="1">[35]M!#REF!</definedName>
    <definedName name="jjj" hidden="1">[35]M!#REF!</definedName>
    <definedName name="jjjjjj" localSheetId="49" hidden="1">'[28]J(Priv.Cap)'!#REF!</definedName>
    <definedName name="jjjjjj" localSheetId="50" hidden="1">'[28]J(Priv.Cap)'!#REF!</definedName>
    <definedName name="jjjjjj" localSheetId="51" hidden="1">'[28]J(Priv.Cap)'!#REF!</definedName>
    <definedName name="jjjjjj" localSheetId="53" hidden="1">'[28]J(Priv.Cap)'!#REF!</definedName>
    <definedName name="jjjjjj" localSheetId="54" hidden="1">'[28]J(Priv.Cap)'!#REF!</definedName>
    <definedName name="jjjjjj" localSheetId="55" hidden="1">'[28]J(Priv.Cap)'!#REF!</definedName>
    <definedName name="jjjjjj" localSheetId="56" hidden="1">'[28]J(Priv.Cap)'!#REF!</definedName>
    <definedName name="jjjjjj" localSheetId="57" hidden="1">'[28]J(Priv.Cap)'!#REF!</definedName>
    <definedName name="jjjjjj" localSheetId="58" hidden="1">'[28]J(Priv.Cap)'!#REF!</definedName>
    <definedName name="jjjjjj" localSheetId="59" hidden="1">'[28]J(Priv.Cap)'!#REF!</definedName>
    <definedName name="jjjjjj" localSheetId="62" hidden="1">'[28]J(Priv.Cap)'!#REF!</definedName>
    <definedName name="jjjjjj" localSheetId="70" hidden="1">'[28]J(Priv.Cap)'!#REF!</definedName>
    <definedName name="jjjjjj" localSheetId="75" hidden="1">'[28]J(Priv.Cap)'!#REF!</definedName>
    <definedName name="jjjjjj" localSheetId="76" hidden="1">'[28]J(Priv.Cap)'!#REF!</definedName>
    <definedName name="jjjjjj" localSheetId="79" hidden="1">'[28]J(Priv.Cap)'!#REF!</definedName>
    <definedName name="jjjjjj" localSheetId="80" hidden="1">'[28]J(Priv.Cap)'!#REF!</definedName>
    <definedName name="jjjjjj" localSheetId="81" hidden="1">'[28]J(Priv.Cap)'!#REF!</definedName>
    <definedName name="jjjjjj" localSheetId="83" hidden="1">'[28]J(Priv.Cap)'!#REF!</definedName>
    <definedName name="jjjjjj" localSheetId="87" hidden="1">'[28]J(Priv.Cap)'!#REF!</definedName>
    <definedName name="jjjjjj" localSheetId="95" hidden="1">'[28]J(Priv.Cap)'!#REF!</definedName>
    <definedName name="jjjjjj" localSheetId="97" hidden="1">'[28]J(Priv.Cap)'!#REF!</definedName>
    <definedName name="jjjjjj" localSheetId="98" hidden="1">'[28]J(Priv.Cap)'!#REF!</definedName>
    <definedName name="jjjjjj" localSheetId="99" hidden="1">'[28]J(Priv.Cap)'!#REF!</definedName>
    <definedName name="jjjjjj" localSheetId="100" hidden="1">'[28]J(Priv.Cap)'!#REF!</definedName>
    <definedName name="jjjjjj" localSheetId="101" hidden="1">'[28]J(Priv.Cap)'!#REF!</definedName>
    <definedName name="jjjjjj" localSheetId="108" hidden="1">'[28]J(Priv.Cap)'!#REF!</definedName>
    <definedName name="jjjjjj" localSheetId="5" hidden="1">'[28]J(Priv.Cap)'!#REF!</definedName>
    <definedName name="jjjjjj" localSheetId="6" hidden="1">'[28]J(Priv.Cap)'!#REF!</definedName>
    <definedName name="jjjjjj" localSheetId="7" hidden="1">'[28]J(Priv.Cap)'!#REF!</definedName>
    <definedName name="jjjjjj" localSheetId="8" hidden="1">'[28]J(Priv.Cap)'!#REF!</definedName>
    <definedName name="jjjjjj" localSheetId="9" hidden="1">'[28]J(Priv.Cap)'!#REF!</definedName>
    <definedName name="jjjjjj" localSheetId="14" hidden="1">'[28]J(Priv.Cap)'!#REF!</definedName>
    <definedName name="jjjjjj" localSheetId="15" hidden="1">'[28]J(Priv.Cap)'!#REF!</definedName>
    <definedName name="jjjjjj" localSheetId="16" hidden="1">'[28]J(Priv.Cap)'!#REF!</definedName>
    <definedName name="jjjjjj" localSheetId="17" hidden="1">'[28]J(Priv.Cap)'!#REF!</definedName>
    <definedName name="jjjjjj" localSheetId="19" hidden="1">'[28]J(Priv.Cap)'!#REF!</definedName>
    <definedName name="jjjjjj" localSheetId="21" hidden="1">'[28]J(Priv.Cap)'!#REF!</definedName>
    <definedName name="jjjjjj" localSheetId="23" hidden="1">'[28]J(Priv.Cap)'!#REF!</definedName>
    <definedName name="jjjjjj" localSheetId="24" hidden="1">'[28]J(Priv.Cap)'!#REF!</definedName>
    <definedName name="jjjjjj" localSheetId="25" hidden="1">'[28]J(Priv.Cap)'!#REF!</definedName>
    <definedName name="jjjjjj" localSheetId="27" hidden="1">'[28]J(Priv.Cap)'!#REF!</definedName>
    <definedName name="jjjjjj" localSheetId="30" hidden="1">'[28]J(Priv.Cap)'!#REF!</definedName>
    <definedName name="jjjjjj" localSheetId="33" hidden="1">'[28]J(Priv.Cap)'!#REF!</definedName>
    <definedName name="jjjjjj" localSheetId="34" hidden="1">'[28]J(Priv.Cap)'!#REF!</definedName>
    <definedName name="jjjjjj" localSheetId="35" hidden="1">'[28]J(Priv.Cap)'!#REF!</definedName>
    <definedName name="jjjjjj" localSheetId="36" hidden="1">'[28]J(Priv.Cap)'!#REF!</definedName>
    <definedName name="jjjjjj" localSheetId="37" hidden="1">'[28]J(Priv.Cap)'!#REF!</definedName>
    <definedName name="jjjjjj" localSheetId="38" hidden="1">'[28]J(Priv.Cap)'!#REF!</definedName>
    <definedName name="jjjjjj" localSheetId="39" hidden="1">'[28]J(Priv.Cap)'!#REF!</definedName>
    <definedName name="jjjjjj" localSheetId="40" hidden="1">'[28]J(Priv.Cap)'!#REF!</definedName>
    <definedName name="jjjjjj" localSheetId="44" hidden="1">'[28]J(Priv.Cap)'!#REF!</definedName>
    <definedName name="jjjjjj" hidden="1">'[28]J(Priv.Cap)'!#REF!</definedName>
    <definedName name="kjg" localSheetId="50" hidden="1">{#N/A,#N/A,FALSE,"SimInp1";#N/A,#N/A,FALSE,"SimInp2";#N/A,#N/A,FALSE,"SimOut1";#N/A,#N/A,FALSE,"SimOut2";#N/A,#N/A,FALSE,"SimOut3";#N/A,#N/A,FALSE,"SimOut4";#N/A,#N/A,FALSE,"SimOut5"}</definedName>
    <definedName name="kjg" localSheetId="55" hidden="1">{#N/A,#N/A,FALSE,"SimInp1";#N/A,#N/A,FALSE,"SimInp2";#N/A,#N/A,FALSE,"SimOut1";#N/A,#N/A,FALSE,"SimOut2";#N/A,#N/A,FALSE,"SimOut3";#N/A,#N/A,FALSE,"SimOut4";#N/A,#N/A,FALSE,"SimOut5"}</definedName>
    <definedName name="kjg" localSheetId="56" hidden="1">{#N/A,#N/A,FALSE,"SimInp1";#N/A,#N/A,FALSE,"SimInp2";#N/A,#N/A,FALSE,"SimOut1";#N/A,#N/A,FALSE,"SimOut2";#N/A,#N/A,FALSE,"SimOut3";#N/A,#N/A,FALSE,"SimOut4";#N/A,#N/A,FALSE,"SimOut5"}</definedName>
    <definedName name="kjg" localSheetId="57" hidden="1">{#N/A,#N/A,FALSE,"SimInp1";#N/A,#N/A,FALSE,"SimInp2";#N/A,#N/A,FALSE,"SimOut1";#N/A,#N/A,FALSE,"SimOut2";#N/A,#N/A,FALSE,"SimOut3";#N/A,#N/A,FALSE,"SimOut4";#N/A,#N/A,FALSE,"SimOut5"}</definedName>
    <definedName name="kjg" localSheetId="58" hidden="1">{#N/A,#N/A,FALSE,"SimInp1";#N/A,#N/A,FALSE,"SimInp2";#N/A,#N/A,FALSE,"SimOut1";#N/A,#N/A,FALSE,"SimOut2";#N/A,#N/A,FALSE,"SimOut3";#N/A,#N/A,FALSE,"SimOut4";#N/A,#N/A,FALSE,"SimOut5"}</definedName>
    <definedName name="kjg" localSheetId="59" hidden="1">{#N/A,#N/A,FALSE,"SimInp1";#N/A,#N/A,FALSE,"SimInp2";#N/A,#N/A,FALSE,"SimOut1";#N/A,#N/A,FALSE,"SimOut2";#N/A,#N/A,FALSE,"SimOut3";#N/A,#N/A,FALSE,"SimOut4";#N/A,#N/A,FALSE,"SimOut5"}</definedName>
    <definedName name="kjg" localSheetId="62" hidden="1">{#N/A,#N/A,FALSE,"SimInp1";#N/A,#N/A,FALSE,"SimInp2";#N/A,#N/A,FALSE,"SimOut1";#N/A,#N/A,FALSE,"SimOut2";#N/A,#N/A,FALSE,"SimOut3";#N/A,#N/A,FALSE,"SimOut4";#N/A,#N/A,FALSE,"SimOut5"}</definedName>
    <definedName name="kjg" localSheetId="70" hidden="1">{#N/A,#N/A,FALSE,"SimInp1";#N/A,#N/A,FALSE,"SimInp2";#N/A,#N/A,FALSE,"SimOut1";#N/A,#N/A,FALSE,"SimOut2";#N/A,#N/A,FALSE,"SimOut3";#N/A,#N/A,FALSE,"SimOut4";#N/A,#N/A,FALSE,"SimOut5"}</definedName>
    <definedName name="kjg" localSheetId="71" hidden="1">{#N/A,#N/A,FALSE,"SimInp1";#N/A,#N/A,FALSE,"SimInp2";#N/A,#N/A,FALSE,"SimOut1";#N/A,#N/A,FALSE,"SimOut2";#N/A,#N/A,FALSE,"SimOut3";#N/A,#N/A,FALSE,"SimOut4";#N/A,#N/A,FALSE,"SimOut5"}</definedName>
    <definedName name="kjg" localSheetId="72" hidden="1">{#N/A,#N/A,FALSE,"SimInp1";#N/A,#N/A,FALSE,"SimInp2";#N/A,#N/A,FALSE,"SimOut1";#N/A,#N/A,FALSE,"SimOut2";#N/A,#N/A,FALSE,"SimOut3";#N/A,#N/A,FALSE,"SimOut4";#N/A,#N/A,FALSE,"SimOut5"}</definedName>
    <definedName name="kjg" localSheetId="73" hidden="1">{#N/A,#N/A,FALSE,"SimInp1";#N/A,#N/A,FALSE,"SimInp2";#N/A,#N/A,FALSE,"SimOut1";#N/A,#N/A,FALSE,"SimOut2";#N/A,#N/A,FALSE,"SimOut3";#N/A,#N/A,FALSE,"SimOut4";#N/A,#N/A,FALSE,"SimOut5"}</definedName>
    <definedName name="kjg" localSheetId="74" hidden="1">{#N/A,#N/A,FALSE,"SimInp1";#N/A,#N/A,FALSE,"SimInp2";#N/A,#N/A,FALSE,"SimOut1";#N/A,#N/A,FALSE,"SimOut2";#N/A,#N/A,FALSE,"SimOut3";#N/A,#N/A,FALSE,"SimOut4";#N/A,#N/A,FALSE,"SimOut5"}</definedName>
    <definedName name="kjg" localSheetId="75" hidden="1">{#N/A,#N/A,FALSE,"SimInp1";#N/A,#N/A,FALSE,"SimInp2";#N/A,#N/A,FALSE,"SimOut1";#N/A,#N/A,FALSE,"SimOut2";#N/A,#N/A,FALSE,"SimOut3";#N/A,#N/A,FALSE,"SimOut4";#N/A,#N/A,FALSE,"SimOut5"}</definedName>
    <definedName name="kjg" localSheetId="76" hidden="1">{#N/A,#N/A,FALSE,"SimInp1";#N/A,#N/A,FALSE,"SimInp2";#N/A,#N/A,FALSE,"SimOut1";#N/A,#N/A,FALSE,"SimOut2";#N/A,#N/A,FALSE,"SimOut3";#N/A,#N/A,FALSE,"SimOut4";#N/A,#N/A,FALSE,"SimOut5"}</definedName>
    <definedName name="kjg" localSheetId="79" hidden="1">{#N/A,#N/A,FALSE,"SimInp1";#N/A,#N/A,FALSE,"SimInp2";#N/A,#N/A,FALSE,"SimOut1";#N/A,#N/A,FALSE,"SimOut2";#N/A,#N/A,FALSE,"SimOut3";#N/A,#N/A,FALSE,"SimOut4";#N/A,#N/A,FALSE,"SimOut5"}</definedName>
    <definedName name="kjg" localSheetId="80" hidden="1">{#N/A,#N/A,FALSE,"SimInp1";#N/A,#N/A,FALSE,"SimInp2";#N/A,#N/A,FALSE,"SimOut1";#N/A,#N/A,FALSE,"SimOut2";#N/A,#N/A,FALSE,"SimOut3";#N/A,#N/A,FALSE,"SimOut4";#N/A,#N/A,FALSE,"SimOut5"}</definedName>
    <definedName name="kjg" localSheetId="81" hidden="1">{#N/A,#N/A,FALSE,"SimInp1";#N/A,#N/A,FALSE,"SimInp2";#N/A,#N/A,FALSE,"SimOut1";#N/A,#N/A,FALSE,"SimOut2";#N/A,#N/A,FALSE,"SimOut3";#N/A,#N/A,FALSE,"SimOut4";#N/A,#N/A,FALSE,"SimOut5"}</definedName>
    <definedName name="kjg" localSheetId="83" hidden="1">{#N/A,#N/A,FALSE,"SimInp1";#N/A,#N/A,FALSE,"SimInp2";#N/A,#N/A,FALSE,"SimOut1";#N/A,#N/A,FALSE,"SimOut2";#N/A,#N/A,FALSE,"SimOut3";#N/A,#N/A,FALSE,"SimOut4";#N/A,#N/A,FALSE,"SimOut5"}</definedName>
    <definedName name="kjg" localSheetId="97" hidden="1">{#N/A,#N/A,FALSE,"SimInp1";#N/A,#N/A,FALSE,"SimInp2";#N/A,#N/A,FALSE,"SimOut1";#N/A,#N/A,FALSE,"SimOut2";#N/A,#N/A,FALSE,"SimOut3";#N/A,#N/A,FALSE,"SimOut4";#N/A,#N/A,FALSE,"SimOut5"}</definedName>
    <definedName name="kjg" localSheetId="98" hidden="1">{#N/A,#N/A,FALSE,"SimInp1";#N/A,#N/A,FALSE,"SimInp2";#N/A,#N/A,FALSE,"SimOut1";#N/A,#N/A,FALSE,"SimOut2";#N/A,#N/A,FALSE,"SimOut3";#N/A,#N/A,FALSE,"SimOut4";#N/A,#N/A,FALSE,"SimOut5"}</definedName>
    <definedName name="kjg" localSheetId="99" hidden="1">{#N/A,#N/A,FALSE,"SimInp1";#N/A,#N/A,FALSE,"SimInp2";#N/A,#N/A,FALSE,"SimOut1";#N/A,#N/A,FALSE,"SimOut2";#N/A,#N/A,FALSE,"SimOut3";#N/A,#N/A,FALSE,"SimOut4";#N/A,#N/A,FALSE,"SimOut5"}</definedName>
    <definedName name="kjg" localSheetId="100" hidden="1">{#N/A,#N/A,FALSE,"SimInp1";#N/A,#N/A,FALSE,"SimInp2";#N/A,#N/A,FALSE,"SimOut1";#N/A,#N/A,FALSE,"SimOut2";#N/A,#N/A,FALSE,"SimOut3";#N/A,#N/A,FALSE,"SimOut4";#N/A,#N/A,FALSE,"SimOut5"}</definedName>
    <definedName name="kjg" localSheetId="101" hidden="1">{#N/A,#N/A,FALSE,"SimInp1";#N/A,#N/A,FALSE,"SimInp2";#N/A,#N/A,FALSE,"SimOut1";#N/A,#N/A,FALSE,"SimOut2";#N/A,#N/A,FALSE,"SimOut3";#N/A,#N/A,FALSE,"SimOut4";#N/A,#N/A,FALSE,"SimOut5"}</definedName>
    <definedName name="kjg" localSheetId="108" hidden="1">{#N/A,#N/A,FALSE,"SimInp1";#N/A,#N/A,FALSE,"SimInp2";#N/A,#N/A,FALSE,"SimOut1";#N/A,#N/A,FALSE,"SimOut2";#N/A,#N/A,FALSE,"SimOut3";#N/A,#N/A,FALSE,"SimOut4";#N/A,#N/A,FALSE,"SimOut5"}</definedName>
    <definedName name="kjg" localSheetId="115" hidden="1">{#N/A,#N/A,FALSE,"SimInp1";#N/A,#N/A,FALSE,"SimInp2";#N/A,#N/A,FALSE,"SimOut1";#N/A,#N/A,FALSE,"SimOut2";#N/A,#N/A,FALSE,"SimOut3";#N/A,#N/A,FALSE,"SimOut4";#N/A,#N/A,FALSE,"SimOut5"}</definedName>
    <definedName name="kjg" localSheetId="5" hidden="1">{#N/A,#N/A,FALSE,"SimInp1";#N/A,#N/A,FALSE,"SimInp2";#N/A,#N/A,FALSE,"SimOut1";#N/A,#N/A,FALSE,"SimOut2";#N/A,#N/A,FALSE,"SimOut3";#N/A,#N/A,FALSE,"SimOut4";#N/A,#N/A,FALSE,"SimOut5"}</definedName>
    <definedName name="kjg" localSheetId="7" hidden="1">{#N/A,#N/A,FALSE,"SimInp1";#N/A,#N/A,FALSE,"SimInp2";#N/A,#N/A,FALSE,"SimOut1";#N/A,#N/A,FALSE,"SimOut2";#N/A,#N/A,FALSE,"SimOut3";#N/A,#N/A,FALSE,"SimOut4";#N/A,#N/A,FALSE,"SimOut5"}</definedName>
    <definedName name="kjg" localSheetId="8" hidden="1">{#N/A,#N/A,FALSE,"SimInp1";#N/A,#N/A,FALSE,"SimInp2";#N/A,#N/A,FALSE,"SimOut1";#N/A,#N/A,FALSE,"SimOut2";#N/A,#N/A,FALSE,"SimOut3";#N/A,#N/A,FALSE,"SimOut4";#N/A,#N/A,FALSE,"SimOut5"}</definedName>
    <definedName name="kjg" localSheetId="9" hidden="1">{#N/A,#N/A,FALSE,"SimInp1";#N/A,#N/A,FALSE,"SimInp2";#N/A,#N/A,FALSE,"SimOut1";#N/A,#N/A,FALSE,"SimOut2";#N/A,#N/A,FALSE,"SimOut3";#N/A,#N/A,FALSE,"SimOut4";#N/A,#N/A,FALSE,"SimOut5"}</definedName>
    <definedName name="kjg" localSheetId="10" hidden="1">{#N/A,#N/A,FALSE,"SimInp1";#N/A,#N/A,FALSE,"SimInp2";#N/A,#N/A,FALSE,"SimOut1";#N/A,#N/A,FALSE,"SimOut2";#N/A,#N/A,FALSE,"SimOut3";#N/A,#N/A,FALSE,"SimOut4";#N/A,#N/A,FALSE,"SimOut5"}</definedName>
    <definedName name="kjg" localSheetId="14" hidden="1">{#N/A,#N/A,FALSE,"SimInp1";#N/A,#N/A,FALSE,"SimInp2";#N/A,#N/A,FALSE,"SimOut1";#N/A,#N/A,FALSE,"SimOut2";#N/A,#N/A,FALSE,"SimOut3";#N/A,#N/A,FALSE,"SimOut4";#N/A,#N/A,FALSE,"SimOut5"}</definedName>
    <definedName name="kjg" localSheetId="19" hidden="1">{#N/A,#N/A,FALSE,"SimInp1";#N/A,#N/A,FALSE,"SimInp2";#N/A,#N/A,FALSE,"SimOut1";#N/A,#N/A,FALSE,"SimOut2";#N/A,#N/A,FALSE,"SimOut3";#N/A,#N/A,FALSE,"SimOut4";#N/A,#N/A,FALSE,"SimOut5"}</definedName>
    <definedName name="kjg" localSheetId="21" hidden="1">{#N/A,#N/A,FALSE,"SimInp1";#N/A,#N/A,FALSE,"SimInp2";#N/A,#N/A,FALSE,"SimOut1";#N/A,#N/A,FALSE,"SimOut2";#N/A,#N/A,FALSE,"SimOut3";#N/A,#N/A,FALSE,"SimOut4";#N/A,#N/A,FALSE,"SimOut5"}</definedName>
    <definedName name="kjg" localSheetId="23" hidden="1">{#N/A,#N/A,FALSE,"SimInp1";#N/A,#N/A,FALSE,"SimInp2";#N/A,#N/A,FALSE,"SimOut1";#N/A,#N/A,FALSE,"SimOut2";#N/A,#N/A,FALSE,"SimOut3";#N/A,#N/A,FALSE,"SimOut4";#N/A,#N/A,FALSE,"SimOut5"}</definedName>
    <definedName name="kjg" localSheetId="24" hidden="1">{#N/A,#N/A,FALSE,"SimInp1";#N/A,#N/A,FALSE,"SimInp2";#N/A,#N/A,FALSE,"SimOut1";#N/A,#N/A,FALSE,"SimOut2";#N/A,#N/A,FALSE,"SimOut3";#N/A,#N/A,FALSE,"SimOut4";#N/A,#N/A,FALSE,"SimOut5"}</definedName>
    <definedName name="kjg" localSheetId="25" hidden="1">{#N/A,#N/A,FALSE,"SimInp1";#N/A,#N/A,FALSE,"SimInp2";#N/A,#N/A,FALSE,"SimOut1";#N/A,#N/A,FALSE,"SimOut2";#N/A,#N/A,FALSE,"SimOut3";#N/A,#N/A,FALSE,"SimOut4";#N/A,#N/A,FALSE,"SimOut5"}</definedName>
    <definedName name="kjg" localSheetId="27" hidden="1">{#N/A,#N/A,FALSE,"SimInp1";#N/A,#N/A,FALSE,"SimInp2";#N/A,#N/A,FALSE,"SimOut1";#N/A,#N/A,FALSE,"SimOut2";#N/A,#N/A,FALSE,"SimOut3";#N/A,#N/A,FALSE,"SimOut4";#N/A,#N/A,FALSE,"SimOut5"}</definedName>
    <definedName name="kjg" localSheetId="30" hidden="1">{#N/A,#N/A,FALSE,"SimInp1";#N/A,#N/A,FALSE,"SimInp2";#N/A,#N/A,FALSE,"SimOut1";#N/A,#N/A,FALSE,"SimOut2";#N/A,#N/A,FALSE,"SimOut3";#N/A,#N/A,FALSE,"SimOut4";#N/A,#N/A,FALSE,"SimOut5"}</definedName>
    <definedName name="kjg" localSheetId="33" hidden="1">{#N/A,#N/A,FALSE,"SimInp1";#N/A,#N/A,FALSE,"SimInp2";#N/A,#N/A,FALSE,"SimOut1";#N/A,#N/A,FALSE,"SimOut2";#N/A,#N/A,FALSE,"SimOut3";#N/A,#N/A,FALSE,"SimOut4";#N/A,#N/A,FALSE,"SimOut5"}</definedName>
    <definedName name="kjg" localSheetId="34" hidden="1">{#N/A,#N/A,FALSE,"SimInp1";#N/A,#N/A,FALSE,"SimInp2";#N/A,#N/A,FALSE,"SimOut1";#N/A,#N/A,FALSE,"SimOut2";#N/A,#N/A,FALSE,"SimOut3";#N/A,#N/A,FALSE,"SimOut4";#N/A,#N/A,FALSE,"SimOut5"}</definedName>
    <definedName name="kjg" localSheetId="35" hidden="1">{#N/A,#N/A,FALSE,"SimInp1";#N/A,#N/A,FALSE,"SimInp2";#N/A,#N/A,FALSE,"SimOut1";#N/A,#N/A,FALSE,"SimOut2";#N/A,#N/A,FALSE,"SimOut3";#N/A,#N/A,FALSE,"SimOut4";#N/A,#N/A,FALSE,"SimOut5"}</definedName>
    <definedName name="kjg" localSheetId="36" hidden="1">{#N/A,#N/A,FALSE,"SimInp1";#N/A,#N/A,FALSE,"SimInp2";#N/A,#N/A,FALSE,"SimOut1";#N/A,#N/A,FALSE,"SimOut2";#N/A,#N/A,FALSE,"SimOut3";#N/A,#N/A,FALSE,"SimOut4";#N/A,#N/A,FALSE,"SimOut5"}</definedName>
    <definedName name="kjg" localSheetId="37" hidden="1">{#N/A,#N/A,FALSE,"SimInp1";#N/A,#N/A,FALSE,"SimInp2";#N/A,#N/A,FALSE,"SimOut1";#N/A,#N/A,FALSE,"SimOut2";#N/A,#N/A,FALSE,"SimOut3";#N/A,#N/A,FALSE,"SimOut4";#N/A,#N/A,FALSE,"SimOut5"}</definedName>
    <definedName name="kjg" localSheetId="38" hidden="1">{#N/A,#N/A,FALSE,"SimInp1";#N/A,#N/A,FALSE,"SimInp2";#N/A,#N/A,FALSE,"SimOut1";#N/A,#N/A,FALSE,"SimOut2";#N/A,#N/A,FALSE,"SimOut3";#N/A,#N/A,FALSE,"SimOut4";#N/A,#N/A,FALSE,"SimOut5"}</definedName>
    <definedName name="kjg" localSheetId="39" hidden="1">{#N/A,#N/A,FALSE,"SimInp1";#N/A,#N/A,FALSE,"SimInp2";#N/A,#N/A,FALSE,"SimOut1";#N/A,#N/A,FALSE,"SimOut2";#N/A,#N/A,FALSE,"SimOut3";#N/A,#N/A,FALSE,"SimOut4";#N/A,#N/A,FALSE,"SimOut5"}</definedName>
    <definedName name="kjg" localSheetId="40" hidden="1">{#N/A,#N/A,FALSE,"SimInp1";#N/A,#N/A,FALSE,"SimInp2";#N/A,#N/A,FALSE,"SimOut1";#N/A,#N/A,FALSE,"SimOut2";#N/A,#N/A,FALSE,"SimOut3";#N/A,#N/A,FALSE,"SimOut4";#N/A,#N/A,FALSE,"SimOut5"}</definedName>
    <definedName name="kjg" hidden="1">{#N/A,#N/A,FALSE,"SimInp1";#N/A,#N/A,FALSE,"SimInp2";#N/A,#N/A,FALSE,"SimOut1";#N/A,#N/A,FALSE,"SimOut2";#N/A,#N/A,FALSE,"SimOut3";#N/A,#N/A,FALSE,"SimOut4";#N/A,#N/A,FALSE,"SimOut5"}</definedName>
    <definedName name="kjhg" localSheetId="50" hidden="1">{"BOP_TAB",#N/A,FALSE,"N";"MIDTERM_TAB",#N/A,FALSE,"O";"FUND_CRED",#N/A,FALSE,"P";"DEBT_TAB1",#N/A,FALSE,"Q";"DEBT_TAB2",#N/A,FALSE,"Q";"FORFIN_TAB1",#N/A,FALSE,"R";"FORFIN_TAB2",#N/A,FALSE,"R";"BOP_ANALY",#N/A,FALSE,"U"}</definedName>
    <definedName name="kjhg" localSheetId="55" hidden="1">{"BOP_TAB",#N/A,FALSE,"N";"MIDTERM_TAB",#N/A,FALSE,"O";"FUND_CRED",#N/A,FALSE,"P";"DEBT_TAB1",#N/A,FALSE,"Q";"DEBT_TAB2",#N/A,FALSE,"Q";"FORFIN_TAB1",#N/A,FALSE,"R";"FORFIN_TAB2",#N/A,FALSE,"R";"BOP_ANALY",#N/A,FALSE,"U"}</definedName>
    <definedName name="kjhg" localSheetId="56" hidden="1">{"BOP_TAB",#N/A,FALSE,"N";"MIDTERM_TAB",#N/A,FALSE,"O";"FUND_CRED",#N/A,FALSE,"P";"DEBT_TAB1",#N/A,FALSE,"Q";"DEBT_TAB2",#N/A,FALSE,"Q";"FORFIN_TAB1",#N/A,FALSE,"R";"FORFIN_TAB2",#N/A,FALSE,"R";"BOP_ANALY",#N/A,FALSE,"U"}</definedName>
    <definedName name="kjhg" localSheetId="57" hidden="1">{"BOP_TAB",#N/A,FALSE,"N";"MIDTERM_TAB",#N/A,FALSE,"O";"FUND_CRED",#N/A,FALSE,"P";"DEBT_TAB1",#N/A,FALSE,"Q";"DEBT_TAB2",#N/A,FALSE,"Q";"FORFIN_TAB1",#N/A,FALSE,"R";"FORFIN_TAB2",#N/A,FALSE,"R";"BOP_ANALY",#N/A,FALSE,"U"}</definedName>
    <definedName name="kjhg" localSheetId="58" hidden="1">{"BOP_TAB",#N/A,FALSE,"N";"MIDTERM_TAB",#N/A,FALSE,"O";"FUND_CRED",#N/A,FALSE,"P";"DEBT_TAB1",#N/A,FALSE,"Q";"DEBT_TAB2",#N/A,FALSE,"Q";"FORFIN_TAB1",#N/A,FALSE,"R";"FORFIN_TAB2",#N/A,FALSE,"R";"BOP_ANALY",#N/A,FALSE,"U"}</definedName>
    <definedName name="kjhg" localSheetId="59" hidden="1">{"BOP_TAB",#N/A,FALSE,"N";"MIDTERM_TAB",#N/A,FALSE,"O";"FUND_CRED",#N/A,FALSE,"P";"DEBT_TAB1",#N/A,FALSE,"Q";"DEBT_TAB2",#N/A,FALSE,"Q";"FORFIN_TAB1",#N/A,FALSE,"R";"FORFIN_TAB2",#N/A,FALSE,"R";"BOP_ANALY",#N/A,FALSE,"U"}</definedName>
    <definedName name="kjhg" localSheetId="62" hidden="1">{"BOP_TAB",#N/A,FALSE,"N";"MIDTERM_TAB",#N/A,FALSE,"O";"FUND_CRED",#N/A,FALSE,"P";"DEBT_TAB1",#N/A,FALSE,"Q";"DEBT_TAB2",#N/A,FALSE,"Q";"FORFIN_TAB1",#N/A,FALSE,"R";"FORFIN_TAB2",#N/A,FALSE,"R";"BOP_ANALY",#N/A,FALSE,"U"}</definedName>
    <definedName name="kjhg" localSheetId="70" hidden="1">{"BOP_TAB",#N/A,FALSE,"N";"MIDTERM_TAB",#N/A,FALSE,"O";"FUND_CRED",#N/A,FALSE,"P";"DEBT_TAB1",#N/A,FALSE,"Q";"DEBT_TAB2",#N/A,FALSE,"Q";"FORFIN_TAB1",#N/A,FALSE,"R";"FORFIN_TAB2",#N/A,FALSE,"R";"BOP_ANALY",#N/A,FALSE,"U"}</definedName>
    <definedName name="kjhg" localSheetId="71" hidden="1">{"BOP_TAB",#N/A,FALSE,"N";"MIDTERM_TAB",#N/A,FALSE,"O";"FUND_CRED",#N/A,FALSE,"P";"DEBT_TAB1",#N/A,FALSE,"Q";"DEBT_TAB2",#N/A,FALSE,"Q";"FORFIN_TAB1",#N/A,FALSE,"R";"FORFIN_TAB2",#N/A,FALSE,"R";"BOP_ANALY",#N/A,FALSE,"U"}</definedName>
    <definedName name="kjhg" localSheetId="72" hidden="1">{"BOP_TAB",#N/A,FALSE,"N";"MIDTERM_TAB",#N/A,FALSE,"O";"FUND_CRED",#N/A,FALSE,"P";"DEBT_TAB1",#N/A,FALSE,"Q";"DEBT_TAB2",#N/A,FALSE,"Q";"FORFIN_TAB1",#N/A,FALSE,"R";"FORFIN_TAB2",#N/A,FALSE,"R";"BOP_ANALY",#N/A,FALSE,"U"}</definedName>
    <definedName name="kjhg" localSheetId="73" hidden="1">{"BOP_TAB",#N/A,FALSE,"N";"MIDTERM_TAB",#N/A,FALSE,"O";"FUND_CRED",#N/A,FALSE,"P";"DEBT_TAB1",#N/A,FALSE,"Q";"DEBT_TAB2",#N/A,FALSE,"Q";"FORFIN_TAB1",#N/A,FALSE,"R";"FORFIN_TAB2",#N/A,FALSE,"R";"BOP_ANALY",#N/A,FALSE,"U"}</definedName>
    <definedName name="kjhg" localSheetId="74" hidden="1">{"BOP_TAB",#N/A,FALSE,"N";"MIDTERM_TAB",#N/A,FALSE,"O";"FUND_CRED",#N/A,FALSE,"P";"DEBT_TAB1",#N/A,FALSE,"Q";"DEBT_TAB2",#N/A,FALSE,"Q";"FORFIN_TAB1",#N/A,FALSE,"R";"FORFIN_TAB2",#N/A,FALSE,"R";"BOP_ANALY",#N/A,FALSE,"U"}</definedName>
    <definedName name="kjhg" localSheetId="75" hidden="1">{"BOP_TAB",#N/A,FALSE,"N";"MIDTERM_TAB",#N/A,FALSE,"O";"FUND_CRED",#N/A,FALSE,"P";"DEBT_TAB1",#N/A,FALSE,"Q";"DEBT_TAB2",#N/A,FALSE,"Q";"FORFIN_TAB1",#N/A,FALSE,"R";"FORFIN_TAB2",#N/A,FALSE,"R";"BOP_ANALY",#N/A,FALSE,"U"}</definedName>
    <definedName name="kjhg" localSheetId="76" hidden="1">{"BOP_TAB",#N/A,FALSE,"N";"MIDTERM_TAB",#N/A,FALSE,"O";"FUND_CRED",#N/A,FALSE,"P";"DEBT_TAB1",#N/A,FALSE,"Q";"DEBT_TAB2",#N/A,FALSE,"Q";"FORFIN_TAB1",#N/A,FALSE,"R";"FORFIN_TAB2",#N/A,FALSE,"R";"BOP_ANALY",#N/A,FALSE,"U"}</definedName>
    <definedName name="kjhg" localSheetId="79" hidden="1">{"BOP_TAB",#N/A,FALSE,"N";"MIDTERM_TAB",#N/A,FALSE,"O";"FUND_CRED",#N/A,FALSE,"P";"DEBT_TAB1",#N/A,FALSE,"Q";"DEBT_TAB2",#N/A,FALSE,"Q";"FORFIN_TAB1",#N/A,FALSE,"R";"FORFIN_TAB2",#N/A,FALSE,"R";"BOP_ANALY",#N/A,FALSE,"U"}</definedName>
    <definedName name="kjhg" localSheetId="80" hidden="1">{"BOP_TAB",#N/A,FALSE,"N";"MIDTERM_TAB",#N/A,FALSE,"O";"FUND_CRED",#N/A,FALSE,"P";"DEBT_TAB1",#N/A,FALSE,"Q";"DEBT_TAB2",#N/A,FALSE,"Q";"FORFIN_TAB1",#N/A,FALSE,"R";"FORFIN_TAB2",#N/A,FALSE,"R";"BOP_ANALY",#N/A,FALSE,"U"}</definedName>
    <definedName name="kjhg" localSheetId="81" hidden="1">{"BOP_TAB",#N/A,FALSE,"N";"MIDTERM_TAB",#N/A,FALSE,"O";"FUND_CRED",#N/A,FALSE,"P";"DEBT_TAB1",#N/A,FALSE,"Q";"DEBT_TAB2",#N/A,FALSE,"Q";"FORFIN_TAB1",#N/A,FALSE,"R";"FORFIN_TAB2",#N/A,FALSE,"R";"BOP_ANALY",#N/A,FALSE,"U"}</definedName>
    <definedName name="kjhg" localSheetId="83" hidden="1">{"BOP_TAB",#N/A,FALSE,"N";"MIDTERM_TAB",#N/A,FALSE,"O";"FUND_CRED",#N/A,FALSE,"P";"DEBT_TAB1",#N/A,FALSE,"Q";"DEBT_TAB2",#N/A,FALSE,"Q";"FORFIN_TAB1",#N/A,FALSE,"R";"FORFIN_TAB2",#N/A,FALSE,"R";"BOP_ANALY",#N/A,FALSE,"U"}</definedName>
    <definedName name="kjhg" localSheetId="97" hidden="1">{"BOP_TAB",#N/A,FALSE,"N";"MIDTERM_TAB",#N/A,FALSE,"O";"FUND_CRED",#N/A,FALSE,"P";"DEBT_TAB1",#N/A,FALSE,"Q";"DEBT_TAB2",#N/A,FALSE,"Q";"FORFIN_TAB1",#N/A,FALSE,"R";"FORFIN_TAB2",#N/A,FALSE,"R";"BOP_ANALY",#N/A,FALSE,"U"}</definedName>
    <definedName name="kjhg" localSheetId="98" hidden="1">{"BOP_TAB",#N/A,FALSE,"N";"MIDTERM_TAB",#N/A,FALSE,"O";"FUND_CRED",#N/A,FALSE,"P";"DEBT_TAB1",#N/A,FALSE,"Q";"DEBT_TAB2",#N/A,FALSE,"Q";"FORFIN_TAB1",#N/A,FALSE,"R";"FORFIN_TAB2",#N/A,FALSE,"R";"BOP_ANALY",#N/A,FALSE,"U"}</definedName>
    <definedName name="kjhg" localSheetId="99" hidden="1">{"BOP_TAB",#N/A,FALSE,"N";"MIDTERM_TAB",#N/A,FALSE,"O";"FUND_CRED",#N/A,FALSE,"P";"DEBT_TAB1",#N/A,FALSE,"Q";"DEBT_TAB2",#N/A,FALSE,"Q";"FORFIN_TAB1",#N/A,FALSE,"R";"FORFIN_TAB2",#N/A,FALSE,"R";"BOP_ANALY",#N/A,FALSE,"U"}</definedName>
    <definedName name="kjhg" localSheetId="100" hidden="1">{"BOP_TAB",#N/A,FALSE,"N";"MIDTERM_TAB",#N/A,FALSE,"O";"FUND_CRED",#N/A,FALSE,"P";"DEBT_TAB1",#N/A,FALSE,"Q";"DEBT_TAB2",#N/A,FALSE,"Q";"FORFIN_TAB1",#N/A,FALSE,"R";"FORFIN_TAB2",#N/A,FALSE,"R";"BOP_ANALY",#N/A,FALSE,"U"}</definedName>
    <definedName name="kjhg" localSheetId="101" hidden="1">{"BOP_TAB",#N/A,FALSE,"N";"MIDTERM_TAB",#N/A,FALSE,"O";"FUND_CRED",#N/A,FALSE,"P";"DEBT_TAB1",#N/A,FALSE,"Q";"DEBT_TAB2",#N/A,FALSE,"Q";"FORFIN_TAB1",#N/A,FALSE,"R";"FORFIN_TAB2",#N/A,FALSE,"R";"BOP_ANALY",#N/A,FALSE,"U"}</definedName>
    <definedName name="kjhg" localSheetId="108" hidden="1">{"BOP_TAB",#N/A,FALSE,"N";"MIDTERM_TAB",#N/A,FALSE,"O";"FUND_CRED",#N/A,FALSE,"P";"DEBT_TAB1",#N/A,FALSE,"Q";"DEBT_TAB2",#N/A,FALSE,"Q";"FORFIN_TAB1",#N/A,FALSE,"R";"FORFIN_TAB2",#N/A,FALSE,"R";"BOP_ANALY",#N/A,FALSE,"U"}</definedName>
    <definedName name="kjhg" localSheetId="115" hidden="1">{"BOP_TAB",#N/A,FALSE,"N";"MIDTERM_TAB",#N/A,FALSE,"O";"FUND_CRED",#N/A,FALSE,"P";"DEBT_TAB1",#N/A,FALSE,"Q";"DEBT_TAB2",#N/A,FALSE,"Q";"FORFIN_TAB1",#N/A,FALSE,"R";"FORFIN_TAB2",#N/A,FALSE,"R";"BOP_ANALY",#N/A,FALSE,"U"}</definedName>
    <definedName name="kjhg" localSheetId="5" hidden="1">{"BOP_TAB",#N/A,FALSE,"N";"MIDTERM_TAB",#N/A,FALSE,"O";"FUND_CRED",#N/A,FALSE,"P";"DEBT_TAB1",#N/A,FALSE,"Q";"DEBT_TAB2",#N/A,FALSE,"Q";"FORFIN_TAB1",#N/A,FALSE,"R";"FORFIN_TAB2",#N/A,FALSE,"R";"BOP_ANALY",#N/A,FALSE,"U"}</definedName>
    <definedName name="kjhg" localSheetId="7" hidden="1">{"BOP_TAB",#N/A,FALSE,"N";"MIDTERM_TAB",#N/A,FALSE,"O";"FUND_CRED",#N/A,FALSE,"P";"DEBT_TAB1",#N/A,FALSE,"Q";"DEBT_TAB2",#N/A,FALSE,"Q";"FORFIN_TAB1",#N/A,FALSE,"R";"FORFIN_TAB2",#N/A,FALSE,"R";"BOP_ANALY",#N/A,FALSE,"U"}</definedName>
    <definedName name="kjhg" localSheetId="8" hidden="1">{"BOP_TAB",#N/A,FALSE,"N";"MIDTERM_TAB",#N/A,FALSE,"O";"FUND_CRED",#N/A,FALSE,"P";"DEBT_TAB1",#N/A,FALSE,"Q";"DEBT_TAB2",#N/A,FALSE,"Q";"FORFIN_TAB1",#N/A,FALSE,"R";"FORFIN_TAB2",#N/A,FALSE,"R";"BOP_ANALY",#N/A,FALSE,"U"}</definedName>
    <definedName name="kjhg" localSheetId="9" hidden="1">{"BOP_TAB",#N/A,FALSE,"N";"MIDTERM_TAB",#N/A,FALSE,"O";"FUND_CRED",#N/A,FALSE,"P";"DEBT_TAB1",#N/A,FALSE,"Q";"DEBT_TAB2",#N/A,FALSE,"Q";"FORFIN_TAB1",#N/A,FALSE,"R";"FORFIN_TAB2",#N/A,FALSE,"R";"BOP_ANALY",#N/A,FALSE,"U"}</definedName>
    <definedName name="kjhg" localSheetId="10" hidden="1">{"BOP_TAB",#N/A,FALSE,"N";"MIDTERM_TAB",#N/A,FALSE,"O";"FUND_CRED",#N/A,FALSE,"P";"DEBT_TAB1",#N/A,FALSE,"Q";"DEBT_TAB2",#N/A,FALSE,"Q";"FORFIN_TAB1",#N/A,FALSE,"R";"FORFIN_TAB2",#N/A,FALSE,"R";"BOP_ANALY",#N/A,FALSE,"U"}</definedName>
    <definedName name="kjhg" localSheetId="14" hidden="1">{"BOP_TAB",#N/A,FALSE,"N";"MIDTERM_TAB",#N/A,FALSE,"O";"FUND_CRED",#N/A,FALSE,"P";"DEBT_TAB1",#N/A,FALSE,"Q";"DEBT_TAB2",#N/A,FALSE,"Q";"FORFIN_TAB1",#N/A,FALSE,"R";"FORFIN_TAB2",#N/A,FALSE,"R";"BOP_ANALY",#N/A,FALSE,"U"}</definedName>
    <definedName name="kjhg" localSheetId="19" hidden="1">{"BOP_TAB",#N/A,FALSE,"N";"MIDTERM_TAB",#N/A,FALSE,"O";"FUND_CRED",#N/A,FALSE,"P";"DEBT_TAB1",#N/A,FALSE,"Q";"DEBT_TAB2",#N/A,FALSE,"Q";"FORFIN_TAB1",#N/A,FALSE,"R";"FORFIN_TAB2",#N/A,FALSE,"R";"BOP_ANALY",#N/A,FALSE,"U"}</definedName>
    <definedName name="kjhg" localSheetId="21" hidden="1">{"BOP_TAB",#N/A,FALSE,"N";"MIDTERM_TAB",#N/A,FALSE,"O";"FUND_CRED",#N/A,FALSE,"P";"DEBT_TAB1",#N/A,FALSE,"Q";"DEBT_TAB2",#N/A,FALSE,"Q";"FORFIN_TAB1",#N/A,FALSE,"R";"FORFIN_TAB2",#N/A,FALSE,"R";"BOP_ANALY",#N/A,FALSE,"U"}</definedName>
    <definedName name="kjhg" localSheetId="23" hidden="1">{"BOP_TAB",#N/A,FALSE,"N";"MIDTERM_TAB",#N/A,FALSE,"O";"FUND_CRED",#N/A,FALSE,"P";"DEBT_TAB1",#N/A,FALSE,"Q";"DEBT_TAB2",#N/A,FALSE,"Q";"FORFIN_TAB1",#N/A,FALSE,"R";"FORFIN_TAB2",#N/A,FALSE,"R";"BOP_ANALY",#N/A,FALSE,"U"}</definedName>
    <definedName name="kjhg" localSheetId="24" hidden="1">{"BOP_TAB",#N/A,FALSE,"N";"MIDTERM_TAB",#N/A,FALSE,"O";"FUND_CRED",#N/A,FALSE,"P";"DEBT_TAB1",#N/A,FALSE,"Q";"DEBT_TAB2",#N/A,FALSE,"Q";"FORFIN_TAB1",#N/A,FALSE,"R";"FORFIN_TAB2",#N/A,FALSE,"R";"BOP_ANALY",#N/A,FALSE,"U"}</definedName>
    <definedName name="kjhg" localSheetId="25" hidden="1">{"BOP_TAB",#N/A,FALSE,"N";"MIDTERM_TAB",#N/A,FALSE,"O";"FUND_CRED",#N/A,FALSE,"P";"DEBT_TAB1",#N/A,FALSE,"Q";"DEBT_TAB2",#N/A,FALSE,"Q";"FORFIN_TAB1",#N/A,FALSE,"R";"FORFIN_TAB2",#N/A,FALSE,"R";"BOP_ANALY",#N/A,FALSE,"U"}</definedName>
    <definedName name="kjhg" localSheetId="27" hidden="1">{"BOP_TAB",#N/A,FALSE,"N";"MIDTERM_TAB",#N/A,FALSE,"O";"FUND_CRED",#N/A,FALSE,"P";"DEBT_TAB1",#N/A,FALSE,"Q";"DEBT_TAB2",#N/A,FALSE,"Q";"FORFIN_TAB1",#N/A,FALSE,"R";"FORFIN_TAB2",#N/A,FALSE,"R";"BOP_ANALY",#N/A,FALSE,"U"}</definedName>
    <definedName name="kjhg" localSheetId="30" hidden="1">{"BOP_TAB",#N/A,FALSE,"N";"MIDTERM_TAB",#N/A,FALSE,"O";"FUND_CRED",#N/A,FALSE,"P";"DEBT_TAB1",#N/A,FALSE,"Q";"DEBT_TAB2",#N/A,FALSE,"Q";"FORFIN_TAB1",#N/A,FALSE,"R";"FORFIN_TAB2",#N/A,FALSE,"R";"BOP_ANALY",#N/A,FALSE,"U"}</definedName>
    <definedName name="kjhg" localSheetId="33" hidden="1">{"BOP_TAB",#N/A,FALSE,"N";"MIDTERM_TAB",#N/A,FALSE,"O";"FUND_CRED",#N/A,FALSE,"P";"DEBT_TAB1",#N/A,FALSE,"Q";"DEBT_TAB2",#N/A,FALSE,"Q";"FORFIN_TAB1",#N/A,FALSE,"R";"FORFIN_TAB2",#N/A,FALSE,"R";"BOP_ANALY",#N/A,FALSE,"U"}</definedName>
    <definedName name="kjhg" localSheetId="34" hidden="1">{"BOP_TAB",#N/A,FALSE,"N";"MIDTERM_TAB",#N/A,FALSE,"O";"FUND_CRED",#N/A,FALSE,"P";"DEBT_TAB1",#N/A,FALSE,"Q";"DEBT_TAB2",#N/A,FALSE,"Q";"FORFIN_TAB1",#N/A,FALSE,"R";"FORFIN_TAB2",#N/A,FALSE,"R";"BOP_ANALY",#N/A,FALSE,"U"}</definedName>
    <definedName name="kjhg" localSheetId="35" hidden="1">{"BOP_TAB",#N/A,FALSE,"N";"MIDTERM_TAB",#N/A,FALSE,"O";"FUND_CRED",#N/A,FALSE,"P";"DEBT_TAB1",#N/A,FALSE,"Q";"DEBT_TAB2",#N/A,FALSE,"Q";"FORFIN_TAB1",#N/A,FALSE,"R";"FORFIN_TAB2",#N/A,FALSE,"R";"BOP_ANALY",#N/A,FALSE,"U"}</definedName>
    <definedName name="kjhg" localSheetId="36" hidden="1">{"BOP_TAB",#N/A,FALSE,"N";"MIDTERM_TAB",#N/A,FALSE,"O";"FUND_CRED",#N/A,FALSE,"P";"DEBT_TAB1",#N/A,FALSE,"Q";"DEBT_TAB2",#N/A,FALSE,"Q";"FORFIN_TAB1",#N/A,FALSE,"R";"FORFIN_TAB2",#N/A,FALSE,"R";"BOP_ANALY",#N/A,FALSE,"U"}</definedName>
    <definedName name="kjhg" localSheetId="37" hidden="1">{"BOP_TAB",#N/A,FALSE,"N";"MIDTERM_TAB",#N/A,FALSE,"O";"FUND_CRED",#N/A,FALSE,"P";"DEBT_TAB1",#N/A,FALSE,"Q";"DEBT_TAB2",#N/A,FALSE,"Q";"FORFIN_TAB1",#N/A,FALSE,"R";"FORFIN_TAB2",#N/A,FALSE,"R";"BOP_ANALY",#N/A,FALSE,"U"}</definedName>
    <definedName name="kjhg" localSheetId="38" hidden="1">{"BOP_TAB",#N/A,FALSE,"N";"MIDTERM_TAB",#N/A,FALSE,"O";"FUND_CRED",#N/A,FALSE,"P";"DEBT_TAB1",#N/A,FALSE,"Q";"DEBT_TAB2",#N/A,FALSE,"Q";"FORFIN_TAB1",#N/A,FALSE,"R";"FORFIN_TAB2",#N/A,FALSE,"R";"BOP_ANALY",#N/A,FALSE,"U"}</definedName>
    <definedName name="kjhg" localSheetId="39" hidden="1">{"BOP_TAB",#N/A,FALSE,"N";"MIDTERM_TAB",#N/A,FALSE,"O";"FUND_CRED",#N/A,FALSE,"P";"DEBT_TAB1",#N/A,FALSE,"Q";"DEBT_TAB2",#N/A,FALSE,"Q";"FORFIN_TAB1",#N/A,FALSE,"R";"FORFIN_TAB2",#N/A,FALSE,"R";"BOP_ANALY",#N/A,FALSE,"U"}</definedName>
    <definedName name="kjhg" localSheetId="40" hidden="1">{"BOP_TAB",#N/A,FALSE,"N";"MIDTERM_TAB",#N/A,FALSE,"O";"FUND_CRED",#N/A,FALSE,"P";"DEBT_TAB1",#N/A,FALSE,"Q";"DEBT_TAB2",#N/A,FALSE,"Q";"FORFIN_TAB1",#N/A,FALSE,"R";"FORFIN_TAB2",#N/A,FALSE,"R";"BOP_ANALY",#N/A,FALSE,"U"}</definedName>
    <definedName name="kjhg" hidden="1">{"BOP_TAB",#N/A,FALSE,"N";"MIDTERM_TAB",#N/A,FALSE,"O";"FUND_CRED",#N/A,FALSE,"P";"DEBT_TAB1",#N/A,FALSE,"Q";"DEBT_TAB2",#N/A,FALSE,"Q";"FORFIN_TAB1",#N/A,FALSE,"R";"FORFIN_TAB2",#N/A,FALSE,"R";"BOP_ANALY",#N/A,FALSE,"U"}</definedName>
    <definedName name="kk" localSheetId="50" hidden="1">{"Tab1",#N/A,FALSE,"P";"Tab2",#N/A,FALSE,"P"}</definedName>
    <definedName name="kk" localSheetId="55" hidden="1">{"Tab1",#N/A,FALSE,"P";"Tab2",#N/A,FALSE,"P"}</definedName>
    <definedName name="kk" localSheetId="56" hidden="1">{"Tab1",#N/A,FALSE,"P";"Tab2",#N/A,FALSE,"P"}</definedName>
    <definedName name="kk" localSheetId="57" hidden="1">{"Tab1",#N/A,FALSE,"P";"Tab2",#N/A,FALSE,"P"}</definedName>
    <definedName name="kk" localSheetId="58" hidden="1">{"Tab1",#N/A,FALSE,"P";"Tab2",#N/A,FALSE,"P"}</definedName>
    <definedName name="kk" localSheetId="59" hidden="1">{"Tab1",#N/A,FALSE,"P";"Tab2",#N/A,FALSE,"P"}</definedName>
    <definedName name="kk" localSheetId="62" hidden="1">{"Tab1",#N/A,FALSE,"P";"Tab2",#N/A,FALSE,"P"}</definedName>
    <definedName name="kk" localSheetId="70" hidden="1">{"Tab1",#N/A,FALSE,"P";"Tab2",#N/A,FALSE,"P"}</definedName>
    <definedName name="kk" localSheetId="71" hidden="1">{"Tab1",#N/A,FALSE,"P";"Tab2",#N/A,FALSE,"P"}</definedName>
    <definedName name="kk" localSheetId="72" hidden="1">{"Tab1",#N/A,FALSE,"P";"Tab2",#N/A,FALSE,"P"}</definedName>
    <definedName name="kk" localSheetId="73" hidden="1">{"Tab1",#N/A,FALSE,"P";"Tab2",#N/A,FALSE,"P"}</definedName>
    <definedName name="kk" localSheetId="74" hidden="1">{"Tab1",#N/A,FALSE,"P";"Tab2",#N/A,FALSE,"P"}</definedName>
    <definedName name="kk" localSheetId="75" hidden="1">{"Tab1",#N/A,FALSE,"P";"Tab2",#N/A,FALSE,"P"}</definedName>
    <definedName name="kk" localSheetId="76" hidden="1">{"Tab1",#N/A,FALSE,"P";"Tab2",#N/A,FALSE,"P"}</definedName>
    <definedName name="kk" localSheetId="79" hidden="1">{"Tab1",#N/A,FALSE,"P";"Tab2",#N/A,FALSE,"P"}</definedName>
    <definedName name="kk" localSheetId="80" hidden="1">{"Tab1",#N/A,FALSE,"P";"Tab2",#N/A,FALSE,"P"}</definedName>
    <definedName name="kk" localSheetId="81" hidden="1">{"Tab1",#N/A,FALSE,"P";"Tab2",#N/A,FALSE,"P"}</definedName>
    <definedName name="kk" localSheetId="83" hidden="1">{"Tab1",#N/A,FALSE,"P";"Tab2",#N/A,FALSE,"P"}</definedName>
    <definedName name="kk" localSheetId="97" hidden="1">{"Tab1",#N/A,FALSE,"P";"Tab2",#N/A,FALSE,"P"}</definedName>
    <definedName name="kk" localSheetId="98" hidden="1">{"Tab1",#N/A,FALSE,"P";"Tab2",#N/A,FALSE,"P"}</definedName>
    <definedName name="kk" localSheetId="99" hidden="1">{"Tab1",#N/A,FALSE,"P";"Tab2",#N/A,FALSE,"P"}</definedName>
    <definedName name="kk" localSheetId="100" hidden="1">{"Tab1",#N/A,FALSE,"P";"Tab2",#N/A,FALSE,"P"}</definedName>
    <definedName name="kk" localSheetId="101" hidden="1">{"Tab1",#N/A,FALSE,"P";"Tab2",#N/A,FALSE,"P"}</definedName>
    <definedName name="kk" localSheetId="108" hidden="1">{"Tab1",#N/A,FALSE,"P";"Tab2",#N/A,FALSE,"P"}</definedName>
    <definedName name="kk" localSheetId="115" hidden="1">{"Tab1",#N/A,FALSE,"P";"Tab2",#N/A,FALSE,"P"}</definedName>
    <definedName name="kk" localSheetId="5" hidden="1">{"Tab1",#N/A,FALSE,"P";"Tab2",#N/A,FALSE,"P"}</definedName>
    <definedName name="kk" localSheetId="7" hidden="1">{"Tab1",#N/A,FALSE,"P";"Tab2",#N/A,FALSE,"P"}</definedName>
    <definedName name="kk" localSheetId="8" hidden="1">{"Tab1",#N/A,FALSE,"P";"Tab2",#N/A,FALSE,"P"}</definedName>
    <definedName name="kk" localSheetId="9" hidden="1">{"Tab1",#N/A,FALSE,"P";"Tab2",#N/A,FALSE,"P"}</definedName>
    <definedName name="kk" localSheetId="10" hidden="1">{"Tab1",#N/A,FALSE,"P";"Tab2",#N/A,FALSE,"P"}</definedName>
    <definedName name="kk" localSheetId="14" hidden="1">{"Tab1",#N/A,FALSE,"P";"Tab2",#N/A,FALSE,"P"}</definedName>
    <definedName name="kk" localSheetId="19" hidden="1">{"Tab1",#N/A,FALSE,"P";"Tab2",#N/A,FALSE,"P"}</definedName>
    <definedName name="kk" localSheetId="21" hidden="1">{"Tab1",#N/A,FALSE,"P";"Tab2",#N/A,FALSE,"P"}</definedName>
    <definedName name="kk" localSheetId="23" hidden="1">{"Tab1",#N/A,FALSE,"P";"Tab2",#N/A,FALSE,"P"}</definedName>
    <definedName name="kk" localSheetId="24" hidden="1">{"Tab1",#N/A,FALSE,"P";"Tab2",#N/A,FALSE,"P"}</definedName>
    <definedName name="kk" localSheetId="25" hidden="1">{"Tab1",#N/A,FALSE,"P";"Tab2",#N/A,FALSE,"P"}</definedName>
    <definedName name="kk" localSheetId="27" hidden="1">{"Tab1",#N/A,FALSE,"P";"Tab2",#N/A,FALSE,"P"}</definedName>
    <definedName name="kk" localSheetId="30" hidden="1">{"Tab1",#N/A,FALSE,"P";"Tab2",#N/A,FALSE,"P"}</definedName>
    <definedName name="kk" localSheetId="33" hidden="1">{"Tab1",#N/A,FALSE,"P";"Tab2",#N/A,FALSE,"P"}</definedName>
    <definedName name="kk" localSheetId="34" hidden="1">{"Tab1",#N/A,FALSE,"P";"Tab2",#N/A,FALSE,"P"}</definedName>
    <definedName name="kk" localSheetId="35" hidden="1">{"Tab1",#N/A,FALSE,"P";"Tab2",#N/A,FALSE,"P"}</definedName>
    <definedName name="kk" localSheetId="36" hidden="1">{"Tab1",#N/A,FALSE,"P";"Tab2",#N/A,FALSE,"P"}</definedName>
    <definedName name="kk" localSheetId="37" hidden="1">{"Tab1",#N/A,FALSE,"P";"Tab2",#N/A,FALSE,"P"}</definedName>
    <definedName name="kk" localSheetId="38" hidden="1">{"Tab1",#N/A,FALSE,"P";"Tab2",#N/A,FALSE,"P"}</definedName>
    <definedName name="kk" localSheetId="39" hidden="1">{"Tab1",#N/A,FALSE,"P";"Tab2",#N/A,FALSE,"P"}</definedName>
    <definedName name="kk" localSheetId="40" hidden="1">{"Tab1",#N/A,FALSE,"P";"Tab2",#N/A,FALSE,"P"}</definedName>
    <definedName name="kk" localSheetId="44" hidden="1">{"Tab1",#N/A,FALSE,"P";"Tab2",#N/A,FALSE,"P"}</definedName>
    <definedName name="kk" hidden="1">{"Tab1",#N/A,FALSE,"P";"Tab2",#N/A,FALSE,"P"}</definedName>
    <definedName name="kkk" localSheetId="50" hidden="1">{"Tab1",#N/A,FALSE,"P";"Tab2",#N/A,FALSE,"P"}</definedName>
    <definedName name="kkk" localSheetId="55" hidden="1">{"Tab1",#N/A,FALSE,"P";"Tab2",#N/A,FALSE,"P"}</definedName>
    <definedName name="kkk" localSheetId="56" hidden="1">{"Tab1",#N/A,FALSE,"P";"Tab2",#N/A,FALSE,"P"}</definedName>
    <definedName name="kkk" localSheetId="57" hidden="1">{"Tab1",#N/A,FALSE,"P";"Tab2",#N/A,FALSE,"P"}</definedName>
    <definedName name="kkk" localSheetId="58" hidden="1">{"Tab1",#N/A,FALSE,"P";"Tab2",#N/A,FALSE,"P"}</definedName>
    <definedName name="kkk" localSheetId="59" hidden="1">{"Tab1",#N/A,FALSE,"P";"Tab2",#N/A,FALSE,"P"}</definedName>
    <definedName name="kkk" localSheetId="62" hidden="1">{"Tab1",#N/A,FALSE,"P";"Tab2",#N/A,FALSE,"P"}</definedName>
    <definedName name="kkk" localSheetId="70" hidden="1">{"Tab1",#N/A,FALSE,"P";"Tab2",#N/A,FALSE,"P"}</definedName>
    <definedName name="kkk" localSheetId="71" hidden="1">{"Tab1",#N/A,FALSE,"P";"Tab2",#N/A,FALSE,"P"}</definedName>
    <definedName name="kkk" localSheetId="72" hidden="1">{"Tab1",#N/A,FALSE,"P";"Tab2",#N/A,FALSE,"P"}</definedName>
    <definedName name="kkk" localSheetId="73" hidden="1">{"Tab1",#N/A,FALSE,"P";"Tab2",#N/A,FALSE,"P"}</definedName>
    <definedName name="kkk" localSheetId="74" hidden="1">{"Tab1",#N/A,FALSE,"P";"Tab2",#N/A,FALSE,"P"}</definedName>
    <definedName name="kkk" localSheetId="75" hidden="1">{"Tab1",#N/A,FALSE,"P";"Tab2",#N/A,FALSE,"P"}</definedName>
    <definedName name="kkk" localSheetId="76" hidden="1">{"Tab1",#N/A,FALSE,"P";"Tab2",#N/A,FALSE,"P"}</definedName>
    <definedName name="kkk" localSheetId="79" hidden="1">{"Tab1",#N/A,FALSE,"P";"Tab2",#N/A,FALSE,"P"}</definedName>
    <definedName name="kkk" localSheetId="80" hidden="1">{"Tab1",#N/A,FALSE,"P";"Tab2",#N/A,FALSE,"P"}</definedName>
    <definedName name="kkk" localSheetId="81" hidden="1">{"Tab1",#N/A,FALSE,"P";"Tab2",#N/A,FALSE,"P"}</definedName>
    <definedName name="kkk" localSheetId="83" hidden="1">{"Tab1",#N/A,FALSE,"P";"Tab2",#N/A,FALSE,"P"}</definedName>
    <definedName name="kkk" localSheetId="97" hidden="1">{"Tab1",#N/A,FALSE,"P";"Tab2",#N/A,FALSE,"P"}</definedName>
    <definedName name="kkk" localSheetId="98" hidden="1">{"Tab1",#N/A,FALSE,"P";"Tab2",#N/A,FALSE,"P"}</definedName>
    <definedName name="kkk" localSheetId="99" hidden="1">{"Tab1",#N/A,FALSE,"P";"Tab2",#N/A,FALSE,"P"}</definedName>
    <definedName name="kkk" localSheetId="100" hidden="1">{"Tab1",#N/A,FALSE,"P";"Tab2",#N/A,FALSE,"P"}</definedName>
    <definedName name="kkk" localSheetId="101" hidden="1">{"Tab1",#N/A,FALSE,"P";"Tab2",#N/A,FALSE,"P"}</definedName>
    <definedName name="kkk" localSheetId="108" hidden="1">{"Tab1",#N/A,FALSE,"P";"Tab2",#N/A,FALSE,"P"}</definedName>
    <definedName name="kkk" localSheetId="115" hidden="1">{"Tab1",#N/A,FALSE,"P";"Tab2",#N/A,FALSE,"P"}</definedName>
    <definedName name="kkk" localSheetId="5" hidden="1">{"Tab1",#N/A,FALSE,"P";"Tab2",#N/A,FALSE,"P"}</definedName>
    <definedName name="kkk" localSheetId="7" hidden="1">{"Tab1",#N/A,FALSE,"P";"Tab2",#N/A,FALSE,"P"}</definedName>
    <definedName name="kkk" localSheetId="8" hidden="1">{"Tab1",#N/A,FALSE,"P";"Tab2",#N/A,FALSE,"P"}</definedName>
    <definedName name="kkk" localSheetId="9" hidden="1">{"Tab1",#N/A,FALSE,"P";"Tab2",#N/A,FALSE,"P"}</definedName>
    <definedName name="kkk" localSheetId="10" hidden="1">{"Tab1",#N/A,FALSE,"P";"Tab2",#N/A,FALSE,"P"}</definedName>
    <definedName name="kkk" localSheetId="14" hidden="1">{"Tab1",#N/A,FALSE,"P";"Tab2",#N/A,FALSE,"P"}</definedName>
    <definedName name="kkk" localSheetId="19" hidden="1">{"Tab1",#N/A,FALSE,"P";"Tab2",#N/A,FALSE,"P"}</definedName>
    <definedName name="kkk" localSheetId="21" hidden="1">{"Tab1",#N/A,FALSE,"P";"Tab2",#N/A,FALSE,"P"}</definedName>
    <definedName name="kkk" localSheetId="23" hidden="1">{"Tab1",#N/A,FALSE,"P";"Tab2",#N/A,FALSE,"P"}</definedName>
    <definedName name="kkk" localSheetId="24" hidden="1">{"Tab1",#N/A,FALSE,"P";"Tab2",#N/A,FALSE,"P"}</definedName>
    <definedName name="kkk" localSheetId="25" hidden="1">{"Tab1",#N/A,FALSE,"P";"Tab2",#N/A,FALSE,"P"}</definedName>
    <definedName name="kkk" localSheetId="27" hidden="1">{"Tab1",#N/A,FALSE,"P";"Tab2",#N/A,FALSE,"P"}</definedName>
    <definedName name="kkk" localSheetId="30" hidden="1">{"Tab1",#N/A,FALSE,"P";"Tab2",#N/A,FALSE,"P"}</definedName>
    <definedName name="kkk" localSheetId="33" hidden="1">{"Tab1",#N/A,FALSE,"P";"Tab2",#N/A,FALSE,"P"}</definedName>
    <definedName name="kkk" localSheetId="34" hidden="1">{"Tab1",#N/A,FALSE,"P";"Tab2",#N/A,FALSE,"P"}</definedName>
    <definedName name="kkk" localSheetId="35" hidden="1">{"Tab1",#N/A,FALSE,"P";"Tab2",#N/A,FALSE,"P"}</definedName>
    <definedName name="kkk" localSheetId="36" hidden="1">{"Tab1",#N/A,FALSE,"P";"Tab2",#N/A,FALSE,"P"}</definedName>
    <definedName name="kkk" localSheetId="37" hidden="1">{"Tab1",#N/A,FALSE,"P";"Tab2",#N/A,FALSE,"P"}</definedName>
    <definedName name="kkk" localSheetId="38" hidden="1">{"Tab1",#N/A,FALSE,"P";"Tab2",#N/A,FALSE,"P"}</definedName>
    <definedName name="kkk" localSheetId="39" hidden="1">{"Tab1",#N/A,FALSE,"P";"Tab2",#N/A,FALSE,"P"}</definedName>
    <definedName name="kkk" localSheetId="40" hidden="1">{"Tab1",#N/A,FALSE,"P";"Tab2",#N/A,FALSE,"P"}</definedName>
    <definedName name="kkk" localSheetId="44" hidden="1">{"Tab1",#N/A,FALSE,"P";"Tab2",#N/A,FALSE,"P"}</definedName>
    <definedName name="kkk" hidden="1">{"Tab1",#N/A,FALSE,"P";"Tab2",#N/A,FALSE,"P"}</definedName>
    <definedName name="kkkk" localSheetId="49" hidden="1">[36]M!#REF!</definedName>
    <definedName name="kkkk" localSheetId="50" hidden="1">[36]M!#REF!</definedName>
    <definedName name="kkkk" localSheetId="51" hidden="1">[36]M!#REF!</definedName>
    <definedName name="kkkk" localSheetId="53" hidden="1">[36]M!#REF!</definedName>
    <definedName name="kkkk" localSheetId="54" hidden="1">[36]M!#REF!</definedName>
    <definedName name="kkkk" localSheetId="55" hidden="1">[36]M!#REF!</definedName>
    <definedName name="kkkk" localSheetId="56" hidden="1">[36]M!#REF!</definedName>
    <definedName name="kkkk" localSheetId="57" hidden="1">[36]M!#REF!</definedName>
    <definedName name="kkkk" localSheetId="58" hidden="1">[36]M!#REF!</definedName>
    <definedName name="kkkk" localSheetId="59" hidden="1">[36]M!#REF!</definedName>
    <definedName name="kkkk" localSheetId="62" hidden="1">[36]M!#REF!</definedName>
    <definedName name="kkkk" localSheetId="70" hidden="1">[36]M!#REF!</definedName>
    <definedName name="kkkk" localSheetId="75" hidden="1">[36]M!#REF!</definedName>
    <definedName name="kkkk" localSheetId="76" hidden="1">[36]M!#REF!</definedName>
    <definedName name="kkkk" localSheetId="79" hidden="1">[36]M!#REF!</definedName>
    <definedName name="kkkk" localSheetId="80" hidden="1">[36]M!#REF!</definedName>
    <definedName name="kkkk" localSheetId="81" hidden="1">[36]M!#REF!</definedName>
    <definedName name="kkkk" localSheetId="83" hidden="1">[36]M!#REF!</definedName>
    <definedName name="kkkk" localSheetId="87" hidden="1">[36]M!#REF!</definedName>
    <definedName name="kkkk" localSheetId="95" hidden="1">[36]M!#REF!</definedName>
    <definedName name="kkkk" localSheetId="97" hidden="1">[36]M!#REF!</definedName>
    <definedName name="kkkk" localSheetId="98" hidden="1">[36]M!#REF!</definedName>
    <definedName name="kkkk" localSheetId="99" hidden="1">[36]M!#REF!</definedName>
    <definedName name="kkkk" localSheetId="100" hidden="1">[36]M!#REF!</definedName>
    <definedName name="kkkk" localSheetId="101" hidden="1">[36]M!#REF!</definedName>
    <definedName name="kkkk" localSheetId="108" hidden="1">[36]M!#REF!</definedName>
    <definedName name="kkkk" localSheetId="5" hidden="1">[36]M!#REF!</definedName>
    <definedName name="kkkk" localSheetId="6" hidden="1">[36]M!#REF!</definedName>
    <definedName name="kkkk" localSheetId="7" hidden="1">[36]M!#REF!</definedName>
    <definedName name="kkkk" localSheetId="8" hidden="1">[36]M!#REF!</definedName>
    <definedName name="kkkk" localSheetId="9" hidden="1">[36]M!#REF!</definedName>
    <definedName name="kkkk" localSheetId="14" hidden="1">[36]M!#REF!</definedName>
    <definedName name="kkkk" localSheetId="15" hidden="1">[36]M!#REF!</definedName>
    <definedName name="kkkk" localSheetId="16" hidden="1">[36]M!#REF!</definedName>
    <definedName name="kkkk" localSheetId="17" hidden="1">[36]M!#REF!</definedName>
    <definedName name="kkkk" localSheetId="19" hidden="1">[36]M!#REF!</definedName>
    <definedName name="kkkk" localSheetId="21" hidden="1">[36]M!#REF!</definedName>
    <definedName name="kkkk" localSheetId="23" hidden="1">[36]M!#REF!</definedName>
    <definedName name="kkkk" localSheetId="24" hidden="1">[36]M!#REF!</definedName>
    <definedName name="kkkk" localSheetId="25" hidden="1">[36]M!#REF!</definedName>
    <definedName name="kkkk" localSheetId="27" hidden="1">[36]M!#REF!</definedName>
    <definedName name="kkkk" localSheetId="30" hidden="1">[36]M!#REF!</definedName>
    <definedName name="kkkk" localSheetId="33" hidden="1">[36]M!#REF!</definedName>
    <definedName name="kkkk" localSheetId="34" hidden="1">[36]M!#REF!</definedName>
    <definedName name="kkkk" localSheetId="35" hidden="1">[36]M!#REF!</definedName>
    <definedName name="kkkk" localSheetId="36" hidden="1">[36]M!#REF!</definedName>
    <definedName name="kkkk" localSheetId="37" hidden="1">[36]M!#REF!</definedName>
    <definedName name="kkkk" localSheetId="38" hidden="1">[36]M!#REF!</definedName>
    <definedName name="kkkk" localSheetId="39" hidden="1">[36]M!#REF!</definedName>
    <definedName name="kkkk" localSheetId="40" hidden="1">[36]M!#REF!</definedName>
    <definedName name="kkkk" localSheetId="44" hidden="1">[36]M!#REF!</definedName>
    <definedName name="kkkk" hidden="1">[36]M!#REF!</definedName>
    <definedName name="ll" localSheetId="50" hidden="1">{"Tab1",#N/A,FALSE,"P";"Tab2",#N/A,FALSE,"P"}</definedName>
    <definedName name="ll" localSheetId="55" hidden="1">{"Tab1",#N/A,FALSE,"P";"Tab2",#N/A,FALSE,"P"}</definedName>
    <definedName name="ll" localSheetId="56" hidden="1">{"Tab1",#N/A,FALSE,"P";"Tab2",#N/A,FALSE,"P"}</definedName>
    <definedName name="ll" localSheetId="57" hidden="1">{"Tab1",#N/A,FALSE,"P";"Tab2",#N/A,FALSE,"P"}</definedName>
    <definedName name="ll" localSheetId="58" hidden="1">{"Tab1",#N/A,FALSE,"P";"Tab2",#N/A,FALSE,"P"}</definedName>
    <definedName name="ll" localSheetId="59" hidden="1">{"Tab1",#N/A,FALSE,"P";"Tab2",#N/A,FALSE,"P"}</definedName>
    <definedName name="ll" localSheetId="62" hidden="1">{"Tab1",#N/A,FALSE,"P";"Tab2",#N/A,FALSE,"P"}</definedName>
    <definedName name="ll" localSheetId="70" hidden="1">{"Tab1",#N/A,FALSE,"P";"Tab2",#N/A,FALSE,"P"}</definedName>
    <definedName name="ll" localSheetId="71" hidden="1">{"Tab1",#N/A,FALSE,"P";"Tab2",#N/A,FALSE,"P"}</definedName>
    <definedName name="ll" localSheetId="72" hidden="1">{"Tab1",#N/A,FALSE,"P";"Tab2",#N/A,FALSE,"P"}</definedName>
    <definedName name="ll" localSheetId="73" hidden="1">{"Tab1",#N/A,FALSE,"P";"Tab2",#N/A,FALSE,"P"}</definedName>
    <definedName name="ll" localSheetId="74" hidden="1">{"Tab1",#N/A,FALSE,"P";"Tab2",#N/A,FALSE,"P"}</definedName>
    <definedName name="ll" localSheetId="75" hidden="1">{"Tab1",#N/A,FALSE,"P";"Tab2",#N/A,FALSE,"P"}</definedName>
    <definedName name="ll" localSheetId="76" hidden="1">{"Tab1",#N/A,FALSE,"P";"Tab2",#N/A,FALSE,"P"}</definedName>
    <definedName name="ll" localSheetId="79" hidden="1">{"Tab1",#N/A,FALSE,"P";"Tab2",#N/A,FALSE,"P"}</definedName>
    <definedName name="ll" localSheetId="80" hidden="1">{"Tab1",#N/A,FALSE,"P";"Tab2",#N/A,FALSE,"P"}</definedName>
    <definedName name="ll" localSheetId="81" hidden="1">{"Tab1",#N/A,FALSE,"P";"Tab2",#N/A,FALSE,"P"}</definedName>
    <definedName name="ll" localSheetId="83" hidden="1">{"Tab1",#N/A,FALSE,"P";"Tab2",#N/A,FALSE,"P"}</definedName>
    <definedName name="ll" localSheetId="97" hidden="1">{"Tab1",#N/A,FALSE,"P";"Tab2",#N/A,FALSE,"P"}</definedName>
    <definedName name="ll" localSheetId="98" hidden="1">{"Tab1",#N/A,FALSE,"P";"Tab2",#N/A,FALSE,"P"}</definedName>
    <definedName name="ll" localSheetId="99" hidden="1">{"Tab1",#N/A,FALSE,"P";"Tab2",#N/A,FALSE,"P"}</definedName>
    <definedName name="ll" localSheetId="100" hidden="1">{"Tab1",#N/A,FALSE,"P";"Tab2",#N/A,FALSE,"P"}</definedName>
    <definedName name="ll" localSheetId="101" hidden="1">{"Tab1",#N/A,FALSE,"P";"Tab2",#N/A,FALSE,"P"}</definedName>
    <definedName name="ll" localSheetId="108" hidden="1">{"Tab1",#N/A,FALSE,"P";"Tab2",#N/A,FALSE,"P"}</definedName>
    <definedName name="ll" localSheetId="115" hidden="1">{"Tab1",#N/A,FALSE,"P";"Tab2",#N/A,FALSE,"P"}</definedName>
    <definedName name="ll" localSheetId="5" hidden="1">{"Tab1",#N/A,FALSE,"P";"Tab2",#N/A,FALSE,"P"}</definedName>
    <definedName name="ll" localSheetId="7" hidden="1">{"Tab1",#N/A,FALSE,"P";"Tab2",#N/A,FALSE,"P"}</definedName>
    <definedName name="ll" localSheetId="8" hidden="1">{"Tab1",#N/A,FALSE,"P";"Tab2",#N/A,FALSE,"P"}</definedName>
    <definedName name="ll" localSheetId="9" hidden="1">{"Tab1",#N/A,FALSE,"P";"Tab2",#N/A,FALSE,"P"}</definedName>
    <definedName name="ll" localSheetId="10" hidden="1">{"Tab1",#N/A,FALSE,"P";"Tab2",#N/A,FALSE,"P"}</definedName>
    <definedName name="ll" localSheetId="14" hidden="1">{"Tab1",#N/A,FALSE,"P";"Tab2",#N/A,FALSE,"P"}</definedName>
    <definedName name="ll" localSheetId="19" hidden="1">{"Tab1",#N/A,FALSE,"P";"Tab2",#N/A,FALSE,"P"}</definedName>
    <definedName name="ll" localSheetId="21" hidden="1">{"Tab1",#N/A,FALSE,"P";"Tab2",#N/A,FALSE,"P"}</definedName>
    <definedName name="ll" localSheetId="23" hidden="1">{"Tab1",#N/A,FALSE,"P";"Tab2",#N/A,FALSE,"P"}</definedName>
    <definedName name="ll" localSheetId="24" hidden="1">{"Tab1",#N/A,FALSE,"P";"Tab2",#N/A,FALSE,"P"}</definedName>
    <definedName name="ll" localSheetId="25" hidden="1">{"Tab1",#N/A,FALSE,"P";"Tab2",#N/A,FALSE,"P"}</definedName>
    <definedName name="ll" localSheetId="27" hidden="1">{"Tab1",#N/A,FALSE,"P";"Tab2",#N/A,FALSE,"P"}</definedName>
    <definedName name="ll" localSheetId="30" hidden="1">{"Tab1",#N/A,FALSE,"P";"Tab2",#N/A,FALSE,"P"}</definedName>
    <definedName name="ll" localSheetId="33" hidden="1">{"Tab1",#N/A,FALSE,"P";"Tab2",#N/A,FALSE,"P"}</definedName>
    <definedName name="ll" localSheetId="34" hidden="1">{"Tab1",#N/A,FALSE,"P";"Tab2",#N/A,FALSE,"P"}</definedName>
    <definedName name="ll" localSheetId="35" hidden="1">{"Tab1",#N/A,FALSE,"P";"Tab2",#N/A,FALSE,"P"}</definedName>
    <definedName name="ll" localSheetId="36" hidden="1">{"Tab1",#N/A,FALSE,"P";"Tab2",#N/A,FALSE,"P"}</definedName>
    <definedName name="ll" localSheetId="37" hidden="1">{"Tab1",#N/A,FALSE,"P";"Tab2",#N/A,FALSE,"P"}</definedName>
    <definedName name="ll" localSheetId="38" hidden="1">{"Tab1",#N/A,FALSE,"P";"Tab2",#N/A,FALSE,"P"}</definedName>
    <definedName name="ll" localSheetId="39" hidden="1">{"Tab1",#N/A,FALSE,"P";"Tab2",#N/A,FALSE,"P"}</definedName>
    <definedName name="ll" localSheetId="40" hidden="1">{"Tab1",#N/A,FALSE,"P";"Tab2",#N/A,FALSE,"P"}</definedName>
    <definedName name="ll" localSheetId="44" hidden="1">{"Tab1",#N/A,FALSE,"P";"Tab2",#N/A,FALSE,"P"}</definedName>
    <definedName name="ll" hidden="1">{"Tab1",#N/A,FALSE,"P";"Tab2",#N/A,FALSE,"P"}</definedName>
    <definedName name="lll" localSheetId="50" hidden="1">{"Riqfin97",#N/A,FALSE,"Tran";"Riqfinpro",#N/A,FALSE,"Tran"}</definedName>
    <definedName name="lll" localSheetId="55" hidden="1">{"Riqfin97",#N/A,FALSE,"Tran";"Riqfinpro",#N/A,FALSE,"Tran"}</definedName>
    <definedName name="lll" localSheetId="56" hidden="1">{"Riqfin97",#N/A,FALSE,"Tran";"Riqfinpro",#N/A,FALSE,"Tran"}</definedName>
    <definedName name="lll" localSheetId="57" hidden="1">{"Riqfin97",#N/A,FALSE,"Tran";"Riqfinpro",#N/A,FALSE,"Tran"}</definedName>
    <definedName name="lll" localSheetId="58" hidden="1">{"Riqfin97",#N/A,FALSE,"Tran";"Riqfinpro",#N/A,FALSE,"Tran"}</definedName>
    <definedName name="lll" localSheetId="59" hidden="1">{"Riqfin97",#N/A,FALSE,"Tran";"Riqfinpro",#N/A,FALSE,"Tran"}</definedName>
    <definedName name="lll" localSheetId="62" hidden="1">{"Riqfin97",#N/A,FALSE,"Tran";"Riqfinpro",#N/A,FALSE,"Tran"}</definedName>
    <definedName name="lll" localSheetId="70" hidden="1">{"Riqfin97",#N/A,FALSE,"Tran";"Riqfinpro",#N/A,FALSE,"Tran"}</definedName>
    <definedName name="lll" localSheetId="71" hidden="1">{"Riqfin97",#N/A,FALSE,"Tran";"Riqfinpro",#N/A,FALSE,"Tran"}</definedName>
    <definedName name="lll" localSheetId="72" hidden="1">{"Riqfin97",#N/A,FALSE,"Tran";"Riqfinpro",#N/A,FALSE,"Tran"}</definedName>
    <definedName name="lll" localSheetId="73" hidden="1">{"Riqfin97",#N/A,FALSE,"Tran";"Riqfinpro",#N/A,FALSE,"Tran"}</definedName>
    <definedName name="lll" localSheetId="74" hidden="1">{"Riqfin97",#N/A,FALSE,"Tran";"Riqfinpro",#N/A,FALSE,"Tran"}</definedName>
    <definedName name="lll" localSheetId="75" hidden="1">{"Riqfin97",#N/A,FALSE,"Tran";"Riqfinpro",#N/A,FALSE,"Tran"}</definedName>
    <definedName name="lll" localSheetId="76" hidden="1">{"Riqfin97",#N/A,FALSE,"Tran";"Riqfinpro",#N/A,FALSE,"Tran"}</definedName>
    <definedName name="lll" localSheetId="79" hidden="1">{"Riqfin97",#N/A,FALSE,"Tran";"Riqfinpro",#N/A,FALSE,"Tran"}</definedName>
    <definedName name="lll" localSheetId="80" hidden="1">{"Riqfin97",#N/A,FALSE,"Tran";"Riqfinpro",#N/A,FALSE,"Tran"}</definedName>
    <definedName name="lll" localSheetId="81" hidden="1">{"Riqfin97",#N/A,FALSE,"Tran";"Riqfinpro",#N/A,FALSE,"Tran"}</definedName>
    <definedName name="lll" localSheetId="83" hidden="1">{"Riqfin97",#N/A,FALSE,"Tran";"Riqfinpro",#N/A,FALSE,"Tran"}</definedName>
    <definedName name="lll" localSheetId="97" hidden="1">{"Riqfin97",#N/A,FALSE,"Tran";"Riqfinpro",#N/A,FALSE,"Tran"}</definedName>
    <definedName name="lll" localSheetId="98" hidden="1">{"Riqfin97",#N/A,FALSE,"Tran";"Riqfinpro",#N/A,FALSE,"Tran"}</definedName>
    <definedName name="lll" localSheetId="99" hidden="1">{"Riqfin97",#N/A,FALSE,"Tran";"Riqfinpro",#N/A,FALSE,"Tran"}</definedName>
    <definedName name="lll" localSheetId="100" hidden="1">{"Riqfin97",#N/A,FALSE,"Tran";"Riqfinpro",#N/A,FALSE,"Tran"}</definedName>
    <definedName name="lll" localSheetId="101" hidden="1">{"Riqfin97",#N/A,FALSE,"Tran";"Riqfinpro",#N/A,FALSE,"Tran"}</definedName>
    <definedName name="lll" localSheetId="108" hidden="1">{"Riqfin97",#N/A,FALSE,"Tran";"Riqfinpro",#N/A,FALSE,"Tran"}</definedName>
    <definedName name="lll" localSheetId="115" hidden="1">{"Riqfin97",#N/A,FALSE,"Tran";"Riqfinpro",#N/A,FALSE,"Tran"}</definedName>
    <definedName name="lll" localSheetId="5" hidden="1">{"Riqfin97",#N/A,FALSE,"Tran";"Riqfinpro",#N/A,FALSE,"Tran"}</definedName>
    <definedName name="lll" localSheetId="7" hidden="1">{"Riqfin97",#N/A,FALSE,"Tran";"Riqfinpro",#N/A,FALSE,"Tran"}</definedName>
    <definedName name="lll" localSheetId="8" hidden="1">{"Riqfin97",#N/A,FALSE,"Tran";"Riqfinpro",#N/A,FALSE,"Tran"}</definedName>
    <definedName name="lll" localSheetId="9" hidden="1">{"Riqfin97",#N/A,FALSE,"Tran";"Riqfinpro",#N/A,FALSE,"Tran"}</definedName>
    <definedName name="lll" localSheetId="10" hidden="1">{"Riqfin97",#N/A,FALSE,"Tran";"Riqfinpro",#N/A,FALSE,"Tran"}</definedName>
    <definedName name="lll" localSheetId="14" hidden="1">{"Riqfin97",#N/A,FALSE,"Tran";"Riqfinpro",#N/A,FALSE,"Tran"}</definedName>
    <definedName name="lll" localSheetId="19" hidden="1">{"Riqfin97",#N/A,FALSE,"Tran";"Riqfinpro",#N/A,FALSE,"Tran"}</definedName>
    <definedName name="lll" localSheetId="21" hidden="1">{"Riqfin97",#N/A,FALSE,"Tran";"Riqfinpro",#N/A,FALSE,"Tran"}</definedName>
    <definedName name="lll" localSheetId="23" hidden="1">{"Riqfin97",#N/A,FALSE,"Tran";"Riqfinpro",#N/A,FALSE,"Tran"}</definedName>
    <definedName name="lll" localSheetId="24" hidden="1">{"Riqfin97",#N/A,FALSE,"Tran";"Riqfinpro",#N/A,FALSE,"Tran"}</definedName>
    <definedName name="lll" localSheetId="25" hidden="1">{"Riqfin97",#N/A,FALSE,"Tran";"Riqfinpro",#N/A,FALSE,"Tran"}</definedName>
    <definedName name="lll" localSheetId="27" hidden="1">{"Riqfin97",#N/A,FALSE,"Tran";"Riqfinpro",#N/A,FALSE,"Tran"}</definedName>
    <definedName name="lll" localSheetId="30" hidden="1">{"Riqfin97",#N/A,FALSE,"Tran";"Riqfinpro",#N/A,FALSE,"Tran"}</definedName>
    <definedName name="lll" localSheetId="33" hidden="1">{"Riqfin97",#N/A,FALSE,"Tran";"Riqfinpro",#N/A,FALSE,"Tran"}</definedName>
    <definedName name="lll" localSheetId="34" hidden="1">{"Riqfin97",#N/A,FALSE,"Tran";"Riqfinpro",#N/A,FALSE,"Tran"}</definedName>
    <definedName name="lll" localSheetId="35" hidden="1">{"Riqfin97",#N/A,FALSE,"Tran";"Riqfinpro",#N/A,FALSE,"Tran"}</definedName>
    <definedName name="lll" localSheetId="36" hidden="1">{"Riqfin97",#N/A,FALSE,"Tran";"Riqfinpro",#N/A,FALSE,"Tran"}</definedName>
    <definedName name="lll" localSheetId="37" hidden="1">{"Riqfin97",#N/A,FALSE,"Tran";"Riqfinpro",#N/A,FALSE,"Tran"}</definedName>
    <definedName name="lll" localSheetId="38" hidden="1">{"Riqfin97",#N/A,FALSE,"Tran";"Riqfinpro",#N/A,FALSE,"Tran"}</definedName>
    <definedName name="lll" localSheetId="39" hidden="1">{"Riqfin97",#N/A,FALSE,"Tran";"Riqfinpro",#N/A,FALSE,"Tran"}</definedName>
    <definedName name="lll" localSheetId="40" hidden="1">{"Riqfin97",#N/A,FALSE,"Tran";"Riqfinpro",#N/A,FALSE,"Tran"}</definedName>
    <definedName name="lll" localSheetId="44" hidden="1">{"Riqfin97",#N/A,FALSE,"Tran";"Riqfinpro",#N/A,FALSE,"Tran"}</definedName>
    <definedName name="lll" hidden="1">{"Riqfin97",#N/A,FALSE,"Tran";"Riqfinpro",#N/A,FALSE,"Tran"}</definedName>
    <definedName name="llll" localSheetId="49" hidden="1">[37]M!#REF!</definedName>
    <definedName name="llll" localSheetId="50" hidden="1">[35]M!#REF!</definedName>
    <definedName name="llll" localSheetId="51" hidden="1">[37]M!#REF!</definedName>
    <definedName name="llll" localSheetId="53" hidden="1">[37]M!#REF!</definedName>
    <definedName name="llll" localSheetId="54" hidden="1">[37]M!#REF!</definedName>
    <definedName name="llll" localSheetId="55" hidden="1">[35]M!#REF!</definedName>
    <definedName name="llll" localSheetId="56" hidden="1">[35]M!#REF!</definedName>
    <definedName name="llll" localSheetId="57" hidden="1">[35]M!#REF!</definedName>
    <definedName name="llll" localSheetId="58" hidden="1">[35]M!#REF!</definedName>
    <definedName name="llll" localSheetId="59" hidden="1">[35]M!#REF!</definedName>
    <definedName name="llll" localSheetId="62" hidden="1">[35]M!#REF!</definedName>
    <definedName name="llll" localSheetId="70" hidden="1">[35]M!#REF!</definedName>
    <definedName name="llll" localSheetId="71" hidden="1">[37]M!#REF!</definedName>
    <definedName name="llll" localSheetId="72" hidden="1">[37]M!#REF!</definedName>
    <definedName name="llll" localSheetId="73" hidden="1">[37]M!#REF!</definedName>
    <definedName name="llll" localSheetId="74" hidden="1">[37]M!#REF!</definedName>
    <definedName name="llll" localSheetId="75" hidden="1">[37]M!#REF!</definedName>
    <definedName name="llll" localSheetId="76" hidden="1">[37]M!#REF!</definedName>
    <definedName name="llll" localSheetId="79" hidden="1">[35]M!#REF!</definedName>
    <definedName name="llll" localSheetId="80" hidden="1">[35]M!#REF!</definedName>
    <definedName name="llll" localSheetId="81" hidden="1">[35]M!#REF!</definedName>
    <definedName name="llll" localSheetId="83" hidden="1">[37]M!#REF!</definedName>
    <definedName name="llll" localSheetId="87" hidden="1">[35]M!#REF!</definedName>
    <definedName name="llll" localSheetId="95" hidden="1">[37]M!#REF!</definedName>
    <definedName name="llll" localSheetId="97" hidden="1">[35]M!#REF!</definedName>
    <definedName name="llll" localSheetId="98" hidden="1">[35]M!#REF!</definedName>
    <definedName name="llll" localSheetId="99" hidden="1">[35]M!#REF!</definedName>
    <definedName name="llll" localSheetId="100" hidden="1">[35]M!#REF!</definedName>
    <definedName name="llll" localSheetId="101" hidden="1">[35]M!#REF!</definedName>
    <definedName name="llll" localSheetId="108" hidden="1">[35]M!#REF!</definedName>
    <definedName name="llll" localSheetId="115" hidden="1">[37]M!#REF!</definedName>
    <definedName name="llll" localSheetId="5" hidden="1">[35]M!#REF!</definedName>
    <definedName name="llll" localSheetId="6" hidden="1">[35]M!#REF!</definedName>
    <definedName name="llll" localSheetId="7" hidden="1">[35]M!#REF!</definedName>
    <definedName name="llll" localSheetId="8" hidden="1">[35]M!#REF!</definedName>
    <definedName name="llll" localSheetId="9" hidden="1">[35]M!#REF!</definedName>
    <definedName name="llll" localSheetId="10" hidden="1">[37]M!#REF!</definedName>
    <definedName name="llll" localSheetId="14" hidden="1">[35]M!#REF!</definedName>
    <definedName name="llll" localSheetId="15" hidden="1">[35]M!#REF!</definedName>
    <definedName name="llll" localSheetId="16" hidden="1">[35]M!#REF!</definedName>
    <definedName name="llll" localSheetId="17" hidden="1">[35]M!#REF!</definedName>
    <definedName name="llll" localSheetId="19" hidden="1">[35]M!#REF!</definedName>
    <definedName name="llll" localSheetId="21" hidden="1">[35]M!#REF!</definedName>
    <definedName name="llll" localSheetId="23" hidden="1">[35]M!#REF!</definedName>
    <definedName name="llll" localSheetId="24" hidden="1">[35]M!#REF!</definedName>
    <definedName name="llll" localSheetId="25" hidden="1">[35]M!#REF!</definedName>
    <definedName name="llll" localSheetId="27" hidden="1">[35]M!#REF!</definedName>
    <definedName name="llll" localSheetId="30" hidden="1">[35]M!#REF!</definedName>
    <definedName name="llll" localSheetId="33" hidden="1">[35]M!#REF!</definedName>
    <definedName name="llll" localSheetId="34" hidden="1">[37]M!#REF!</definedName>
    <definedName name="llll" localSheetId="35" hidden="1">[37]M!#REF!</definedName>
    <definedName name="llll" localSheetId="36" hidden="1">[37]M!#REF!</definedName>
    <definedName name="llll" localSheetId="37" hidden="1">[37]M!#REF!</definedName>
    <definedName name="llll" localSheetId="38" hidden="1">[37]M!#REF!</definedName>
    <definedName name="llll" localSheetId="39" hidden="1">[35]M!#REF!</definedName>
    <definedName name="llll" localSheetId="40" hidden="1">[35]M!#REF!</definedName>
    <definedName name="llll" localSheetId="44" hidden="1">[35]M!#REF!</definedName>
    <definedName name="llll" hidden="1">[37]M!#REF!</definedName>
    <definedName name="mf" localSheetId="50" hidden="1">{"Tab1",#N/A,FALSE,"P";"Tab2",#N/A,FALSE,"P"}</definedName>
    <definedName name="mf" localSheetId="55" hidden="1">{"Tab1",#N/A,FALSE,"P";"Tab2",#N/A,FALSE,"P"}</definedName>
    <definedName name="mf" localSheetId="56" hidden="1">{"Tab1",#N/A,FALSE,"P";"Tab2",#N/A,FALSE,"P"}</definedName>
    <definedName name="mf" localSheetId="57" hidden="1">{"Tab1",#N/A,FALSE,"P";"Tab2",#N/A,FALSE,"P"}</definedName>
    <definedName name="mf" localSheetId="58" hidden="1">{"Tab1",#N/A,FALSE,"P";"Tab2",#N/A,FALSE,"P"}</definedName>
    <definedName name="mf" localSheetId="59" hidden="1">{"Tab1",#N/A,FALSE,"P";"Tab2",#N/A,FALSE,"P"}</definedName>
    <definedName name="mf" localSheetId="62" hidden="1">{"Tab1",#N/A,FALSE,"P";"Tab2",#N/A,FALSE,"P"}</definedName>
    <definedName name="mf" localSheetId="70" hidden="1">{"Tab1",#N/A,FALSE,"P";"Tab2",#N/A,FALSE,"P"}</definedName>
    <definedName name="mf" localSheetId="71" hidden="1">{"Tab1",#N/A,FALSE,"P";"Tab2",#N/A,FALSE,"P"}</definedName>
    <definedName name="mf" localSheetId="72" hidden="1">{"Tab1",#N/A,FALSE,"P";"Tab2",#N/A,FALSE,"P"}</definedName>
    <definedName name="mf" localSheetId="73" hidden="1">{"Tab1",#N/A,FALSE,"P";"Tab2",#N/A,FALSE,"P"}</definedName>
    <definedName name="mf" localSheetId="74" hidden="1">{"Tab1",#N/A,FALSE,"P";"Tab2",#N/A,FALSE,"P"}</definedName>
    <definedName name="mf" localSheetId="75" hidden="1">{"Tab1",#N/A,FALSE,"P";"Tab2",#N/A,FALSE,"P"}</definedName>
    <definedName name="mf" localSheetId="76" hidden="1">{"Tab1",#N/A,FALSE,"P";"Tab2",#N/A,FALSE,"P"}</definedName>
    <definedName name="mf" localSheetId="79" hidden="1">{"Tab1",#N/A,FALSE,"P";"Tab2",#N/A,FALSE,"P"}</definedName>
    <definedName name="mf" localSheetId="80" hidden="1">{"Tab1",#N/A,FALSE,"P";"Tab2",#N/A,FALSE,"P"}</definedName>
    <definedName name="mf" localSheetId="81" hidden="1">{"Tab1",#N/A,FALSE,"P";"Tab2",#N/A,FALSE,"P"}</definedName>
    <definedName name="mf" localSheetId="83" hidden="1">{"Tab1",#N/A,FALSE,"P";"Tab2",#N/A,FALSE,"P"}</definedName>
    <definedName name="mf" localSheetId="97" hidden="1">{"Tab1",#N/A,FALSE,"P";"Tab2",#N/A,FALSE,"P"}</definedName>
    <definedName name="mf" localSheetId="98" hidden="1">{"Tab1",#N/A,FALSE,"P";"Tab2",#N/A,FALSE,"P"}</definedName>
    <definedName name="mf" localSheetId="99" hidden="1">{"Tab1",#N/A,FALSE,"P";"Tab2",#N/A,FALSE,"P"}</definedName>
    <definedName name="mf" localSheetId="100" hidden="1">{"Tab1",#N/A,FALSE,"P";"Tab2",#N/A,FALSE,"P"}</definedName>
    <definedName name="mf" localSheetId="101" hidden="1">{"Tab1",#N/A,FALSE,"P";"Tab2",#N/A,FALSE,"P"}</definedName>
    <definedName name="mf" localSheetId="108" hidden="1">{"Tab1",#N/A,FALSE,"P";"Tab2",#N/A,FALSE,"P"}</definedName>
    <definedName name="mf" localSheetId="115" hidden="1">{"Tab1",#N/A,FALSE,"P";"Tab2",#N/A,FALSE,"P"}</definedName>
    <definedName name="mf" localSheetId="5" hidden="1">{"Tab1",#N/A,FALSE,"P";"Tab2",#N/A,FALSE,"P"}</definedName>
    <definedName name="mf" localSheetId="7" hidden="1">{"Tab1",#N/A,FALSE,"P";"Tab2",#N/A,FALSE,"P"}</definedName>
    <definedName name="mf" localSheetId="8" hidden="1">{"Tab1",#N/A,FALSE,"P";"Tab2",#N/A,FALSE,"P"}</definedName>
    <definedName name="mf" localSheetId="9" hidden="1">{"Tab1",#N/A,FALSE,"P";"Tab2",#N/A,FALSE,"P"}</definedName>
    <definedName name="mf" localSheetId="10" hidden="1">{"Tab1",#N/A,FALSE,"P";"Tab2",#N/A,FALSE,"P"}</definedName>
    <definedName name="mf" localSheetId="14" hidden="1">{"Tab1",#N/A,FALSE,"P";"Tab2",#N/A,FALSE,"P"}</definedName>
    <definedName name="mf" localSheetId="19" hidden="1">{"Tab1",#N/A,FALSE,"P";"Tab2",#N/A,FALSE,"P"}</definedName>
    <definedName name="mf" localSheetId="21" hidden="1">{"Tab1",#N/A,FALSE,"P";"Tab2",#N/A,FALSE,"P"}</definedName>
    <definedName name="mf" localSheetId="23" hidden="1">{"Tab1",#N/A,FALSE,"P";"Tab2",#N/A,FALSE,"P"}</definedName>
    <definedName name="mf" localSheetId="24" hidden="1">{"Tab1",#N/A,FALSE,"P";"Tab2",#N/A,FALSE,"P"}</definedName>
    <definedName name="mf" localSheetId="25" hidden="1">{"Tab1",#N/A,FALSE,"P";"Tab2",#N/A,FALSE,"P"}</definedName>
    <definedName name="mf" localSheetId="27" hidden="1">{"Tab1",#N/A,FALSE,"P";"Tab2",#N/A,FALSE,"P"}</definedName>
    <definedName name="mf" localSheetId="30" hidden="1">{"Tab1",#N/A,FALSE,"P";"Tab2",#N/A,FALSE,"P"}</definedName>
    <definedName name="mf" localSheetId="33" hidden="1">{"Tab1",#N/A,FALSE,"P";"Tab2",#N/A,FALSE,"P"}</definedName>
    <definedName name="mf" localSheetId="34" hidden="1">{"Tab1",#N/A,FALSE,"P";"Tab2",#N/A,FALSE,"P"}</definedName>
    <definedName name="mf" localSheetId="35" hidden="1">{"Tab1",#N/A,FALSE,"P";"Tab2",#N/A,FALSE,"P"}</definedName>
    <definedName name="mf" localSheetId="36" hidden="1">{"Tab1",#N/A,FALSE,"P";"Tab2",#N/A,FALSE,"P"}</definedName>
    <definedName name="mf" localSheetId="37" hidden="1">{"Tab1",#N/A,FALSE,"P";"Tab2",#N/A,FALSE,"P"}</definedName>
    <definedName name="mf" localSheetId="38" hidden="1">{"Tab1",#N/A,FALSE,"P";"Tab2",#N/A,FALSE,"P"}</definedName>
    <definedName name="mf" localSheetId="39" hidden="1">{"Tab1",#N/A,FALSE,"P";"Tab2",#N/A,FALSE,"P"}</definedName>
    <definedName name="mf" localSheetId="40" hidden="1">{"Tab1",#N/A,FALSE,"P";"Tab2",#N/A,FALSE,"P"}</definedName>
    <definedName name="mf" localSheetId="44" hidden="1">{"Tab1",#N/A,FALSE,"P";"Tab2",#N/A,FALSE,"P"}</definedName>
    <definedName name="mf" hidden="1">{"Tab1",#N/A,FALSE,"P";"Tab2",#N/A,FALSE,"P"}</definedName>
    <definedName name="mmm" localSheetId="50" hidden="1">{"Riqfin97",#N/A,FALSE,"Tran";"Riqfinpro",#N/A,FALSE,"Tran"}</definedName>
    <definedName name="mmm" localSheetId="55" hidden="1">{"Riqfin97",#N/A,FALSE,"Tran";"Riqfinpro",#N/A,FALSE,"Tran"}</definedName>
    <definedName name="mmm" localSheetId="56" hidden="1">{"Riqfin97",#N/A,FALSE,"Tran";"Riqfinpro",#N/A,FALSE,"Tran"}</definedName>
    <definedName name="mmm" localSheetId="57" hidden="1">{"Riqfin97",#N/A,FALSE,"Tran";"Riqfinpro",#N/A,FALSE,"Tran"}</definedName>
    <definedName name="mmm" localSheetId="58" hidden="1">{"Riqfin97",#N/A,FALSE,"Tran";"Riqfinpro",#N/A,FALSE,"Tran"}</definedName>
    <definedName name="mmm" localSheetId="59" hidden="1">{"Riqfin97",#N/A,FALSE,"Tran";"Riqfinpro",#N/A,FALSE,"Tran"}</definedName>
    <definedName name="mmm" localSheetId="62" hidden="1">{"Riqfin97",#N/A,FALSE,"Tran";"Riqfinpro",#N/A,FALSE,"Tran"}</definedName>
    <definedName name="mmm" localSheetId="70" hidden="1">{"Riqfin97",#N/A,FALSE,"Tran";"Riqfinpro",#N/A,FALSE,"Tran"}</definedName>
    <definedName name="mmm" localSheetId="71" hidden="1">{"Riqfin97",#N/A,FALSE,"Tran";"Riqfinpro",#N/A,FALSE,"Tran"}</definedName>
    <definedName name="mmm" localSheetId="72" hidden="1">{"Riqfin97",#N/A,FALSE,"Tran";"Riqfinpro",#N/A,FALSE,"Tran"}</definedName>
    <definedName name="mmm" localSheetId="73" hidden="1">{"Riqfin97",#N/A,FALSE,"Tran";"Riqfinpro",#N/A,FALSE,"Tran"}</definedName>
    <definedName name="mmm" localSheetId="74" hidden="1">{"Riqfin97",#N/A,FALSE,"Tran";"Riqfinpro",#N/A,FALSE,"Tran"}</definedName>
    <definedName name="mmm" localSheetId="75" hidden="1">{"Riqfin97",#N/A,FALSE,"Tran";"Riqfinpro",#N/A,FALSE,"Tran"}</definedName>
    <definedName name="mmm" localSheetId="76" hidden="1">{"Riqfin97",#N/A,FALSE,"Tran";"Riqfinpro",#N/A,FALSE,"Tran"}</definedName>
    <definedName name="mmm" localSheetId="79" hidden="1">{"Riqfin97",#N/A,FALSE,"Tran";"Riqfinpro",#N/A,FALSE,"Tran"}</definedName>
    <definedName name="mmm" localSheetId="80" hidden="1">{"Riqfin97",#N/A,FALSE,"Tran";"Riqfinpro",#N/A,FALSE,"Tran"}</definedName>
    <definedName name="mmm" localSheetId="81" hidden="1">{"Riqfin97",#N/A,FALSE,"Tran";"Riqfinpro",#N/A,FALSE,"Tran"}</definedName>
    <definedName name="mmm" localSheetId="83" hidden="1">{"Riqfin97",#N/A,FALSE,"Tran";"Riqfinpro",#N/A,FALSE,"Tran"}</definedName>
    <definedName name="mmm" localSheetId="97" hidden="1">{"Riqfin97",#N/A,FALSE,"Tran";"Riqfinpro",#N/A,FALSE,"Tran"}</definedName>
    <definedName name="mmm" localSheetId="98" hidden="1">{"Riqfin97",#N/A,FALSE,"Tran";"Riqfinpro",#N/A,FALSE,"Tran"}</definedName>
    <definedName name="mmm" localSheetId="99" hidden="1">{"Riqfin97",#N/A,FALSE,"Tran";"Riqfinpro",#N/A,FALSE,"Tran"}</definedName>
    <definedName name="mmm" localSheetId="100" hidden="1">{"Riqfin97",#N/A,FALSE,"Tran";"Riqfinpro",#N/A,FALSE,"Tran"}</definedName>
    <definedName name="mmm" localSheetId="101" hidden="1">{"Riqfin97",#N/A,FALSE,"Tran";"Riqfinpro",#N/A,FALSE,"Tran"}</definedName>
    <definedName name="mmm" localSheetId="108" hidden="1">{"Riqfin97",#N/A,FALSE,"Tran";"Riqfinpro",#N/A,FALSE,"Tran"}</definedName>
    <definedName name="mmm" localSheetId="115" hidden="1">{"Riqfin97",#N/A,FALSE,"Tran";"Riqfinpro",#N/A,FALSE,"Tran"}</definedName>
    <definedName name="mmm" localSheetId="5" hidden="1">{"Riqfin97",#N/A,FALSE,"Tran";"Riqfinpro",#N/A,FALSE,"Tran"}</definedName>
    <definedName name="mmm" localSheetId="7" hidden="1">{"Riqfin97",#N/A,FALSE,"Tran";"Riqfinpro",#N/A,FALSE,"Tran"}</definedName>
    <definedName name="mmm" localSheetId="8" hidden="1">{"Riqfin97",#N/A,FALSE,"Tran";"Riqfinpro",#N/A,FALSE,"Tran"}</definedName>
    <definedName name="mmm" localSheetId="9" hidden="1">{"Riqfin97",#N/A,FALSE,"Tran";"Riqfinpro",#N/A,FALSE,"Tran"}</definedName>
    <definedName name="mmm" localSheetId="10" hidden="1">{"Riqfin97",#N/A,FALSE,"Tran";"Riqfinpro",#N/A,FALSE,"Tran"}</definedName>
    <definedName name="mmm" localSheetId="14" hidden="1">{"Riqfin97",#N/A,FALSE,"Tran";"Riqfinpro",#N/A,FALSE,"Tran"}</definedName>
    <definedName name="mmm" localSheetId="19" hidden="1">{"Riqfin97",#N/A,FALSE,"Tran";"Riqfinpro",#N/A,FALSE,"Tran"}</definedName>
    <definedName name="mmm" localSheetId="21" hidden="1">{"Riqfin97",#N/A,FALSE,"Tran";"Riqfinpro",#N/A,FALSE,"Tran"}</definedName>
    <definedName name="mmm" localSheetId="23" hidden="1">{"Riqfin97",#N/A,FALSE,"Tran";"Riqfinpro",#N/A,FALSE,"Tran"}</definedName>
    <definedName name="mmm" localSheetId="24" hidden="1">{"Riqfin97",#N/A,FALSE,"Tran";"Riqfinpro",#N/A,FALSE,"Tran"}</definedName>
    <definedName name="mmm" localSheetId="25" hidden="1">{"Riqfin97",#N/A,FALSE,"Tran";"Riqfinpro",#N/A,FALSE,"Tran"}</definedName>
    <definedName name="mmm" localSheetId="27" hidden="1">{"Riqfin97",#N/A,FALSE,"Tran";"Riqfinpro",#N/A,FALSE,"Tran"}</definedName>
    <definedName name="mmm" localSheetId="30" hidden="1">{"Riqfin97",#N/A,FALSE,"Tran";"Riqfinpro",#N/A,FALSE,"Tran"}</definedName>
    <definedName name="mmm" localSheetId="33" hidden="1">{"Riqfin97",#N/A,FALSE,"Tran";"Riqfinpro",#N/A,FALSE,"Tran"}</definedName>
    <definedName name="mmm" localSheetId="34" hidden="1">{"Riqfin97",#N/A,FALSE,"Tran";"Riqfinpro",#N/A,FALSE,"Tran"}</definedName>
    <definedName name="mmm" localSheetId="35" hidden="1">{"Riqfin97",#N/A,FALSE,"Tran";"Riqfinpro",#N/A,FALSE,"Tran"}</definedName>
    <definedName name="mmm" localSheetId="36" hidden="1">{"Riqfin97",#N/A,FALSE,"Tran";"Riqfinpro",#N/A,FALSE,"Tran"}</definedName>
    <definedName name="mmm" localSheetId="37" hidden="1">{"Riqfin97",#N/A,FALSE,"Tran";"Riqfinpro",#N/A,FALSE,"Tran"}</definedName>
    <definedName name="mmm" localSheetId="38" hidden="1">{"Riqfin97",#N/A,FALSE,"Tran";"Riqfinpro",#N/A,FALSE,"Tran"}</definedName>
    <definedName name="mmm" localSheetId="39" hidden="1">{"Riqfin97",#N/A,FALSE,"Tran";"Riqfinpro",#N/A,FALSE,"Tran"}</definedName>
    <definedName name="mmm" localSheetId="40" hidden="1">{"Riqfin97",#N/A,FALSE,"Tran";"Riqfinpro",#N/A,FALSE,"Tran"}</definedName>
    <definedName name="mmm" localSheetId="44" hidden="1">{"Riqfin97",#N/A,FALSE,"Tran";"Riqfinpro",#N/A,FALSE,"Tran"}</definedName>
    <definedName name="mmm" hidden="1">{"Riqfin97",#N/A,FALSE,"Tran";"Riqfinpro",#N/A,FALSE,"Tran"}</definedName>
    <definedName name="mmmm" localSheetId="50" hidden="1">{"Tab1",#N/A,FALSE,"P";"Tab2",#N/A,FALSE,"P"}</definedName>
    <definedName name="mmmm" localSheetId="55" hidden="1">{"Tab1",#N/A,FALSE,"P";"Tab2",#N/A,FALSE,"P"}</definedName>
    <definedName name="mmmm" localSheetId="56" hidden="1">{"Tab1",#N/A,FALSE,"P";"Tab2",#N/A,FALSE,"P"}</definedName>
    <definedName name="mmmm" localSheetId="57" hidden="1">{"Tab1",#N/A,FALSE,"P";"Tab2",#N/A,FALSE,"P"}</definedName>
    <definedName name="mmmm" localSheetId="58" hidden="1">{"Tab1",#N/A,FALSE,"P";"Tab2",#N/A,FALSE,"P"}</definedName>
    <definedName name="mmmm" localSheetId="59" hidden="1">{"Tab1",#N/A,FALSE,"P";"Tab2",#N/A,FALSE,"P"}</definedName>
    <definedName name="mmmm" localSheetId="62" hidden="1">{"Tab1",#N/A,FALSE,"P";"Tab2",#N/A,FALSE,"P"}</definedName>
    <definedName name="mmmm" localSheetId="70" hidden="1">{"Tab1",#N/A,FALSE,"P";"Tab2",#N/A,FALSE,"P"}</definedName>
    <definedName name="mmmm" localSheetId="71" hidden="1">{"Tab1",#N/A,FALSE,"P";"Tab2",#N/A,FALSE,"P"}</definedName>
    <definedName name="mmmm" localSheetId="72" hidden="1">{"Tab1",#N/A,FALSE,"P";"Tab2",#N/A,FALSE,"P"}</definedName>
    <definedName name="mmmm" localSheetId="73" hidden="1">{"Tab1",#N/A,FALSE,"P";"Tab2",#N/A,FALSE,"P"}</definedName>
    <definedName name="mmmm" localSheetId="74" hidden="1">{"Tab1",#N/A,FALSE,"P";"Tab2",#N/A,FALSE,"P"}</definedName>
    <definedName name="mmmm" localSheetId="75" hidden="1">{"Tab1",#N/A,FALSE,"P";"Tab2",#N/A,FALSE,"P"}</definedName>
    <definedName name="mmmm" localSheetId="76" hidden="1">{"Tab1",#N/A,FALSE,"P";"Tab2",#N/A,FALSE,"P"}</definedName>
    <definedName name="mmmm" localSheetId="79" hidden="1">{"Tab1",#N/A,FALSE,"P";"Tab2",#N/A,FALSE,"P"}</definedName>
    <definedName name="mmmm" localSheetId="80" hidden="1">{"Tab1",#N/A,FALSE,"P";"Tab2",#N/A,FALSE,"P"}</definedName>
    <definedName name="mmmm" localSheetId="81" hidden="1">{"Tab1",#N/A,FALSE,"P";"Tab2",#N/A,FALSE,"P"}</definedName>
    <definedName name="mmmm" localSheetId="83" hidden="1">{"Tab1",#N/A,FALSE,"P";"Tab2",#N/A,FALSE,"P"}</definedName>
    <definedName name="mmmm" localSheetId="97" hidden="1">{"Tab1",#N/A,FALSE,"P";"Tab2",#N/A,FALSE,"P"}</definedName>
    <definedName name="mmmm" localSheetId="98" hidden="1">{"Tab1",#N/A,FALSE,"P";"Tab2",#N/A,FALSE,"P"}</definedName>
    <definedName name="mmmm" localSheetId="99" hidden="1">{"Tab1",#N/A,FALSE,"P";"Tab2",#N/A,FALSE,"P"}</definedName>
    <definedName name="mmmm" localSheetId="100" hidden="1">{"Tab1",#N/A,FALSE,"P";"Tab2",#N/A,FALSE,"P"}</definedName>
    <definedName name="mmmm" localSheetId="101" hidden="1">{"Tab1",#N/A,FALSE,"P";"Tab2",#N/A,FALSE,"P"}</definedName>
    <definedName name="mmmm" localSheetId="108" hidden="1">{"Tab1",#N/A,FALSE,"P";"Tab2",#N/A,FALSE,"P"}</definedName>
    <definedName name="mmmm" localSheetId="115" hidden="1">{"Tab1",#N/A,FALSE,"P";"Tab2",#N/A,FALSE,"P"}</definedName>
    <definedName name="mmmm" localSheetId="5" hidden="1">{"Tab1",#N/A,FALSE,"P";"Tab2",#N/A,FALSE,"P"}</definedName>
    <definedName name="mmmm" localSheetId="7" hidden="1">{"Tab1",#N/A,FALSE,"P";"Tab2",#N/A,FALSE,"P"}</definedName>
    <definedName name="mmmm" localSheetId="8" hidden="1">{"Tab1",#N/A,FALSE,"P";"Tab2",#N/A,FALSE,"P"}</definedName>
    <definedName name="mmmm" localSheetId="9" hidden="1">{"Tab1",#N/A,FALSE,"P";"Tab2",#N/A,FALSE,"P"}</definedName>
    <definedName name="mmmm" localSheetId="10" hidden="1">{"Tab1",#N/A,FALSE,"P";"Tab2",#N/A,FALSE,"P"}</definedName>
    <definedName name="mmmm" localSheetId="14" hidden="1">{"Tab1",#N/A,FALSE,"P";"Tab2",#N/A,FALSE,"P"}</definedName>
    <definedName name="mmmm" localSheetId="19" hidden="1">{"Tab1",#N/A,FALSE,"P";"Tab2",#N/A,FALSE,"P"}</definedName>
    <definedName name="mmmm" localSheetId="21" hidden="1">{"Tab1",#N/A,FALSE,"P";"Tab2",#N/A,FALSE,"P"}</definedName>
    <definedName name="mmmm" localSheetId="23" hidden="1">{"Tab1",#N/A,FALSE,"P";"Tab2",#N/A,FALSE,"P"}</definedName>
    <definedName name="mmmm" localSheetId="24" hidden="1">{"Tab1",#N/A,FALSE,"P";"Tab2",#N/A,FALSE,"P"}</definedName>
    <definedName name="mmmm" localSheetId="25" hidden="1">{"Tab1",#N/A,FALSE,"P";"Tab2",#N/A,FALSE,"P"}</definedName>
    <definedName name="mmmm" localSheetId="27" hidden="1">{"Tab1",#N/A,FALSE,"P";"Tab2",#N/A,FALSE,"P"}</definedName>
    <definedName name="mmmm" localSheetId="30" hidden="1">{"Tab1",#N/A,FALSE,"P";"Tab2",#N/A,FALSE,"P"}</definedName>
    <definedName name="mmmm" localSheetId="33" hidden="1">{"Tab1",#N/A,FALSE,"P";"Tab2",#N/A,FALSE,"P"}</definedName>
    <definedName name="mmmm" localSheetId="34" hidden="1">{"Tab1",#N/A,FALSE,"P";"Tab2",#N/A,FALSE,"P"}</definedName>
    <definedName name="mmmm" localSheetId="35" hidden="1">{"Tab1",#N/A,FALSE,"P";"Tab2",#N/A,FALSE,"P"}</definedName>
    <definedName name="mmmm" localSheetId="36" hidden="1">{"Tab1",#N/A,FALSE,"P";"Tab2",#N/A,FALSE,"P"}</definedName>
    <definedName name="mmmm" localSheetId="37" hidden="1">{"Tab1",#N/A,FALSE,"P";"Tab2",#N/A,FALSE,"P"}</definedName>
    <definedName name="mmmm" localSheetId="38" hidden="1">{"Tab1",#N/A,FALSE,"P";"Tab2",#N/A,FALSE,"P"}</definedName>
    <definedName name="mmmm" localSheetId="39" hidden="1">{"Tab1",#N/A,FALSE,"P";"Tab2",#N/A,FALSE,"P"}</definedName>
    <definedName name="mmmm" localSheetId="40" hidden="1">{"Tab1",#N/A,FALSE,"P";"Tab2",#N/A,FALSE,"P"}</definedName>
    <definedName name="mmmm" localSheetId="44" hidden="1">{"Tab1",#N/A,FALSE,"P";"Tab2",#N/A,FALSE,"P"}</definedName>
    <definedName name="mmmm" hidden="1">{"Tab1",#N/A,FALSE,"P";"Tab2",#N/A,FALSE,"P"}</definedName>
    <definedName name="nm" localSheetId="18" hidden="1">{"'előző év december'!$A$2:$CP$214"}</definedName>
    <definedName name="nn" localSheetId="50" hidden="1">{"Riqfin97",#N/A,FALSE,"Tran";"Riqfinpro",#N/A,FALSE,"Tran"}</definedName>
    <definedName name="nn" localSheetId="55" hidden="1">{"Riqfin97",#N/A,FALSE,"Tran";"Riqfinpro",#N/A,FALSE,"Tran"}</definedName>
    <definedName name="nn" localSheetId="56" hidden="1">{"Riqfin97",#N/A,FALSE,"Tran";"Riqfinpro",#N/A,FALSE,"Tran"}</definedName>
    <definedName name="nn" localSheetId="57" hidden="1">{"Riqfin97",#N/A,FALSE,"Tran";"Riqfinpro",#N/A,FALSE,"Tran"}</definedName>
    <definedName name="nn" localSheetId="58" hidden="1">{"Riqfin97",#N/A,FALSE,"Tran";"Riqfinpro",#N/A,FALSE,"Tran"}</definedName>
    <definedName name="nn" localSheetId="59" hidden="1">{"Riqfin97",#N/A,FALSE,"Tran";"Riqfinpro",#N/A,FALSE,"Tran"}</definedName>
    <definedName name="nn" localSheetId="62" hidden="1">{"Riqfin97",#N/A,FALSE,"Tran";"Riqfinpro",#N/A,FALSE,"Tran"}</definedName>
    <definedName name="nn" localSheetId="70" hidden="1">{"Riqfin97",#N/A,FALSE,"Tran";"Riqfinpro",#N/A,FALSE,"Tran"}</definedName>
    <definedName name="nn" localSheetId="71" hidden="1">{"Riqfin97",#N/A,FALSE,"Tran";"Riqfinpro",#N/A,FALSE,"Tran"}</definedName>
    <definedName name="nn" localSheetId="72" hidden="1">{"Riqfin97",#N/A,FALSE,"Tran";"Riqfinpro",#N/A,FALSE,"Tran"}</definedName>
    <definedName name="nn" localSheetId="73" hidden="1">{"Riqfin97",#N/A,FALSE,"Tran";"Riqfinpro",#N/A,FALSE,"Tran"}</definedName>
    <definedName name="nn" localSheetId="74" hidden="1">{"Riqfin97",#N/A,FALSE,"Tran";"Riqfinpro",#N/A,FALSE,"Tran"}</definedName>
    <definedName name="nn" localSheetId="75" hidden="1">{"Riqfin97",#N/A,FALSE,"Tran";"Riqfinpro",#N/A,FALSE,"Tran"}</definedName>
    <definedName name="nn" localSheetId="76" hidden="1">{"Riqfin97",#N/A,FALSE,"Tran";"Riqfinpro",#N/A,FALSE,"Tran"}</definedName>
    <definedName name="nn" localSheetId="79" hidden="1">{"Riqfin97",#N/A,FALSE,"Tran";"Riqfinpro",#N/A,FALSE,"Tran"}</definedName>
    <definedName name="nn" localSheetId="80" hidden="1">{"Riqfin97",#N/A,FALSE,"Tran";"Riqfinpro",#N/A,FALSE,"Tran"}</definedName>
    <definedName name="nn" localSheetId="81" hidden="1">{"Riqfin97",#N/A,FALSE,"Tran";"Riqfinpro",#N/A,FALSE,"Tran"}</definedName>
    <definedName name="nn" localSheetId="83" hidden="1">{"Riqfin97",#N/A,FALSE,"Tran";"Riqfinpro",#N/A,FALSE,"Tran"}</definedName>
    <definedName name="nn" localSheetId="97" hidden="1">{"Riqfin97",#N/A,FALSE,"Tran";"Riqfinpro",#N/A,FALSE,"Tran"}</definedName>
    <definedName name="nn" localSheetId="98" hidden="1">{"Riqfin97",#N/A,FALSE,"Tran";"Riqfinpro",#N/A,FALSE,"Tran"}</definedName>
    <definedName name="nn" localSheetId="99" hidden="1">{"Riqfin97",#N/A,FALSE,"Tran";"Riqfinpro",#N/A,FALSE,"Tran"}</definedName>
    <definedName name="nn" localSheetId="100" hidden="1">{"Riqfin97",#N/A,FALSE,"Tran";"Riqfinpro",#N/A,FALSE,"Tran"}</definedName>
    <definedName name="nn" localSheetId="101" hidden="1">{"Riqfin97",#N/A,FALSE,"Tran";"Riqfinpro",#N/A,FALSE,"Tran"}</definedName>
    <definedName name="nn" localSheetId="108" hidden="1">{"Riqfin97",#N/A,FALSE,"Tran";"Riqfinpro",#N/A,FALSE,"Tran"}</definedName>
    <definedName name="nn" localSheetId="115" hidden="1">{"Riqfin97",#N/A,FALSE,"Tran";"Riqfinpro",#N/A,FALSE,"Tran"}</definedName>
    <definedName name="nn" localSheetId="5" hidden="1">{"Riqfin97",#N/A,FALSE,"Tran";"Riqfinpro",#N/A,FALSE,"Tran"}</definedName>
    <definedName name="nn" localSheetId="7" hidden="1">{"Riqfin97",#N/A,FALSE,"Tran";"Riqfinpro",#N/A,FALSE,"Tran"}</definedName>
    <definedName name="nn" localSheetId="8" hidden="1">{"Riqfin97",#N/A,FALSE,"Tran";"Riqfinpro",#N/A,FALSE,"Tran"}</definedName>
    <definedName name="nn" localSheetId="9" hidden="1">{"Riqfin97",#N/A,FALSE,"Tran";"Riqfinpro",#N/A,FALSE,"Tran"}</definedName>
    <definedName name="nn" localSheetId="10" hidden="1">{"Riqfin97",#N/A,FALSE,"Tran";"Riqfinpro",#N/A,FALSE,"Tran"}</definedName>
    <definedName name="nn" localSheetId="14" hidden="1">{"Riqfin97",#N/A,FALSE,"Tran";"Riqfinpro",#N/A,FALSE,"Tran"}</definedName>
    <definedName name="nn" localSheetId="19" hidden="1">{"Riqfin97",#N/A,FALSE,"Tran";"Riqfinpro",#N/A,FALSE,"Tran"}</definedName>
    <definedName name="nn" localSheetId="21" hidden="1">{"Riqfin97",#N/A,FALSE,"Tran";"Riqfinpro",#N/A,FALSE,"Tran"}</definedName>
    <definedName name="nn" localSheetId="23" hidden="1">{"Riqfin97",#N/A,FALSE,"Tran";"Riqfinpro",#N/A,FALSE,"Tran"}</definedName>
    <definedName name="nn" localSheetId="24" hidden="1">{"Riqfin97",#N/A,FALSE,"Tran";"Riqfinpro",#N/A,FALSE,"Tran"}</definedName>
    <definedName name="nn" localSheetId="25" hidden="1">{"Riqfin97",#N/A,FALSE,"Tran";"Riqfinpro",#N/A,FALSE,"Tran"}</definedName>
    <definedName name="nn" localSheetId="27" hidden="1">{"Riqfin97",#N/A,FALSE,"Tran";"Riqfinpro",#N/A,FALSE,"Tran"}</definedName>
    <definedName name="nn" localSheetId="30" hidden="1">{"Riqfin97",#N/A,FALSE,"Tran";"Riqfinpro",#N/A,FALSE,"Tran"}</definedName>
    <definedName name="nn" localSheetId="33" hidden="1">{"Riqfin97",#N/A,FALSE,"Tran";"Riqfinpro",#N/A,FALSE,"Tran"}</definedName>
    <definedName name="nn" localSheetId="34" hidden="1">{"Riqfin97",#N/A,FALSE,"Tran";"Riqfinpro",#N/A,FALSE,"Tran"}</definedName>
    <definedName name="nn" localSheetId="35" hidden="1">{"Riqfin97",#N/A,FALSE,"Tran";"Riqfinpro",#N/A,FALSE,"Tran"}</definedName>
    <definedName name="nn" localSheetId="36" hidden="1">{"Riqfin97",#N/A,FALSE,"Tran";"Riqfinpro",#N/A,FALSE,"Tran"}</definedName>
    <definedName name="nn" localSheetId="37" hidden="1">{"Riqfin97",#N/A,FALSE,"Tran";"Riqfinpro",#N/A,FALSE,"Tran"}</definedName>
    <definedName name="nn" localSheetId="38" hidden="1">{"Riqfin97",#N/A,FALSE,"Tran";"Riqfinpro",#N/A,FALSE,"Tran"}</definedName>
    <definedName name="nn" localSheetId="39" hidden="1">{"Riqfin97",#N/A,FALSE,"Tran";"Riqfinpro",#N/A,FALSE,"Tran"}</definedName>
    <definedName name="nn" localSheetId="40" hidden="1">{"Riqfin97",#N/A,FALSE,"Tran";"Riqfinpro",#N/A,FALSE,"Tran"}</definedName>
    <definedName name="nn" localSheetId="44" hidden="1">{"Riqfin97",#N/A,FALSE,"Tran";"Riqfinpro",#N/A,FALSE,"Tran"}</definedName>
    <definedName name="nn" hidden="1">{"Riqfin97",#N/A,FALSE,"Tran";"Riqfinpro",#N/A,FALSE,"Tran"}</definedName>
    <definedName name="nnn" localSheetId="50" hidden="1">{"Tab1",#N/A,FALSE,"P";"Tab2",#N/A,FALSE,"P"}</definedName>
    <definedName name="nnn" localSheetId="55" hidden="1">{"Tab1",#N/A,FALSE,"P";"Tab2",#N/A,FALSE,"P"}</definedName>
    <definedName name="nnn" localSheetId="56" hidden="1">{"Tab1",#N/A,FALSE,"P";"Tab2",#N/A,FALSE,"P"}</definedName>
    <definedName name="nnn" localSheetId="57" hidden="1">{"Tab1",#N/A,FALSE,"P";"Tab2",#N/A,FALSE,"P"}</definedName>
    <definedName name="nnn" localSheetId="58" hidden="1">{"Tab1",#N/A,FALSE,"P";"Tab2",#N/A,FALSE,"P"}</definedName>
    <definedName name="nnn" localSheetId="59" hidden="1">{"Tab1",#N/A,FALSE,"P";"Tab2",#N/A,FALSE,"P"}</definedName>
    <definedName name="nnn" localSheetId="62" hidden="1">{"Tab1",#N/A,FALSE,"P";"Tab2",#N/A,FALSE,"P"}</definedName>
    <definedName name="nnn" localSheetId="70" hidden="1">{"Tab1",#N/A,FALSE,"P";"Tab2",#N/A,FALSE,"P"}</definedName>
    <definedName name="nnn" localSheetId="71" hidden="1">{"Tab1",#N/A,FALSE,"P";"Tab2",#N/A,FALSE,"P"}</definedName>
    <definedName name="nnn" localSheetId="72" hidden="1">{"Tab1",#N/A,FALSE,"P";"Tab2",#N/A,FALSE,"P"}</definedName>
    <definedName name="nnn" localSheetId="73" hidden="1">{"Tab1",#N/A,FALSE,"P";"Tab2",#N/A,FALSE,"P"}</definedName>
    <definedName name="nnn" localSheetId="74" hidden="1">{"Tab1",#N/A,FALSE,"P";"Tab2",#N/A,FALSE,"P"}</definedName>
    <definedName name="nnn" localSheetId="75" hidden="1">{"Tab1",#N/A,FALSE,"P";"Tab2",#N/A,FALSE,"P"}</definedName>
    <definedName name="nnn" localSheetId="76" hidden="1">{"Tab1",#N/A,FALSE,"P";"Tab2",#N/A,FALSE,"P"}</definedName>
    <definedName name="nnn" localSheetId="79" hidden="1">{"Tab1",#N/A,FALSE,"P";"Tab2",#N/A,FALSE,"P"}</definedName>
    <definedName name="nnn" localSheetId="80" hidden="1">{"Tab1",#N/A,FALSE,"P";"Tab2",#N/A,FALSE,"P"}</definedName>
    <definedName name="nnn" localSheetId="81" hidden="1">{"Tab1",#N/A,FALSE,"P";"Tab2",#N/A,FALSE,"P"}</definedName>
    <definedName name="nnn" localSheetId="83" hidden="1">{"Tab1",#N/A,FALSE,"P";"Tab2",#N/A,FALSE,"P"}</definedName>
    <definedName name="nnn" localSheetId="97" hidden="1">{"Tab1",#N/A,FALSE,"P";"Tab2",#N/A,FALSE,"P"}</definedName>
    <definedName name="nnn" localSheetId="98" hidden="1">{"Tab1",#N/A,FALSE,"P";"Tab2",#N/A,FALSE,"P"}</definedName>
    <definedName name="nnn" localSheetId="99" hidden="1">{"Tab1",#N/A,FALSE,"P";"Tab2",#N/A,FALSE,"P"}</definedName>
    <definedName name="nnn" localSheetId="100" hidden="1">{"Tab1",#N/A,FALSE,"P";"Tab2",#N/A,FALSE,"P"}</definedName>
    <definedName name="nnn" localSheetId="101" hidden="1">{"Tab1",#N/A,FALSE,"P";"Tab2",#N/A,FALSE,"P"}</definedName>
    <definedName name="nnn" localSheetId="108" hidden="1">{"Tab1",#N/A,FALSE,"P";"Tab2",#N/A,FALSE,"P"}</definedName>
    <definedName name="nnn" localSheetId="115" hidden="1">{"Tab1",#N/A,FALSE,"P";"Tab2",#N/A,FALSE,"P"}</definedName>
    <definedName name="nnn" localSheetId="5" hidden="1">{"Tab1",#N/A,FALSE,"P";"Tab2",#N/A,FALSE,"P"}</definedName>
    <definedName name="nnn" localSheetId="7" hidden="1">{"Tab1",#N/A,FALSE,"P";"Tab2",#N/A,FALSE,"P"}</definedName>
    <definedName name="nnn" localSheetId="8" hidden="1">{"Tab1",#N/A,FALSE,"P";"Tab2",#N/A,FALSE,"P"}</definedName>
    <definedName name="nnn" localSheetId="9" hidden="1">{"Tab1",#N/A,FALSE,"P";"Tab2",#N/A,FALSE,"P"}</definedName>
    <definedName name="nnn" localSheetId="10" hidden="1">{"Tab1",#N/A,FALSE,"P";"Tab2",#N/A,FALSE,"P"}</definedName>
    <definedName name="nnn" localSheetId="14" hidden="1">{"Tab1",#N/A,FALSE,"P";"Tab2",#N/A,FALSE,"P"}</definedName>
    <definedName name="nnn" localSheetId="19" hidden="1">{"Tab1",#N/A,FALSE,"P";"Tab2",#N/A,FALSE,"P"}</definedName>
    <definedName name="nnn" localSheetId="21" hidden="1">{"Tab1",#N/A,FALSE,"P";"Tab2",#N/A,FALSE,"P"}</definedName>
    <definedName name="nnn" localSheetId="23" hidden="1">{"Tab1",#N/A,FALSE,"P";"Tab2",#N/A,FALSE,"P"}</definedName>
    <definedName name="nnn" localSheetId="24" hidden="1">{"Tab1",#N/A,FALSE,"P";"Tab2",#N/A,FALSE,"P"}</definedName>
    <definedName name="nnn" localSheetId="25" hidden="1">{"Tab1",#N/A,FALSE,"P";"Tab2",#N/A,FALSE,"P"}</definedName>
    <definedName name="nnn" localSheetId="27" hidden="1">{"Tab1",#N/A,FALSE,"P";"Tab2",#N/A,FALSE,"P"}</definedName>
    <definedName name="nnn" localSheetId="30" hidden="1">{"Tab1",#N/A,FALSE,"P";"Tab2",#N/A,FALSE,"P"}</definedName>
    <definedName name="nnn" localSheetId="33" hidden="1">{"Tab1",#N/A,FALSE,"P";"Tab2",#N/A,FALSE,"P"}</definedName>
    <definedName name="nnn" localSheetId="34" hidden="1">{"Tab1",#N/A,FALSE,"P";"Tab2",#N/A,FALSE,"P"}</definedName>
    <definedName name="nnn" localSheetId="35" hidden="1">{"Tab1",#N/A,FALSE,"P";"Tab2",#N/A,FALSE,"P"}</definedName>
    <definedName name="nnn" localSheetId="36" hidden="1">{"Tab1",#N/A,FALSE,"P";"Tab2",#N/A,FALSE,"P"}</definedName>
    <definedName name="nnn" localSheetId="37" hidden="1">{"Tab1",#N/A,FALSE,"P";"Tab2",#N/A,FALSE,"P"}</definedName>
    <definedName name="nnn" localSheetId="38" hidden="1">{"Tab1",#N/A,FALSE,"P";"Tab2",#N/A,FALSE,"P"}</definedName>
    <definedName name="nnn" localSheetId="39" hidden="1">{"Tab1",#N/A,FALSE,"P";"Tab2",#N/A,FALSE,"P"}</definedName>
    <definedName name="nnn" localSheetId="40" hidden="1">{"Tab1",#N/A,FALSE,"P";"Tab2",#N/A,FALSE,"P"}</definedName>
    <definedName name="nnn" localSheetId="44" hidden="1">{"Tab1",#N/A,FALSE,"P";"Tab2",#N/A,FALSE,"P"}</definedName>
    <definedName name="nnn" hidden="1">{"Tab1",#N/A,FALSE,"P";"Tab2",#N/A,FALSE,"P"}</definedName>
    <definedName name="oliu" localSheetId="50" hidden="1">{"WEO",#N/A,FALSE,"T"}</definedName>
    <definedName name="oliu" localSheetId="55" hidden="1">{"WEO",#N/A,FALSE,"T"}</definedName>
    <definedName name="oliu" localSheetId="56" hidden="1">{"WEO",#N/A,FALSE,"T"}</definedName>
    <definedName name="oliu" localSheetId="57" hidden="1">{"WEO",#N/A,FALSE,"T"}</definedName>
    <definedName name="oliu" localSheetId="58" hidden="1">{"WEO",#N/A,FALSE,"T"}</definedName>
    <definedName name="oliu" localSheetId="59" hidden="1">{"WEO",#N/A,FALSE,"T"}</definedName>
    <definedName name="oliu" localSheetId="62" hidden="1">{"WEO",#N/A,FALSE,"T"}</definedName>
    <definedName name="oliu" localSheetId="70" hidden="1">{"WEO",#N/A,FALSE,"T"}</definedName>
    <definedName name="oliu" localSheetId="71" hidden="1">{"WEO",#N/A,FALSE,"T"}</definedName>
    <definedName name="oliu" localSheetId="72" hidden="1">{"WEO",#N/A,FALSE,"T"}</definedName>
    <definedName name="oliu" localSheetId="73" hidden="1">{"WEO",#N/A,FALSE,"T"}</definedName>
    <definedName name="oliu" localSheetId="74" hidden="1">{"WEO",#N/A,FALSE,"T"}</definedName>
    <definedName name="oliu" localSheetId="75" hidden="1">{"WEO",#N/A,FALSE,"T"}</definedName>
    <definedName name="oliu" localSheetId="76" hidden="1">{"WEO",#N/A,FALSE,"T"}</definedName>
    <definedName name="oliu" localSheetId="79" hidden="1">{"WEO",#N/A,FALSE,"T"}</definedName>
    <definedName name="oliu" localSheetId="80" hidden="1">{"WEO",#N/A,FALSE,"T"}</definedName>
    <definedName name="oliu" localSheetId="81" hidden="1">{"WEO",#N/A,FALSE,"T"}</definedName>
    <definedName name="oliu" localSheetId="83" hidden="1">{"WEO",#N/A,FALSE,"T"}</definedName>
    <definedName name="oliu" localSheetId="97" hidden="1">{"WEO",#N/A,FALSE,"T"}</definedName>
    <definedName name="oliu" localSheetId="98" hidden="1">{"WEO",#N/A,FALSE,"T"}</definedName>
    <definedName name="oliu" localSheetId="99" hidden="1">{"WEO",#N/A,FALSE,"T"}</definedName>
    <definedName name="oliu" localSheetId="100" hidden="1">{"WEO",#N/A,FALSE,"T"}</definedName>
    <definedName name="oliu" localSheetId="101" hidden="1">{"WEO",#N/A,FALSE,"T"}</definedName>
    <definedName name="oliu" localSheetId="108" hidden="1">{"WEO",#N/A,FALSE,"T"}</definedName>
    <definedName name="oliu" localSheetId="115" hidden="1">{"WEO",#N/A,FALSE,"T"}</definedName>
    <definedName name="oliu" localSheetId="5" hidden="1">{"WEO",#N/A,FALSE,"T"}</definedName>
    <definedName name="oliu" localSheetId="7" hidden="1">{"WEO",#N/A,FALSE,"T"}</definedName>
    <definedName name="oliu" localSheetId="8" hidden="1">{"WEO",#N/A,FALSE,"T"}</definedName>
    <definedName name="oliu" localSheetId="9" hidden="1">{"WEO",#N/A,FALSE,"T"}</definedName>
    <definedName name="oliu" localSheetId="10" hidden="1">{"WEO",#N/A,FALSE,"T"}</definedName>
    <definedName name="oliu" localSheetId="14" hidden="1">{"WEO",#N/A,FALSE,"T"}</definedName>
    <definedName name="oliu" localSheetId="19" hidden="1">{"WEO",#N/A,FALSE,"T"}</definedName>
    <definedName name="oliu" localSheetId="21" hidden="1">{"WEO",#N/A,FALSE,"T"}</definedName>
    <definedName name="oliu" localSheetId="23" hidden="1">{"WEO",#N/A,FALSE,"T"}</definedName>
    <definedName name="oliu" localSheetId="24" hidden="1">{"WEO",#N/A,FALSE,"T"}</definedName>
    <definedName name="oliu" localSheetId="25" hidden="1">{"WEO",#N/A,FALSE,"T"}</definedName>
    <definedName name="oliu" localSheetId="27" hidden="1">{"WEO",#N/A,FALSE,"T"}</definedName>
    <definedName name="oliu" localSheetId="30" hidden="1">{"WEO",#N/A,FALSE,"T"}</definedName>
    <definedName name="oliu" localSheetId="33" hidden="1">{"WEO",#N/A,FALSE,"T"}</definedName>
    <definedName name="oliu" localSheetId="34" hidden="1">{"WEO",#N/A,FALSE,"T"}</definedName>
    <definedName name="oliu" localSheetId="35" hidden="1">{"WEO",#N/A,FALSE,"T"}</definedName>
    <definedName name="oliu" localSheetId="36" hidden="1">{"WEO",#N/A,FALSE,"T"}</definedName>
    <definedName name="oliu" localSheetId="37" hidden="1">{"WEO",#N/A,FALSE,"T"}</definedName>
    <definedName name="oliu" localSheetId="38" hidden="1">{"WEO",#N/A,FALSE,"T"}</definedName>
    <definedName name="oliu" localSheetId="39" hidden="1">{"WEO",#N/A,FALSE,"T"}</definedName>
    <definedName name="oliu" localSheetId="40" hidden="1">{"WEO",#N/A,FALSE,"T"}</definedName>
    <definedName name="oliu" hidden="1">{"WEO",#N/A,FALSE,"T"}</definedName>
    <definedName name="oo" localSheetId="50" hidden="1">{"Riqfin97",#N/A,FALSE,"Tran";"Riqfinpro",#N/A,FALSE,"Tran"}</definedName>
    <definedName name="oo" localSheetId="55" hidden="1">{"Riqfin97",#N/A,FALSE,"Tran";"Riqfinpro",#N/A,FALSE,"Tran"}</definedName>
    <definedName name="oo" localSheetId="56" hidden="1">{"Riqfin97",#N/A,FALSE,"Tran";"Riqfinpro",#N/A,FALSE,"Tran"}</definedName>
    <definedName name="oo" localSheetId="57" hidden="1">{"Riqfin97",#N/A,FALSE,"Tran";"Riqfinpro",#N/A,FALSE,"Tran"}</definedName>
    <definedName name="oo" localSheetId="58" hidden="1">{"Riqfin97",#N/A,FALSE,"Tran";"Riqfinpro",#N/A,FALSE,"Tran"}</definedName>
    <definedName name="oo" localSheetId="59" hidden="1">{"Riqfin97",#N/A,FALSE,"Tran";"Riqfinpro",#N/A,FALSE,"Tran"}</definedName>
    <definedName name="oo" localSheetId="62" hidden="1">{"Riqfin97",#N/A,FALSE,"Tran";"Riqfinpro",#N/A,FALSE,"Tran"}</definedName>
    <definedName name="oo" localSheetId="70" hidden="1">{"Riqfin97",#N/A,FALSE,"Tran";"Riqfinpro",#N/A,FALSE,"Tran"}</definedName>
    <definedName name="oo" localSheetId="71" hidden="1">{"Riqfin97",#N/A,FALSE,"Tran";"Riqfinpro",#N/A,FALSE,"Tran"}</definedName>
    <definedName name="oo" localSheetId="72" hidden="1">{"Riqfin97",#N/A,FALSE,"Tran";"Riqfinpro",#N/A,FALSE,"Tran"}</definedName>
    <definedName name="oo" localSheetId="73" hidden="1">{"Riqfin97",#N/A,FALSE,"Tran";"Riqfinpro",#N/A,FALSE,"Tran"}</definedName>
    <definedName name="oo" localSheetId="74" hidden="1">{"Riqfin97",#N/A,FALSE,"Tran";"Riqfinpro",#N/A,FALSE,"Tran"}</definedName>
    <definedName name="oo" localSheetId="75" hidden="1">{"Riqfin97",#N/A,FALSE,"Tran";"Riqfinpro",#N/A,FALSE,"Tran"}</definedName>
    <definedName name="oo" localSheetId="76" hidden="1">{"Riqfin97",#N/A,FALSE,"Tran";"Riqfinpro",#N/A,FALSE,"Tran"}</definedName>
    <definedName name="oo" localSheetId="79" hidden="1">{"Riqfin97",#N/A,FALSE,"Tran";"Riqfinpro",#N/A,FALSE,"Tran"}</definedName>
    <definedName name="oo" localSheetId="80" hidden="1">{"Riqfin97",#N/A,FALSE,"Tran";"Riqfinpro",#N/A,FALSE,"Tran"}</definedName>
    <definedName name="oo" localSheetId="81" hidden="1">{"Riqfin97",#N/A,FALSE,"Tran";"Riqfinpro",#N/A,FALSE,"Tran"}</definedName>
    <definedName name="oo" localSheetId="83" hidden="1">{"Riqfin97",#N/A,FALSE,"Tran";"Riqfinpro",#N/A,FALSE,"Tran"}</definedName>
    <definedName name="oo" localSheetId="97" hidden="1">{"Riqfin97",#N/A,FALSE,"Tran";"Riqfinpro",#N/A,FALSE,"Tran"}</definedName>
    <definedName name="oo" localSheetId="98" hidden="1">{"Riqfin97",#N/A,FALSE,"Tran";"Riqfinpro",#N/A,FALSE,"Tran"}</definedName>
    <definedName name="oo" localSheetId="99" hidden="1">{"Riqfin97",#N/A,FALSE,"Tran";"Riqfinpro",#N/A,FALSE,"Tran"}</definedName>
    <definedName name="oo" localSheetId="100" hidden="1">{"Riqfin97",#N/A,FALSE,"Tran";"Riqfinpro",#N/A,FALSE,"Tran"}</definedName>
    <definedName name="oo" localSheetId="101" hidden="1">{"Riqfin97",#N/A,FALSE,"Tran";"Riqfinpro",#N/A,FALSE,"Tran"}</definedName>
    <definedName name="oo" localSheetId="108" hidden="1">{"Riqfin97",#N/A,FALSE,"Tran";"Riqfinpro",#N/A,FALSE,"Tran"}</definedName>
    <definedName name="oo" localSheetId="115" hidden="1">{"Riqfin97",#N/A,FALSE,"Tran";"Riqfinpro",#N/A,FALSE,"Tran"}</definedName>
    <definedName name="oo" localSheetId="5" hidden="1">{"Riqfin97",#N/A,FALSE,"Tran";"Riqfinpro",#N/A,FALSE,"Tran"}</definedName>
    <definedName name="oo" localSheetId="7" hidden="1">{"Riqfin97",#N/A,FALSE,"Tran";"Riqfinpro",#N/A,FALSE,"Tran"}</definedName>
    <definedName name="oo" localSheetId="8" hidden="1">{"Riqfin97",#N/A,FALSE,"Tran";"Riqfinpro",#N/A,FALSE,"Tran"}</definedName>
    <definedName name="oo" localSheetId="9" hidden="1">{"Riqfin97",#N/A,FALSE,"Tran";"Riqfinpro",#N/A,FALSE,"Tran"}</definedName>
    <definedName name="oo" localSheetId="10" hidden="1">{"Riqfin97",#N/A,FALSE,"Tran";"Riqfinpro",#N/A,FALSE,"Tran"}</definedName>
    <definedName name="oo" localSheetId="14" hidden="1">{"Riqfin97",#N/A,FALSE,"Tran";"Riqfinpro",#N/A,FALSE,"Tran"}</definedName>
    <definedName name="oo" localSheetId="19" hidden="1">{"Riqfin97",#N/A,FALSE,"Tran";"Riqfinpro",#N/A,FALSE,"Tran"}</definedName>
    <definedName name="oo" localSheetId="21" hidden="1">{"Riqfin97",#N/A,FALSE,"Tran";"Riqfinpro",#N/A,FALSE,"Tran"}</definedName>
    <definedName name="oo" localSheetId="23" hidden="1">{"Riqfin97",#N/A,FALSE,"Tran";"Riqfinpro",#N/A,FALSE,"Tran"}</definedName>
    <definedName name="oo" localSheetId="24" hidden="1">{"Riqfin97",#N/A,FALSE,"Tran";"Riqfinpro",#N/A,FALSE,"Tran"}</definedName>
    <definedName name="oo" localSheetId="25" hidden="1">{"Riqfin97",#N/A,FALSE,"Tran";"Riqfinpro",#N/A,FALSE,"Tran"}</definedName>
    <definedName name="oo" localSheetId="27" hidden="1">{"Riqfin97",#N/A,FALSE,"Tran";"Riqfinpro",#N/A,FALSE,"Tran"}</definedName>
    <definedName name="oo" localSheetId="30" hidden="1">{"Riqfin97",#N/A,FALSE,"Tran";"Riqfinpro",#N/A,FALSE,"Tran"}</definedName>
    <definedName name="oo" localSheetId="33" hidden="1">{"Riqfin97",#N/A,FALSE,"Tran";"Riqfinpro",#N/A,FALSE,"Tran"}</definedName>
    <definedName name="oo" localSheetId="34" hidden="1">{"Riqfin97",#N/A,FALSE,"Tran";"Riqfinpro",#N/A,FALSE,"Tran"}</definedName>
    <definedName name="oo" localSheetId="35" hidden="1">{"Riqfin97",#N/A,FALSE,"Tran";"Riqfinpro",#N/A,FALSE,"Tran"}</definedName>
    <definedName name="oo" localSheetId="36" hidden="1">{"Riqfin97",#N/A,FALSE,"Tran";"Riqfinpro",#N/A,FALSE,"Tran"}</definedName>
    <definedName name="oo" localSheetId="37" hidden="1">{"Riqfin97",#N/A,FALSE,"Tran";"Riqfinpro",#N/A,FALSE,"Tran"}</definedName>
    <definedName name="oo" localSheetId="38" hidden="1">{"Riqfin97",#N/A,FALSE,"Tran";"Riqfinpro",#N/A,FALSE,"Tran"}</definedName>
    <definedName name="oo" localSheetId="39" hidden="1">{"Riqfin97",#N/A,FALSE,"Tran";"Riqfinpro",#N/A,FALSE,"Tran"}</definedName>
    <definedName name="oo" localSheetId="40" hidden="1">{"Riqfin97",#N/A,FALSE,"Tran";"Riqfinpro",#N/A,FALSE,"Tran"}</definedName>
    <definedName name="oo" localSheetId="44" hidden="1">{"Riqfin97",#N/A,FALSE,"Tran";"Riqfinpro",#N/A,FALSE,"Tran"}</definedName>
    <definedName name="oo" hidden="1">{"Riqfin97",#N/A,FALSE,"Tran";"Riqfinpro",#N/A,FALSE,"Tran"}</definedName>
    <definedName name="ooo" localSheetId="50" hidden="1">{"Tab1",#N/A,FALSE,"P";"Tab2",#N/A,FALSE,"P"}</definedName>
    <definedName name="ooo" localSheetId="55" hidden="1">{"Tab1",#N/A,FALSE,"P";"Tab2",#N/A,FALSE,"P"}</definedName>
    <definedName name="ooo" localSheetId="56" hidden="1">{"Tab1",#N/A,FALSE,"P";"Tab2",#N/A,FALSE,"P"}</definedName>
    <definedName name="ooo" localSheetId="57" hidden="1">{"Tab1",#N/A,FALSE,"P";"Tab2",#N/A,FALSE,"P"}</definedName>
    <definedName name="ooo" localSheetId="58" hidden="1">{"Tab1",#N/A,FALSE,"P";"Tab2",#N/A,FALSE,"P"}</definedName>
    <definedName name="ooo" localSheetId="59" hidden="1">{"Tab1",#N/A,FALSE,"P";"Tab2",#N/A,FALSE,"P"}</definedName>
    <definedName name="ooo" localSheetId="62" hidden="1">{"Tab1",#N/A,FALSE,"P";"Tab2",#N/A,FALSE,"P"}</definedName>
    <definedName name="ooo" localSheetId="70" hidden="1">{"Tab1",#N/A,FALSE,"P";"Tab2",#N/A,FALSE,"P"}</definedName>
    <definedName name="ooo" localSheetId="71" hidden="1">{"Tab1",#N/A,FALSE,"P";"Tab2",#N/A,FALSE,"P"}</definedName>
    <definedName name="ooo" localSheetId="72" hidden="1">{"Tab1",#N/A,FALSE,"P";"Tab2",#N/A,FALSE,"P"}</definedName>
    <definedName name="ooo" localSheetId="73" hidden="1">{"Tab1",#N/A,FALSE,"P";"Tab2",#N/A,FALSE,"P"}</definedName>
    <definedName name="ooo" localSheetId="74" hidden="1">{"Tab1",#N/A,FALSE,"P";"Tab2",#N/A,FALSE,"P"}</definedName>
    <definedName name="ooo" localSheetId="75" hidden="1">{"Tab1",#N/A,FALSE,"P";"Tab2",#N/A,FALSE,"P"}</definedName>
    <definedName name="ooo" localSheetId="76" hidden="1">{"Tab1",#N/A,FALSE,"P";"Tab2",#N/A,FALSE,"P"}</definedName>
    <definedName name="ooo" localSheetId="79" hidden="1">{"Tab1",#N/A,FALSE,"P";"Tab2",#N/A,FALSE,"P"}</definedName>
    <definedName name="ooo" localSheetId="80" hidden="1">{"Tab1",#N/A,FALSE,"P";"Tab2",#N/A,FALSE,"P"}</definedName>
    <definedName name="ooo" localSheetId="81" hidden="1">{"Tab1",#N/A,FALSE,"P";"Tab2",#N/A,FALSE,"P"}</definedName>
    <definedName name="ooo" localSheetId="83" hidden="1">{"Tab1",#N/A,FALSE,"P";"Tab2",#N/A,FALSE,"P"}</definedName>
    <definedName name="ooo" localSheetId="97" hidden="1">{"Tab1",#N/A,FALSE,"P";"Tab2",#N/A,FALSE,"P"}</definedName>
    <definedName name="ooo" localSheetId="98" hidden="1">{"Tab1",#N/A,FALSE,"P";"Tab2",#N/A,FALSE,"P"}</definedName>
    <definedName name="ooo" localSheetId="99" hidden="1">{"Tab1",#N/A,FALSE,"P";"Tab2",#N/A,FALSE,"P"}</definedName>
    <definedName name="ooo" localSheetId="100" hidden="1">{"Tab1",#N/A,FALSE,"P";"Tab2",#N/A,FALSE,"P"}</definedName>
    <definedName name="ooo" localSheetId="101" hidden="1">{"Tab1",#N/A,FALSE,"P";"Tab2",#N/A,FALSE,"P"}</definedName>
    <definedName name="ooo" localSheetId="108" hidden="1">{"Tab1",#N/A,FALSE,"P";"Tab2",#N/A,FALSE,"P"}</definedName>
    <definedName name="ooo" localSheetId="115" hidden="1">{"Tab1",#N/A,FALSE,"P";"Tab2",#N/A,FALSE,"P"}</definedName>
    <definedName name="ooo" localSheetId="5" hidden="1">{"Tab1",#N/A,FALSE,"P";"Tab2",#N/A,FALSE,"P"}</definedName>
    <definedName name="ooo" localSheetId="7" hidden="1">{"Tab1",#N/A,FALSE,"P";"Tab2",#N/A,FALSE,"P"}</definedName>
    <definedName name="ooo" localSheetId="8" hidden="1">{"Tab1",#N/A,FALSE,"P";"Tab2",#N/A,FALSE,"P"}</definedName>
    <definedName name="ooo" localSheetId="9" hidden="1">{"Tab1",#N/A,FALSE,"P";"Tab2",#N/A,FALSE,"P"}</definedName>
    <definedName name="ooo" localSheetId="10" hidden="1">{"Tab1",#N/A,FALSE,"P";"Tab2",#N/A,FALSE,"P"}</definedName>
    <definedName name="ooo" localSheetId="14" hidden="1">{"Tab1",#N/A,FALSE,"P";"Tab2",#N/A,FALSE,"P"}</definedName>
    <definedName name="ooo" localSheetId="19" hidden="1">{"Tab1",#N/A,FALSE,"P";"Tab2",#N/A,FALSE,"P"}</definedName>
    <definedName name="ooo" localSheetId="21" hidden="1">{"Tab1",#N/A,FALSE,"P";"Tab2",#N/A,FALSE,"P"}</definedName>
    <definedName name="ooo" localSheetId="23" hidden="1">{"Tab1",#N/A,FALSE,"P";"Tab2",#N/A,FALSE,"P"}</definedName>
    <definedName name="ooo" localSheetId="24" hidden="1">{"Tab1",#N/A,FALSE,"P";"Tab2",#N/A,FALSE,"P"}</definedName>
    <definedName name="ooo" localSheetId="25" hidden="1">{"Tab1",#N/A,FALSE,"P";"Tab2",#N/A,FALSE,"P"}</definedName>
    <definedName name="ooo" localSheetId="27" hidden="1">{"Tab1",#N/A,FALSE,"P";"Tab2",#N/A,FALSE,"P"}</definedName>
    <definedName name="ooo" localSheetId="30" hidden="1">{"Tab1",#N/A,FALSE,"P";"Tab2",#N/A,FALSE,"P"}</definedName>
    <definedName name="ooo" localSheetId="33" hidden="1">{"Tab1",#N/A,FALSE,"P";"Tab2",#N/A,FALSE,"P"}</definedName>
    <definedName name="ooo" localSheetId="34" hidden="1">{"Tab1",#N/A,FALSE,"P";"Tab2",#N/A,FALSE,"P"}</definedName>
    <definedName name="ooo" localSheetId="35" hidden="1">{"Tab1",#N/A,FALSE,"P";"Tab2",#N/A,FALSE,"P"}</definedName>
    <definedName name="ooo" localSheetId="36" hidden="1">{"Tab1",#N/A,FALSE,"P";"Tab2",#N/A,FALSE,"P"}</definedName>
    <definedName name="ooo" localSheetId="37" hidden="1">{"Tab1",#N/A,FALSE,"P";"Tab2",#N/A,FALSE,"P"}</definedName>
    <definedName name="ooo" localSheetId="38" hidden="1">{"Tab1",#N/A,FALSE,"P";"Tab2",#N/A,FALSE,"P"}</definedName>
    <definedName name="ooo" localSheetId="39" hidden="1">{"Tab1",#N/A,FALSE,"P";"Tab2",#N/A,FALSE,"P"}</definedName>
    <definedName name="ooo" localSheetId="40" hidden="1">{"Tab1",#N/A,FALSE,"P";"Tab2",#N/A,FALSE,"P"}</definedName>
    <definedName name="ooo" localSheetId="44" hidden="1">{"Tab1",#N/A,FALSE,"P";"Tab2",#N/A,FALSE,"P"}</definedName>
    <definedName name="ooo" hidden="1">{"Tab1",#N/A,FALSE,"P";"Tab2",#N/A,FALSE,"P"}</definedName>
    <definedName name="p" localSheetId="50" hidden="1">{"Riqfin97",#N/A,FALSE,"Tran";"Riqfinpro",#N/A,FALSE,"Tran"}</definedName>
    <definedName name="p" localSheetId="55" hidden="1">{"Riqfin97",#N/A,FALSE,"Tran";"Riqfinpro",#N/A,FALSE,"Tran"}</definedName>
    <definedName name="p" localSheetId="56" hidden="1">{"Riqfin97",#N/A,FALSE,"Tran";"Riqfinpro",#N/A,FALSE,"Tran"}</definedName>
    <definedName name="p" localSheetId="57" hidden="1">{"Riqfin97",#N/A,FALSE,"Tran";"Riqfinpro",#N/A,FALSE,"Tran"}</definedName>
    <definedName name="p" localSheetId="58" hidden="1">{"Riqfin97",#N/A,FALSE,"Tran";"Riqfinpro",#N/A,FALSE,"Tran"}</definedName>
    <definedName name="p" localSheetId="59" hidden="1">{"Riqfin97",#N/A,FALSE,"Tran";"Riqfinpro",#N/A,FALSE,"Tran"}</definedName>
    <definedName name="p" localSheetId="62" hidden="1">{"Riqfin97",#N/A,FALSE,"Tran";"Riqfinpro",#N/A,FALSE,"Tran"}</definedName>
    <definedName name="p" localSheetId="70" hidden="1">{"Riqfin97",#N/A,FALSE,"Tran";"Riqfinpro",#N/A,FALSE,"Tran"}</definedName>
    <definedName name="p" localSheetId="71" hidden="1">{"Riqfin97",#N/A,FALSE,"Tran";"Riqfinpro",#N/A,FALSE,"Tran"}</definedName>
    <definedName name="p" localSheetId="72" hidden="1">{"Riqfin97",#N/A,FALSE,"Tran";"Riqfinpro",#N/A,FALSE,"Tran"}</definedName>
    <definedName name="p" localSheetId="73" hidden="1">{"Riqfin97",#N/A,FALSE,"Tran";"Riqfinpro",#N/A,FALSE,"Tran"}</definedName>
    <definedName name="p" localSheetId="74" hidden="1">{"Riqfin97",#N/A,FALSE,"Tran";"Riqfinpro",#N/A,FALSE,"Tran"}</definedName>
    <definedName name="p" localSheetId="75" hidden="1">{"Riqfin97",#N/A,FALSE,"Tran";"Riqfinpro",#N/A,FALSE,"Tran"}</definedName>
    <definedName name="p" localSheetId="76" hidden="1">{"Riqfin97",#N/A,FALSE,"Tran";"Riqfinpro",#N/A,FALSE,"Tran"}</definedName>
    <definedName name="p" localSheetId="79" hidden="1">{"Riqfin97",#N/A,FALSE,"Tran";"Riqfinpro",#N/A,FALSE,"Tran"}</definedName>
    <definedName name="p" localSheetId="80" hidden="1">{"Riqfin97",#N/A,FALSE,"Tran";"Riqfinpro",#N/A,FALSE,"Tran"}</definedName>
    <definedName name="p" localSheetId="81" hidden="1">{"Riqfin97",#N/A,FALSE,"Tran";"Riqfinpro",#N/A,FALSE,"Tran"}</definedName>
    <definedName name="p" localSheetId="83" hidden="1">{"Riqfin97",#N/A,FALSE,"Tran";"Riqfinpro",#N/A,FALSE,"Tran"}</definedName>
    <definedName name="p" localSheetId="97" hidden="1">{"Riqfin97",#N/A,FALSE,"Tran";"Riqfinpro",#N/A,FALSE,"Tran"}</definedName>
    <definedName name="p" localSheetId="98" hidden="1">{"Riqfin97",#N/A,FALSE,"Tran";"Riqfinpro",#N/A,FALSE,"Tran"}</definedName>
    <definedName name="p" localSheetId="99" hidden="1">{"Riqfin97",#N/A,FALSE,"Tran";"Riqfinpro",#N/A,FALSE,"Tran"}</definedName>
    <definedName name="p" localSheetId="100" hidden="1">{"Riqfin97",#N/A,FALSE,"Tran";"Riqfinpro",#N/A,FALSE,"Tran"}</definedName>
    <definedName name="p" localSheetId="101" hidden="1">{"Riqfin97",#N/A,FALSE,"Tran";"Riqfinpro",#N/A,FALSE,"Tran"}</definedName>
    <definedName name="p" localSheetId="108" hidden="1">{"Riqfin97",#N/A,FALSE,"Tran";"Riqfinpro",#N/A,FALSE,"Tran"}</definedName>
    <definedName name="p" localSheetId="115" hidden="1">{"Riqfin97",#N/A,FALSE,"Tran";"Riqfinpro",#N/A,FALSE,"Tran"}</definedName>
    <definedName name="p" localSheetId="5" hidden="1">{"Riqfin97",#N/A,FALSE,"Tran";"Riqfinpro",#N/A,FALSE,"Tran"}</definedName>
    <definedName name="p" localSheetId="7" hidden="1">{"Riqfin97",#N/A,FALSE,"Tran";"Riqfinpro",#N/A,FALSE,"Tran"}</definedName>
    <definedName name="p" localSheetId="8" hidden="1">{"Riqfin97",#N/A,FALSE,"Tran";"Riqfinpro",#N/A,FALSE,"Tran"}</definedName>
    <definedName name="p" localSheetId="9" hidden="1">{"Riqfin97",#N/A,FALSE,"Tran";"Riqfinpro",#N/A,FALSE,"Tran"}</definedName>
    <definedName name="p" localSheetId="10" hidden="1">{"Riqfin97",#N/A,FALSE,"Tran";"Riqfinpro",#N/A,FALSE,"Tran"}</definedName>
    <definedName name="p" localSheetId="14" hidden="1">{"Riqfin97",#N/A,FALSE,"Tran";"Riqfinpro",#N/A,FALSE,"Tran"}</definedName>
    <definedName name="p" localSheetId="19" hidden="1">{"Riqfin97",#N/A,FALSE,"Tran";"Riqfinpro",#N/A,FALSE,"Tran"}</definedName>
    <definedName name="p" localSheetId="21" hidden="1">{"Riqfin97",#N/A,FALSE,"Tran";"Riqfinpro",#N/A,FALSE,"Tran"}</definedName>
    <definedName name="p" localSheetId="23" hidden="1">{"Riqfin97",#N/A,FALSE,"Tran";"Riqfinpro",#N/A,FALSE,"Tran"}</definedName>
    <definedName name="p" localSheetId="24" hidden="1">{"Riqfin97",#N/A,FALSE,"Tran";"Riqfinpro",#N/A,FALSE,"Tran"}</definedName>
    <definedName name="p" localSheetId="25" hidden="1">{"Riqfin97",#N/A,FALSE,"Tran";"Riqfinpro",#N/A,FALSE,"Tran"}</definedName>
    <definedName name="p" localSheetId="27" hidden="1">{"Riqfin97",#N/A,FALSE,"Tran";"Riqfinpro",#N/A,FALSE,"Tran"}</definedName>
    <definedName name="p" localSheetId="30" hidden="1">{"Riqfin97",#N/A,FALSE,"Tran";"Riqfinpro",#N/A,FALSE,"Tran"}</definedName>
    <definedName name="p" localSheetId="33" hidden="1">{"Riqfin97",#N/A,FALSE,"Tran";"Riqfinpro",#N/A,FALSE,"Tran"}</definedName>
    <definedName name="p" localSheetId="34" hidden="1">{"Riqfin97",#N/A,FALSE,"Tran";"Riqfinpro",#N/A,FALSE,"Tran"}</definedName>
    <definedName name="p" localSheetId="35" hidden="1">{"Riqfin97",#N/A,FALSE,"Tran";"Riqfinpro",#N/A,FALSE,"Tran"}</definedName>
    <definedName name="p" localSheetId="36" hidden="1">{"Riqfin97",#N/A,FALSE,"Tran";"Riqfinpro",#N/A,FALSE,"Tran"}</definedName>
    <definedName name="p" localSheetId="37" hidden="1">{"Riqfin97",#N/A,FALSE,"Tran";"Riqfinpro",#N/A,FALSE,"Tran"}</definedName>
    <definedName name="p" localSheetId="38" hidden="1">{"Riqfin97",#N/A,FALSE,"Tran";"Riqfinpro",#N/A,FALSE,"Tran"}</definedName>
    <definedName name="p" localSheetId="39" hidden="1">{"Riqfin97",#N/A,FALSE,"Tran";"Riqfinpro",#N/A,FALSE,"Tran"}</definedName>
    <definedName name="p" localSheetId="40" hidden="1">{"Riqfin97",#N/A,FALSE,"Tran";"Riqfinpro",#N/A,FALSE,"Tran"}</definedName>
    <definedName name="p" localSheetId="44" hidden="1">{"Riqfin97",#N/A,FALSE,"Tran";"Riqfinpro",#N/A,FALSE,"Tran"}</definedName>
    <definedName name="p" hidden="1">{"Riqfin97",#N/A,FALSE,"Tran";"Riqfinpro",#N/A,FALSE,"Tran"}</definedName>
    <definedName name="pata" localSheetId="50" hidden="1">{"Tab1",#N/A,FALSE,"P";"Tab2",#N/A,FALSE,"P"}</definedName>
    <definedName name="pata" localSheetId="55" hidden="1">{"Tab1",#N/A,FALSE,"P";"Tab2",#N/A,FALSE,"P"}</definedName>
    <definedName name="pata" localSheetId="56" hidden="1">{"Tab1",#N/A,FALSE,"P";"Tab2",#N/A,FALSE,"P"}</definedName>
    <definedName name="pata" localSheetId="57" hidden="1">{"Tab1",#N/A,FALSE,"P";"Tab2",#N/A,FALSE,"P"}</definedName>
    <definedName name="pata" localSheetId="58" hidden="1">{"Tab1",#N/A,FALSE,"P";"Tab2",#N/A,FALSE,"P"}</definedName>
    <definedName name="pata" localSheetId="59" hidden="1">{"Tab1",#N/A,FALSE,"P";"Tab2",#N/A,FALSE,"P"}</definedName>
    <definedName name="pata" localSheetId="62" hidden="1">{"Tab1",#N/A,FALSE,"P";"Tab2",#N/A,FALSE,"P"}</definedName>
    <definedName name="pata" localSheetId="70" hidden="1">{"Tab1",#N/A,FALSE,"P";"Tab2",#N/A,FALSE,"P"}</definedName>
    <definedName name="pata" localSheetId="71" hidden="1">{"Tab1",#N/A,FALSE,"P";"Tab2",#N/A,FALSE,"P"}</definedName>
    <definedName name="pata" localSheetId="72" hidden="1">{"Tab1",#N/A,FALSE,"P";"Tab2",#N/A,FALSE,"P"}</definedName>
    <definedName name="pata" localSheetId="73" hidden="1">{"Tab1",#N/A,FALSE,"P";"Tab2",#N/A,FALSE,"P"}</definedName>
    <definedName name="pata" localSheetId="74" hidden="1">{"Tab1",#N/A,FALSE,"P";"Tab2",#N/A,FALSE,"P"}</definedName>
    <definedName name="pata" localSheetId="75" hidden="1">{"Tab1",#N/A,FALSE,"P";"Tab2",#N/A,FALSE,"P"}</definedName>
    <definedName name="pata" localSheetId="76" hidden="1">{"Tab1",#N/A,FALSE,"P";"Tab2",#N/A,FALSE,"P"}</definedName>
    <definedName name="pata" localSheetId="79" hidden="1">{"Tab1",#N/A,FALSE,"P";"Tab2",#N/A,FALSE,"P"}</definedName>
    <definedName name="pata" localSheetId="80" hidden="1">{"Tab1",#N/A,FALSE,"P";"Tab2",#N/A,FALSE,"P"}</definedName>
    <definedName name="pata" localSheetId="81" hidden="1">{"Tab1",#N/A,FALSE,"P";"Tab2",#N/A,FALSE,"P"}</definedName>
    <definedName name="pata" localSheetId="83" hidden="1">{"Tab1",#N/A,FALSE,"P";"Tab2",#N/A,FALSE,"P"}</definedName>
    <definedName name="pata" localSheetId="97" hidden="1">{"Tab1",#N/A,FALSE,"P";"Tab2",#N/A,FALSE,"P"}</definedName>
    <definedName name="pata" localSheetId="98" hidden="1">{"Tab1",#N/A,FALSE,"P";"Tab2",#N/A,FALSE,"P"}</definedName>
    <definedName name="pata" localSheetId="99" hidden="1">{"Tab1",#N/A,FALSE,"P";"Tab2",#N/A,FALSE,"P"}</definedName>
    <definedName name="pata" localSheetId="100" hidden="1">{"Tab1",#N/A,FALSE,"P";"Tab2",#N/A,FALSE,"P"}</definedName>
    <definedName name="pata" localSheetId="101" hidden="1">{"Tab1",#N/A,FALSE,"P";"Tab2",#N/A,FALSE,"P"}</definedName>
    <definedName name="pata" localSheetId="108" hidden="1">{"Tab1",#N/A,FALSE,"P";"Tab2",#N/A,FALSE,"P"}</definedName>
    <definedName name="pata" localSheetId="115" hidden="1">{"Tab1",#N/A,FALSE,"P";"Tab2",#N/A,FALSE,"P"}</definedName>
    <definedName name="pata" localSheetId="5" hidden="1">{"Tab1",#N/A,FALSE,"P";"Tab2",#N/A,FALSE,"P"}</definedName>
    <definedName name="pata" localSheetId="7" hidden="1">{"Tab1",#N/A,FALSE,"P";"Tab2",#N/A,FALSE,"P"}</definedName>
    <definedName name="pata" localSheetId="8" hidden="1">{"Tab1",#N/A,FALSE,"P";"Tab2",#N/A,FALSE,"P"}</definedName>
    <definedName name="pata" localSheetId="9" hidden="1">{"Tab1",#N/A,FALSE,"P";"Tab2",#N/A,FALSE,"P"}</definedName>
    <definedName name="pata" localSheetId="10" hidden="1">{"Tab1",#N/A,FALSE,"P";"Tab2",#N/A,FALSE,"P"}</definedName>
    <definedName name="pata" localSheetId="14" hidden="1">{"Tab1",#N/A,FALSE,"P";"Tab2",#N/A,FALSE,"P"}</definedName>
    <definedName name="pata" localSheetId="19" hidden="1">{"Tab1",#N/A,FALSE,"P";"Tab2",#N/A,FALSE,"P"}</definedName>
    <definedName name="pata" localSheetId="21" hidden="1">{"Tab1",#N/A,FALSE,"P";"Tab2",#N/A,FALSE,"P"}</definedName>
    <definedName name="pata" localSheetId="23" hidden="1">{"Tab1",#N/A,FALSE,"P";"Tab2",#N/A,FALSE,"P"}</definedName>
    <definedName name="pata" localSheetId="24" hidden="1">{"Tab1",#N/A,FALSE,"P";"Tab2",#N/A,FALSE,"P"}</definedName>
    <definedName name="pata" localSheetId="25" hidden="1">{"Tab1",#N/A,FALSE,"P";"Tab2",#N/A,FALSE,"P"}</definedName>
    <definedName name="pata" localSheetId="27" hidden="1">{"Tab1",#N/A,FALSE,"P";"Tab2",#N/A,FALSE,"P"}</definedName>
    <definedName name="pata" localSheetId="30" hidden="1">{"Tab1",#N/A,FALSE,"P";"Tab2",#N/A,FALSE,"P"}</definedName>
    <definedName name="pata" localSheetId="33" hidden="1">{"Tab1",#N/A,FALSE,"P";"Tab2",#N/A,FALSE,"P"}</definedName>
    <definedName name="pata" localSheetId="34" hidden="1">{"Tab1",#N/A,FALSE,"P";"Tab2",#N/A,FALSE,"P"}</definedName>
    <definedName name="pata" localSheetId="35" hidden="1">{"Tab1",#N/A,FALSE,"P";"Tab2",#N/A,FALSE,"P"}</definedName>
    <definedName name="pata" localSheetId="36" hidden="1">{"Tab1",#N/A,FALSE,"P";"Tab2",#N/A,FALSE,"P"}</definedName>
    <definedName name="pata" localSheetId="37" hidden="1">{"Tab1",#N/A,FALSE,"P";"Tab2",#N/A,FALSE,"P"}</definedName>
    <definedName name="pata" localSheetId="38" hidden="1">{"Tab1",#N/A,FALSE,"P";"Tab2",#N/A,FALSE,"P"}</definedName>
    <definedName name="pata" localSheetId="39" hidden="1">{"Tab1",#N/A,FALSE,"P";"Tab2",#N/A,FALSE,"P"}</definedName>
    <definedName name="pata" localSheetId="40" hidden="1">{"Tab1",#N/A,FALSE,"P";"Tab2",#N/A,FALSE,"P"}</definedName>
    <definedName name="pata" localSheetId="44" hidden="1">{"Tab1",#N/A,FALSE,"P";"Tab2",#N/A,FALSE,"P"}</definedName>
    <definedName name="pata" hidden="1">{"Tab1",#N/A,FALSE,"P";"Tab2",#N/A,FALSE,"P"}</definedName>
    <definedName name="pica\" localSheetId="14" hidden="1">{"Tab1",#N/A,FALSE,"P";"Tab2",#N/A,FALSE,"P"}</definedName>
    <definedName name="pica\" hidden="1">{"Tab1",#N/A,FALSE,"P";"Tab2",#N/A,FALSE,"P"}</definedName>
    <definedName name="pp" localSheetId="50" hidden="1">{"Riqfin97",#N/A,FALSE,"Tran";"Riqfinpro",#N/A,FALSE,"Tran"}</definedName>
    <definedName name="pp" localSheetId="55" hidden="1">{"Riqfin97",#N/A,FALSE,"Tran";"Riqfinpro",#N/A,FALSE,"Tran"}</definedName>
    <definedName name="pp" localSheetId="56" hidden="1">{"Riqfin97",#N/A,FALSE,"Tran";"Riqfinpro",#N/A,FALSE,"Tran"}</definedName>
    <definedName name="pp" localSheetId="57" hidden="1">{"Riqfin97",#N/A,FALSE,"Tran";"Riqfinpro",#N/A,FALSE,"Tran"}</definedName>
    <definedName name="pp" localSheetId="58" hidden="1">{"Riqfin97",#N/A,FALSE,"Tran";"Riqfinpro",#N/A,FALSE,"Tran"}</definedName>
    <definedName name="pp" localSheetId="59" hidden="1">{"Riqfin97",#N/A,FALSE,"Tran";"Riqfinpro",#N/A,FALSE,"Tran"}</definedName>
    <definedName name="pp" localSheetId="62" hidden="1">{"Riqfin97",#N/A,FALSE,"Tran";"Riqfinpro",#N/A,FALSE,"Tran"}</definedName>
    <definedName name="pp" localSheetId="70" hidden="1">{"Riqfin97",#N/A,FALSE,"Tran";"Riqfinpro",#N/A,FALSE,"Tran"}</definedName>
    <definedName name="pp" localSheetId="71" hidden="1">{"Riqfin97",#N/A,FALSE,"Tran";"Riqfinpro",#N/A,FALSE,"Tran"}</definedName>
    <definedName name="pp" localSheetId="72" hidden="1">{"Riqfin97",#N/A,FALSE,"Tran";"Riqfinpro",#N/A,FALSE,"Tran"}</definedName>
    <definedName name="pp" localSheetId="73" hidden="1">{"Riqfin97",#N/A,FALSE,"Tran";"Riqfinpro",#N/A,FALSE,"Tran"}</definedName>
    <definedName name="pp" localSheetId="74" hidden="1">{"Riqfin97",#N/A,FALSE,"Tran";"Riqfinpro",#N/A,FALSE,"Tran"}</definedName>
    <definedName name="pp" localSheetId="75" hidden="1">{"Riqfin97",#N/A,FALSE,"Tran";"Riqfinpro",#N/A,FALSE,"Tran"}</definedName>
    <definedName name="pp" localSheetId="76" hidden="1">{"Riqfin97",#N/A,FALSE,"Tran";"Riqfinpro",#N/A,FALSE,"Tran"}</definedName>
    <definedName name="pp" localSheetId="79" hidden="1">{"Riqfin97",#N/A,FALSE,"Tran";"Riqfinpro",#N/A,FALSE,"Tran"}</definedName>
    <definedName name="pp" localSheetId="80" hidden="1">{"Riqfin97",#N/A,FALSE,"Tran";"Riqfinpro",#N/A,FALSE,"Tran"}</definedName>
    <definedName name="pp" localSheetId="81" hidden="1">{"Riqfin97",#N/A,FALSE,"Tran";"Riqfinpro",#N/A,FALSE,"Tran"}</definedName>
    <definedName name="pp" localSheetId="83" hidden="1">{"Riqfin97",#N/A,FALSE,"Tran";"Riqfinpro",#N/A,FALSE,"Tran"}</definedName>
    <definedName name="pp" localSheetId="97" hidden="1">{"Riqfin97",#N/A,FALSE,"Tran";"Riqfinpro",#N/A,FALSE,"Tran"}</definedName>
    <definedName name="pp" localSheetId="98" hidden="1">{"Riqfin97",#N/A,FALSE,"Tran";"Riqfinpro",#N/A,FALSE,"Tran"}</definedName>
    <definedName name="pp" localSheetId="99" hidden="1">{"Riqfin97",#N/A,FALSE,"Tran";"Riqfinpro",#N/A,FALSE,"Tran"}</definedName>
    <definedName name="pp" localSheetId="100" hidden="1">{"Riqfin97",#N/A,FALSE,"Tran";"Riqfinpro",#N/A,FALSE,"Tran"}</definedName>
    <definedName name="pp" localSheetId="101" hidden="1">{"Riqfin97",#N/A,FALSE,"Tran";"Riqfinpro",#N/A,FALSE,"Tran"}</definedName>
    <definedName name="pp" localSheetId="108" hidden="1">{"Riqfin97",#N/A,FALSE,"Tran";"Riqfinpro",#N/A,FALSE,"Tran"}</definedName>
    <definedName name="pp" localSheetId="115" hidden="1">{"Riqfin97",#N/A,FALSE,"Tran";"Riqfinpro",#N/A,FALSE,"Tran"}</definedName>
    <definedName name="pp" localSheetId="5" hidden="1">{"Riqfin97",#N/A,FALSE,"Tran";"Riqfinpro",#N/A,FALSE,"Tran"}</definedName>
    <definedName name="pp" localSheetId="7" hidden="1">{"Riqfin97",#N/A,FALSE,"Tran";"Riqfinpro",#N/A,FALSE,"Tran"}</definedName>
    <definedName name="pp" localSheetId="8" hidden="1">{"Riqfin97",#N/A,FALSE,"Tran";"Riqfinpro",#N/A,FALSE,"Tran"}</definedName>
    <definedName name="pp" localSheetId="9" hidden="1">{"Riqfin97",#N/A,FALSE,"Tran";"Riqfinpro",#N/A,FALSE,"Tran"}</definedName>
    <definedName name="pp" localSheetId="10" hidden="1">{"Riqfin97",#N/A,FALSE,"Tran";"Riqfinpro",#N/A,FALSE,"Tran"}</definedName>
    <definedName name="pp" localSheetId="14" hidden="1">{"Riqfin97",#N/A,FALSE,"Tran";"Riqfinpro",#N/A,FALSE,"Tran"}</definedName>
    <definedName name="pp" localSheetId="19" hidden="1">{"Riqfin97",#N/A,FALSE,"Tran";"Riqfinpro",#N/A,FALSE,"Tran"}</definedName>
    <definedName name="pp" localSheetId="21" hidden="1">{"Riqfin97",#N/A,FALSE,"Tran";"Riqfinpro",#N/A,FALSE,"Tran"}</definedName>
    <definedName name="pp" localSheetId="23" hidden="1">{"Riqfin97",#N/A,FALSE,"Tran";"Riqfinpro",#N/A,FALSE,"Tran"}</definedName>
    <definedName name="pp" localSheetId="24" hidden="1">{"Riqfin97",#N/A,FALSE,"Tran";"Riqfinpro",#N/A,FALSE,"Tran"}</definedName>
    <definedName name="pp" localSheetId="25" hidden="1">{"Riqfin97",#N/A,FALSE,"Tran";"Riqfinpro",#N/A,FALSE,"Tran"}</definedName>
    <definedName name="pp" localSheetId="27" hidden="1">{"Riqfin97",#N/A,FALSE,"Tran";"Riqfinpro",#N/A,FALSE,"Tran"}</definedName>
    <definedName name="pp" localSheetId="30" hidden="1">{"Riqfin97",#N/A,FALSE,"Tran";"Riqfinpro",#N/A,FALSE,"Tran"}</definedName>
    <definedName name="pp" localSheetId="33" hidden="1">{"Riqfin97",#N/A,FALSE,"Tran";"Riqfinpro",#N/A,FALSE,"Tran"}</definedName>
    <definedName name="pp" localSheetId="34" hidden="1">{"Riqfin97",#N/A,FALSE,"Tran";"Riqfinpro",#N/A,FALSE,"Tran"}</definedName>
    <definedName name="pp" localSheetId="35" hidden="1">{"Riqfin97",#N/A,FALSE,"Tran";"Riqfinpro",#N/A,FALSE,"Tran"}</definedName>
    <definedName name="pp" localSheetId="36" hidden="1">{"Riqfin97",#N/A,FALSE,"Tran";"Riqfinpro",#N/A,FALSE,"Tran"}</definedName>
    <definedName name="pp" localSheetId="37" hidden="1">{"Riqfin97",#N/A,FALSE,"Tran";"Riqfinpro",#N/A,FALSE,"Tran"}</definedName>
    <definedName name="pp" localSheetId="38" hidden="1">{"Riqfin97",#N/A,FALSE,"Tran";"Riqfinpro",#N/A,FALSE,"Tran"}</definedName>
    <definedName name="pp" localSheetId="39" hidden="1">{"Riqfin97",#N/A,FALSE,"Tran";"Riqfinpro",#N/A,FALSE,"Tran"}</definedName>
    <definedName name="pp" localSheetId="40" hidden="1">{"Riqfin97",#N/A,FALSE,"Tran";"Riqfinpro",#N/A,FALSE,"Tran"}</definedName>
    <definedName name="pp" localSheetId="44" hidden="1">{"Riqfin97",#N/A,FALSE,"Tran";"Riqfinpro",#N/A,FALSE,"Tran"}</definedName>
    <definedName name="pp" hidden="1">{"Riqfin97",#N/A,FALSE,"Tran";"Riqfinpro",#N/A,FALSE,"Tran"}</definedName>
    <definedName name="ppp" localSheetId="50" hidden="1">{"Riqfin97",#N/A,FALSE,"Tran";"Riqfinpro",#N/A,FALSE,"Tran"}</definedName>
    <definedName name="ppp" localSheetId="55" hidden="1">{"Riqfin97",#N/A,FALSE,"Tran";"Riqfinpro",#N/A,FALSE,"Tran"}</definedName>
    <definedName name="ppp" localSheetId="56" hidden="1">{"Riqfin97",#N/A,FALSE,"Tran";"Riqfinpro",#N/A,FALSE,"Tran"}</definedName>
    <definedName name="ppp" localSheetId="57" hidden="1">{"Riqfin97",#N/A,FALSE,"Tran";"Riqfinpro",#N/A,FALSE,"Tran"}</definedName>
    <definedName name="ppp" localSheetId="58" hidden="1">{"Riqfin97",#N/A,FALSE,"Tran";"Riqfinpro",#N/A,FALSE,"Tran"}</definedName>
    <definedName name="ppp" localSheetId="59" hidden="1">{"Riqfin97",#N/A,FALSE,"Tran";"Riqfinpro",#N/A,FALSE,"Tran"}</definedName>
    <definedName name="ppp" localSheetId="62" hidden="1">{"Riqfin97",#N/A,FALSE,"Tran";"Riqfinpro",#N/A,FALSE,"Tran"}</definedName>
    <definedName name="ppp" localSheetId="70" hidden="1">{"Riqfin97",#N/A,FALSE,"Tran";"Riqfinpro",#N/A,FALSE,"Tran"}</definedName>
    <definedName name="ppp" localSheetId="71" hidden="1">{"Riqfin97",#N/A,FALSE,"Tran";"Riqfinpro",#N/A,FALSE,"Tran"}</definedName>
    <definedName name="ppp" localSheetId="72" hidden="1">{"Riqfin97",#N/A,FALSE,"Tran";"Riqfinpro",#N/A,FALSE,"Tran"}</definedName>
    <definedName name="ppp" localSheetId="73" hidden="1">{"Riqfin97",#N/A,FALSE,"Tran";"Riqfinpro",#N/A,FALSE,"Tran"}</definedName>
    <definedName name="ppp" localSheetId="74" hidden="1">{"Riqfin97",#N/A,FALSE,"Tran";"Riqfinpro",#N/A,FALSE,"Tran"}</definedName>
    <definedName name="ppp" localSheetId="75" hidden="1">{"Riqfin97",#N/A,FALSE,"Tran";"Riqfinpro",#N/A,FALSE,"Tran"}</definedName>
    <definedName name="ppp" localSheetId="76" hidden="1">{"Riqfin97",#N/A,FALSE,"Tran";"Riqfinpro",#N/A,FALSE,"Tran"}</definedName>
    <definedName name="ppp" localSheetId="79" hidden="1">{"Riqfin97",#N/A,FALSE,"Tran";"Riqfinpro",#N/A,FALSE,"Tran"}</definedName>
    <definedName name="ppp" localSheetId="80" hidden="1">{"Riqfin97",#N/A,FALSE,"Tran";"Riqfinpro",#N/A,FALSE,"Tran"}</definedName>
    <definedName name="ppp" localSheetId="81" hidden="1">{"Riqfin97",#N/A,FALSE,"Tran";"Riqfinpro",#N/A,FALSE,"Tran"}</definedName>
    <definedName name="ppp" localSheetId="83" hidden="1">{"Riqfin97",#N/A,FALSE,"Tran";"Riqfinpro",#N/A,FALSE,"Tran"}</definedName>
    <definedName name="ppp" localSheetId="97" hidden="1">{"Riqfin97",#N/A,FALSE,"Tran";"Riqfinpro",#N/A,FALSE,"Tran"}</definedName>
    <definedName name="ppp" localSheetId="98" hidden="1">{"Riqfin97",#N/A,FALSE,"Tran";"Riqfinpro",#N/A,FALSE,"Tran"}</definedName>
    <definedName name="ppp" localSheetId="99" hidden="1">{"Riqfin97",#N/A,FALSE,"Tran";"Riqfinpro",#N/A,FALSE,"Tran"}</definedName>
    <definedName name="ppp" localSheetId="100" hidden="1">{"Riqfin97",#N/A,FALSE,"Tran";"Riqfinpro",#N/A,FALSE,"Tran"}</definedName>
    <definedName name="ppp" localSheetId="101" hidden="1">{"Riqfin97",#N/A,FALSE,"Tran";"Riqfinpro",#N/A,FALSE,"Tran"}</definedName>
    <definedName name="ppp" localSheetId="108" hidden="1">{"Riqfin97",#N/A,FALSE,"Tran";"Riqfinpro",#N/A,FALSE,"Tran"}</definedName>
    <definedName name="ppp" localSheetId="115" hidden="1">{"Riqfin97",#N/A,FALSE,"Tran";"Riqfinpro",#N/A,FALSE,"Tran"}</definedName>
    <definedName name="ppp" localSheetId="5" hidden="1">{"Riqfin97",#N/A,FALSE,"Tran";"Riqfinpro",#N/A,FALSE,"Tran"}</definedName>
    <definedName name="ppp" localSheetId="7" hidden="1">{"Riqfin97",#N/A,FALSE,"Tran";"Riqfinpro",#N/A,FALSE,"Tran"}</definedName>
    <definedName name="ppp" localSheetId="8" hidden="1">{"Riqfin97",#N/A,FALSE,"Tran";"Riqfinpro",#N/A,FALSE,"Tran"}</definedName>
    <definedName name="ppp" localSheetId="9" hidden="1">{"Riqfin97",#N/A,FALSE,"Tran";"Riqfinpro",#N/A,FALSE,"Tran"}</definedName>
    <definedName name="ppp" localSheetId="10" hidden="1">{"Riqfin97",#N/A,FALSE,"Tran";"Riqfinpro",#N/A,FALSE,"Tran"}</definedName>
    <definedName name="ppp" localSheetId="14" hidden="1">{"Riqfin97",#N/A,FALSE,"Tran";"Riqfinpro",#N/A,FALSE,"Tran"}</definedName>
    <definedName name="ppp" localSheetId="19" hidden="1">{"Riqfin97",#N/A,FALSE,"Tran";"Riqfinpro",#N/A,FALSE,"Tran"}</definedName>
    <definedName name="ppp" localSheetId="21" hidden="1">{"Riqfin97",#N/A,FALSE,"Tran";"Riqfinpro",#N/A,FALSE,"Tran"}</definedName>
    <definedName name="ppp" localSheetId="23" hidden="1">{"Riqfin97",#N/A,FALSE,"Tran";"Riqfinpro",#N/A,FALSE,"Tran"}</definedName>
    <definedName name="ppp" localSheetId="24" hidden="1">{"Riqfin97",#N/A,FALSE,"Tran";"Riqfinpro",#N/A,FALSE,"Tran"}</definedName>
    <definedName name="ppp" localSheetId="25" hidden="1">{"Riqfin97",#N/A,FALSE,"Tran";"Riqfinpro",#N/A,FALSE,"Tran"}</definedName>
    <definedName name="ppp" localSheetId="27" hidden="1">{"Riqfin97",#N/A,FALSE,"Tran";"Riqfinpro",#N/A,FALSE,"Tran"}</definedName>
    <definedName name="ppp" localSheetId="30" hidden="1">{"Riqfin97",#N/A,FALSE,"Tran";"Riqfinpro",#N/A,FALSE,"Tran"}</definedName>
    <definedName name="ppp" localSheetId="33" hidden="1">{"Riqfin97",#N/A,FALSE,"Tran";"Riqfinpro",#N/A,FALSE,"Tran"}</definedName>
    <definedName name="ppp" localSheetId="34" hidden="1">{"Riqfin97",#N/A,FALSE,"Tran";"Riqfinpro",#N/A,FALSE,"Tran"}</definedName>
    <definedName name="ppp" localSheetId="35" hidden="1">{"Riqfin97",#N/A,FALSE,"Tran";"Riqfinpro",#N/A,FALSE,"Tran"}</definedName>
    <definedName name="ppp" localSheetId="36" hidden="1">{"Riqfin97",#N/A,FALSE,"Tran";"Riqfinpro",#N/A,FALSE,"Tran"}</definedName>
    <definedName name="ppp" localSheetId="37" hidden="1">{"Riqfin97",#N/A,FALSE,"Tran";"Riqfinpro",#N/A,FALSE,"Tran"}</definedName>
    <definedName name="ppp" localSheetId="38" hidden="1">{"Riqfin97",#N/A,FALSE,"Tran";"Riqfinpro",#N/A,FALSE,"Tran"}</definedName>
    <definedName name="ppp" localSheetId="39" hidden="1">{"Riqfin97",#N/A,FALSE,"Tran";"Riqfinpro",#N/A,FALSE,"Tran"}</definedName>
    <definedName name="ppp" localSheetId="40" hidden="1">{"Riqfin97",#N/A,FALSE,"Tran";"Riqfinpro",#N/A,FALSE,"Tran"}</definedName>
    <definedName name="ppp" localSheetId="44" hidden="1">{"Riqfin97",#N/A,FALSE,"Tran";"Riqfinpro",#N/A,FALSE,"Tran"}</definedName>
    <definedName name="ppp" hidden="1">{"Riqfin97",#N/A,FALSE,"Tran";"Riqfinpro",#N/A,FALSE,"Tran"}</definedName>
    <definedName name="qq" localSheetId="49" hidden="1">'[29]J(Priv.Cap)'!#REF!</definedName>
    <definedName name="qq" localSheetId="50" hidden="1">'[29]J(Priv.Cap)'!#REF!</definedName>
    <definedName name="qq" localSheetId="51" hidden="1">'[29]J(Priv.Cap)'!#REF!</definedName>
    <definedName name="qq" localSheetId="53" hidden="1">'[29]J(Priv.Cap)'!#REF!</definedName>
    <definedName name="qq" localSheetId="54" hidden="1">'[29]J(Priv.Cap)'!#REF!</definedName>
    <definedName name="qq" localSheetId="55" hidden="1">'[29]J(Priv.Cap)'!#REF!</definedName>
    <definedName name="qq" localSheetId="56" hidden="1">'[29]J(Priv.Cap)'!#REF!</definedName>
    <definedName name="qq" localSheetId="57" hidden="1">'[29]J(Priv.Cap)'!#REF!</definedName>
    <definedName name="qq" localSheetId="58" hidden="1">'[29]J(Priv.Cap)'!#REF!</definedName>
    <definedName name="qq" localSheetId="59" hidden="1">'[29]J(Priv.Cap)'!#REF!</definedName>
    <definedName name="qq" localSheetId="62" hidden="1">'[29]J(Priv.Cap)'!#REF!</definedName>
    <definedName name="qq" localSheetId="70" hidden="1">'[29]J(Priv.Cap)'!#REF!</definedName>
    <definedName name="qq" localSheetId="75" hidden="1">'[29]J(Priv.Cap)'!#REF!</definedName>
    <definedName name="qq" localSheetId="76" hidden="1">'[29]J(Priv.Cap)'!#REF!</definedName>
    <definedName name="qq" localSheetId="79" hidden="1">'[29]J(Priv.Cap)'!#REF!</definedName>
    <definedName name="qq" localSheetId="80" hidden="1">'[29]J(Priv.Cap)'!#REF!</definedName>
    <definedName name="qq" localSheetId="81" hidden="1">'[29]J(Priv.Cap)'!#REF!</definedName>
    <definedName name="qq" localSheetId="83" hidden="1">'[29]J(Priv.Cap)'!#REF!</definedName>
    <definedName name="qq" localSheetId="87" hidden="1">'[29]J(Priv.Cap)'!#REF!</definedName>
    <definedName name="qq" localSheetId="95" hidden="1">'[29]J(Priv.Cap)'!#REF!</definedName>
    <definedName name="qq" localSheetId="97" hidden="1">'[29]J(Priv.Cap)'!#REF!</definedName>
    <definedName name="qq" localSheetId="98" hidden="1">'[29]J(Priv.Cap)'!#REF!</definedName>
    <definedName name="qq" localSheetId="99" hidden="1">'[29]J(Priv.Cap)'!#REF!</definedName>
    <definedName name="qq" localSheetId="100" hidden="1">'[29]J(Priv.Cap)'!#REF!</definedName>
    <definedName name="qq" localSheetId="101" hidden="1">'[29]J(Priv.Cap)'!#REF!</definedName>
    <definedName name="qq" localSheetId="108" hidden="1">'[29]J(Priv.Cap)'!#REF!</definedName>
    <definedName name="qq" localSheetId="5" hidden="1">'[29]J(Priv.Cap)'!#REF!</definedName>
    <definedName name="qq" localSheetId="6" hidden="1">'[29]J(Priv.Cap)'!#REF!</definedName>
    <definedName name="qq" localSheetId="7" hidden="1">'[29]J(Priv.Cap)'!#REF!</definedName>
    <definedName name="qq" localSheetId="8" hidden="1">'[29]J(Priv.Cap)'!#REF!</definedName>
    <definedName name="qq" localSheetId="9" hidden="1">'[29]J(Priv.Cap)'!#REF!</definedName>
    <definedName name="qq" localSheetId="14" hidden="1">'[29]J(Priv.Cap)'!#REF!</definedName>
    <definedName name="qq" localSheetId="15" hidden="1">'[29]J(Priv.Cap)'!#REF!</definedName>
    <definedName name="qq" localSheetId="16" hidden="1">'[29]J(Priv.Cap)'!#REF!</definedName>
    <definedName name="qq" localSheetId="17" hidden="1">'[29]J(Priv.Cap)'!#REF!</definedName>
    <definedName name="qq" localSheetId="19" hidden="1">'[29]J(Priv.Cap)'!#REF!</definedName>
    <definedName name="qq" localSheetId="21" hidden="1">'[29]J(Priv.Cap)'!#REF!</definedName>
    <definedName name="qq" localSheetId="23" hidden="1">'[29]J(Priv.Cap)'!#REF!</definedName>
    <definedName name="qq" localSheetId="24" hidden="1">'[29]J(Priv.Cap)'!#REF!</definedName>
    <definedName name="qq" localSheetId="25" hidden="1">'[29]J(Priv.Cap)'!#REF!</definedName>
    <definedName name="qq" localSheetId="27" hidden="1">'[29]J(Priv.Cap)'!#REF!</definedName>
    <definedName name="qq" localSheetId="30" hidden="1">'[29]J(Priv.Cap)'!#REF!</definedName>
    <definedName name="qq" localSheetId="33" hidden="1">'[29]J(Priv.Cap)'!#REF!</definedName>
    <definedName name="qq" localSheetId="34" hidden="1">'[29]J(Priv.Cap)'!#REF!</definedName>
    <definedName name="qq" localSheetId="35" hidden="1">'[29]J(Priv.Cap)'!#REF!</definedName>
    <definedName name="qq" localSheetId="36" hidden="1">'[29]J(Priv.Cap)'!#REF!</definedName>
    <definedName name="qq" localSheetId="37" hidden="1">'[29]J(Priv.Cap)'!#REF!</definedName>
    <definedName name="qq" localSheetId="38" hidden="1">'[29]J(Priv.Cap)'!#REF!</definedName>
    <definedName name="qq" localSheetId="39" hidden="1">'[29]J(Priv.Cap)'!#REF!</definedName>
    <definedName name="qq" localSheetId="40" hidden="1">'[29]J(Priv.Cap)'!#REF!</definedName>
    <definedName name="qq" localSheetId="44" hidden="1">'[29]J(Priv.Cap)'!#REF!</definedName>
    <definedName name="qq" hidden="1">'[29]J(Priv.Cap)'!#REF!</definedName>
    <definedName name="qwerw" localSheetId="50" hidden="1">{"'előző év december'!$A$2:$CP$214"}</definedName>
    <definedName name="qwerw" localSheetId="56" hidden="1">{"'előző év december'!$A$2:$CP$214"}</definedName>
    <definedName name="qwerw" localSheetId="57" hidden="1">{"'előző év december'!$A$2:$CP$214"}</definedName>
    <definedName name="qwerw" localSheetId="58" hidden="1">{"'előző év december'!$A$2:$CP$214"}</definedName>
    <definedName name="qwerw" localSheetId="59" hidden="1">{"'előző év december'!$A$2:$CP$214"}</definedName>
    <definedName name="qwerw" localSheetId="62" hidden="1">{"'előző év december'!$A$2:$CP$214"}</definedName>
    <definedName name="qwerw" localSheetId="70" hidden="1">{"'előző év december'!$A$2:$CP$214"}</definedName>
    <definedName name="qwerw" localSheetId="71" hidden="1">{"'előző év december'!$A$2:$CP$214"}</definedName>
    <definedName name="qwerw" localSheetId="72" hidden="1">{"'előző év december'!$A$2:$CP$214"}</definedName>
    <definedName name="qwerw" localSheetId="73" hidden="1">{"'előző év december'!$A$2:$CP$214"}</definedName>
    <definedName name="qwerw" localSheetId="74" hidden="1">{"'előző év december'!$A$2:$CP$214"}</definedName>
    <definedName name="qwerw" localSheetId="79" hidden="1">{"'előző év december'!$A$2:$CP$214"}</definedName>
    <definedName name="qwerw" localSheetId="80" hidden="1">{"'előző év december'!$A$2:$CP$214"}</definedName>
    <definedName name="qwerw" localSheetId="81" hidden="1">{"'előző év december'!$A$2:$CP$214"}</definedName>
    <definedName name="qwerw" localSheetId="97" hidden="1">{"'előző év december'!$A$2:$CP$214"}</definedName>
    <definedName name="qwerw" localSheetId="98" hidden="1">{"'előző év december'!$A$2:$CP$214"}</definedName>
    <definedName name="qwerw" localSheetId="99" hidden="1">{"'előző év december'!$A$2:$CP$214"}</definedName>
    <definedName name="qwerw" localSheetId="100" hidden="1">{"'előző év december'!$A$2:$CP$214"}</definedName>
    <definedName name="qwerw" localSheetId="101" hidden="1">{"'előző év december'!$A$2:$CP$214"}</definedName>
    <definedName name="qwerw" localSheetId="108" hidden="1">{"'előző év december'!$A$2:$CP$214"}</definedName>
    <definedName name="qwerw" localSheetId="115" hidden="1">{"'előző év december'!$A$2:$CP$214"}</definedName>
    <definedName name="qwerw" localSheetId="5" hidden="1">{"'előző év december'!$A$2:$CP$214"}</definedName>
    <definedName name="qwerw" localSheetId="7" hidden="1">{"'előző év december'!$A$2:$CP$214"}</definedName>
    <definedName name="qwerw" localSheetId="8" hidden="1">{"'előző év december'!$A$2:$CP$214"}</definedName>
    <definedName name="qwerw" localSheetId="9" hidden="1">{"'előző év december'!$A$2:$CP$214"}</definedName>
    <definedName name="qwerw" localSheetId="10" hidden="1">{"'előző év december'!$A$2:$CP$214"}</definedName>
    <definedName name="qwerw" localSheetId="14" hidden="1">{"'előző év december'!$A$2:$CP$214"}</definedName>
    <definedName name="qwerw" localSheetId="18" hidden="1">{"'előző év december'!$A$2:$CP$214"}</definedName>
    <definedName name="qwerw" localSheetId="19" hidden="1">{"'előző év december'!$A$2:$CP$214"}</definedName>
    <definedName name="qwerw" localSheetId="21" hidden="1">{"'előző év december'!$A$2:$CP$214"}</definedName>
    <definedName name="qwerw" localSheetId="23" hidden="1">{"'előző év december'!$A$2:$CP$214"}</definedName>
    <definedName name="qwerw" localSheetId="24" hidden="1">{"'előző év december'!$A$2:$CP$214"}</definedName>
    <definedName name="qwerw" localSheetId="25" hidden="1">{"'előző év december'!$A$2:$CP$214"}</definedName>
    <definedName name="qwerw" localSheetId="27" hidden="1">{"'előző év december'!$A$2:$CP$214"}</definedName>
    <definedName name="qwerw" localSheetId="30" hidden="1">{"'előző év december'!$A$2:$CP$214"}</definedName>
    <definedName name="qwerw" localSheetId="33" hidden="1">{"'előző év december'!$A$2:$CP$214"}</definedName>
    <definedName name="qwerw" localSheetId="34" hidden="1">{"'előző év december'!$A$2:$CP$214"}</definedName>
    <definedName name="qwerw" localSheetId="35" hidden="1">{"'előző év december'!$A$2:$CP$214"}</definedName>
    <definedName name="qwerw" localSheetId="36" hidden="1">{"'előző év december'!$A$2:$CP$214"}</definedName>
    <definedName name="qwerw" localSheetId="37" hidden="1">{"'előző év december'!$A$2:$CP$214"}</definedName>
    <definedName name="qwerw" localSheetId="38" hidden="1">{"'előző év december'!$A$2:$CP$214"}</definedName>
    <definedName name="qwerw" localSheetId="39" hidden="1">{"'előző év december'!$A$2:$CP$214"}</definedName>
    <definedName name="qwerw" localSheetId="40" hidden="1">{"'előző év december'!$A$2:$CP$214"}</definedName>
    <definedName name="qwerw" hidden="1">{"'előző év december'!$A$2:$CP$214"}</definedName>
    <definedName name="rr" localSheetId="50" hidden="1">{"Riqfin97",#N/A,FALSE,"Tran";"Riqfinpro",#N/A,FALSE,"Tran"}</definedName>
    <definedName name="rr" localSheetId="55" hidden="1">{"Riqfin97",#N/A,FALSE,"Tran";"Riqfinpro",#N/A,FALSE,"Tran"}</definedName>
    <definedName name="rr" localSheetId="56" hidden="1">{"Riqfin97",#N/A,FALSE,"Tran";"Riqfinpro",#N/A,FALSE,"Tran"}</definedName>
    <definedName name="rr" localSheetId="57" hidden="1">{"Riqfin97",#N/A,FALSE,"Tran";"Riqfinpro",#N/A,FALSE,"Tran"}</definedName>
    <definedName name="rr" localSheetId="58" hidden="1">{"Riqfin97",#N/A,FALSE,"Tran";"Riqfinpro",#N/A,FALSE,"Tran"}</definedName>
    <definedName name="rr" localSheetId="59" hidden="1">{"Riqfin97",#N/A,FALSE,"Tran";"Riqfinpro",#N/A,FALSE,"Tran"}</definedName>
    <definedName name="rr" localSheetId="62" hidden="1">{"Riqfin97",#N/A,FALSE,"Tran";"Riqfinpro",#N/A,FALSE,"Tran"}</definedName>
    <definedName name="rr" localSheetId="70" hidden="1">{"Riqfin97",#N/A,FALSE,"Tran";"Riqfinpro",#N/A,FALSE,"Tran"}</definedName>
    <definedName name="rr" localSheetId="71" hidden="1">{"Riqfin97",#N/A,FALSE,"Tran";"Riqfinpro",#N/A,FALSE,"Tran"}</definedName>
    <definedName name="rr" localSheetId="72" hidden="1">{"Riqfin97",#N/A,FALSE,"Tran";"Riqfinpro",#N/A,FALSE,"Tran"}</definedName>
    <definedName name="rr" localSheetId="73" hidden="1">{"Riqfin97",#N/A,FALSE,"Tran";"Riqfinpro",#N/A,FALSE,"Tran"}</definedName>
    <definedName name="rr" localSheetId="74" hidden="1">{"Riqfin97",#N/A,FALSE,"Tran";"Riqfinpro",#N/A,FALSE,"Tran"}</definedName>
    <definedName name="rr" localSheetId="75" hidden="1">{"Riqfin97",#N/A,FALSE,"Tran";"Riqfinpro",#N/A,FALSE,"Tran"}</definedName>
    <definedName name="rr" localSheetId="76" hidden="1">{"Riqfin97",#N/A,FALSE,"Tran";"Riqfinpro",#N/A,FALSE,"Tran"}</definedName>
    <definedName name="rr" localSheetId="79" hidden="1">{"Riqfin97",#N/A,FALSE,"Tran";"Riqfinpro",#N/A,FALSE,"Tran"}</definedName>
    <definedName name="rr" localSheetId="80" hidden="1">{"Riqfin97",#N/A,FALSE,"Tran";"Riqfinpro",#N/A,FALSE,"Tran"}</definedName>
    <definedName name="rr" localSheetId="81" hidden="1">{"Riqfin97",#N/A,FALSE,"Tran";"Riqfinpro",#N/A,FALSE,"Tran"}</definedName>
    <definedName name="rr" localSheetId="83" hidden="1">{"Riqfin97",#N/A,FALSE,"Tran";"Riqfinpro",#N/A,FALSE,"Tran"}</definedName>
    <definedName name="rr" localSheetId="97" hidden="1">{"Riqfin97",#N/A,FALSE,"Tran";"Riqfinpro",#N/A,FALSE,"Tran"}</definedName>
    <definedName name="rr" localSheetId="98" hidden="1">{"Riqfin97",#N/A,FALSE,"Tran";"Riqfinpro",#N/A,FALSE,"Tran"}</definedName>
    <definedName name="rr" localSheetId="99" hidden="1">{"Riqfin97",#N/A,FALSE,"Tran";"Riqfinpro",#N/A,FALSE,"Tran"}</definedName>
    <definedName name="rr" localSheetId="100" hidden="1">{"Riqfin97",#N/A,FALSE,"Tran";"Riqfinpro",#N/A,FALSE,"Tran"}</definedName>
    <definedName name="rr" localSheetId="101" hidden="1">{"Riqfin97",#N/A,FALSE,"Tran";"Riqfinpro",#N/A,FALSE,"Tran"}</definedName>
    <definedName name="rr" localSheetId="108" hidden="1">{"Riqfin97",#N/A,FALSE,"Tran";"Riqfinpro",#N/A,FALSE,"Tran"}</definedName>
    <definedName name="rr" localSheetId="115" hidden="1">{"Riqfin97",#N/A,FALSE,"Tran";"Riqfinpro",#N/A,FALSE,"Tran"}</definedName>
    <definedName name="rr" localSheetId="5" hidden="1">{"Riqfin97",#N/A,FALSE,"Tran";"Riqfinpro",#N/A,FALSE,"Tran"}</definedName>
    <definedName name="rr" localSheetId="7" hidden="1">{"Riqfin97",#N/A,FALSE,"Tran";"Riqfinpro",#N/A,FALSE,"Tran"}</definedName>
    <definedName name="rr" localSheetId="8" hidden="1">{"Riqfin97",#N/A,FALSE,"Tran";"Riqfinpro",#N/A,FALSE,"Tran"}</definedName>
    <definedName name="rr" localSheetId="9" hidden="1">{"Riqfin97",#N/A,FALSE,"Tran";"Riqfinpro",#N/A,FALSE,"Tran"}</definedName>
    <definedName name="rr" localSheetId="10" hidden="1">{"Riqfin97",#N/A,FALSE,"Tran";"Riqfinpro",#N/A,FALSE,"Tran"}</definedName>
    <definedName name="rr" localSheetId="14" hidden="1">{"Riqfin97",#N/A,FALSE,"Tran";"Riqfinpro",#N/A,FALSE,"Tran"}</definedName>
    <definedName name="rr" localSheetId="19" hidden="1">{"Riqfin97",#N/A,FALSE,"Tran";"Riqfinpro",#N/A,FALSE,"Tran"}</definedName>
    <definedName name="rr" localSheetId="21" hidden="1">{"Riqfin97",#N/A,FALSE,"Tran";"Riqfinpro",#N/A,FALSE,"Tran"}</definedName>
    <definedName name="rr" localSheetId="23" hidden="1">{"Riqfin97",#N/A,FALSE,"Tran";"Riqfinpro",#N/A,FALSE,"Tran"}</definedName>
    <definedName name="rr" localSheetId="24" hidden="1">{"Riqfin97",#N/A,FALSE,"Tran";"Riqfinpro",#N/A,FALSE,"Tran"}</definedName>
    <definedName name="rr" localSheetId="25" hidden="1">{"Riqfin97",#N/A,FALSE,"Tran";"Riqfinpro",#N/A,FALSE,"Tran"}</definedName>
    <definedName name="rr" localSheetId="27" hidden="1">{"Riqfin97",#N/A,FALSE,"Tran";"Riqfinpro",#N/A,FALSE,"Tran"}</definedName>
    <definedName name="rr" localSheetId="30" hidden="1">{"Riqfin97",#N/A,FALSE,"Tran";"Riqfinpro",#N/A,FALSE,"Tran"}</definedName>
    <definedName name="rr" localSheetId="33" hidden="1">{"Riqfin97",#N/A,FALSE,"Tran";"Riqfinpro",#N/A,FALSE,"Tran"}</definedName>
    <definedName name="rr" localSheetId="34" hidden="1">{"Riqfin97",#N/A,FALSE,"Tran";"Riqfinpro",#N/A,FALSE,"Tran"}</definedName>
    <definedName name="rr" localSheetId="35" hidden="1">{"Riqfin97",#N/A,FALSE,"Tran";"Riqfinpro",#N/A,FALSE,"Tran"}</definedName>
    <definedName name="rr" localSheetId="36" hidden="1">{"Riqfin97",#N/A,FALSE,"Tran";"Riqfinpro",#N/A,FALSE,"Tran"}</definedName>
    <definedName name="rr" localSheetId="37" hidden="1">{"Riqfin97",#N/A,FALSE,"Tran";"Riqfinpro",#N/A,FALSE,"Tran"}</definedName>
    <definedName name="rr" localSheetId="38" hidden="1">{"Riqfin97",#N/A,FALSE,"Tran";"Riqfinpro",#N/A,FALSE,"Tran"}</definedName>
    <definedName name="rr" localSheetId="39" hidden="1">{"Riqfin97",#N/A,FALSE,"Tran";"Riqfinpro",#N/A,FALSE,"Tran"}</definedName>
    <definedName name="rr" localSheetId="40" hidden="1">{"Riqfin97",#N/A,FALSE,"Tran";"Riqfinpro",#N/A,FALSE,"Tran"}</definedName>
    <definedName name="rr" localSheetId="44" hidden="1">{"Riqfin97",#N/A,FALSE,"Tran";"Riqfinpro",#N/A,FALSE,"Tran"}</definedName>
    <definedName name="rr" hidden="1">{"Riqfin97",#N/A,FALSE,"Tran";"Riqfinpro",#N/A,FALSE,"Tran"}</definedName>
    <definedName name="rrr" localSheetId="50" hidden="1">{"Riqfin97",#N/A,FALSE,"Tran";"Riqfinpro",#N/A,FALSE,"Tran"}</definedName>
    <definedName name="rrr" localSheetId="55" hidden="1">{"Riqfin97",#N/A,FALSE,"Tran";"Riqfinpro",#N/A,FALSE,"Tran"}</definedName>
    <definedName name="rrr" localSheetId="56" hidden="1">{"Riqfin97",#N/A,FALSE,"Tran";"Riqfinpro",#N/A,FALSE,"Tran"}</definedName>
    <definedName name="rrr" localSheetId="57" hidden="1">{"Riqfin97",#N/A,FALSE,"Tran";"Riqfinpro",#N/A,FALSE,"Tran"}</definedName>
    <definedName name="rrr" localSheetId="58" hidden="1">{"Riqfin97",#N/A,FALSE,"Tran";"Riqfinpro",#N/A,FALSE,"Tran"}</definedName>
    <definedName name="rrr" localSheetId="59" hidden="1">{"Riqfin97",#N/A,FALSE,"Tran";"Riqfinpro",#N/A,FALSE,"Tran"}</definedName>
    <definedName name="rrr" localSheetId="62" hidden="1">{"Riqfin97",#N/A,FALSE,"Tran";"Riqfinpro",#N/A,FALSE,"Tran"}</definedName>
    <definedName name="rrr" localSheetId="70" hidden="1">{"Riqfin97",#N/A,FALSE,"Tran";"Riqfinpro",#N/A,FALSE,"Tran"}</definedName>
    <definedName name="rrr" localSheetId="71" hidden="1">{"Riqfin97",#N/A,FALSE,"Tran";"Riqfinpro",#N/A,FALSE,"Tran"}</definedName>
    <definedName name="rrr" localSheetId="72" hidden="1">{"Riqfin97",#N/A,FALSE,"Tran";"Riqfinpro",#N/A,FALSE,"Tran"}</definedName>
    <definedName name="rrr" localSheetId="73" hidden="1">{"Riqfin97",#N/A,FALSE,"Tran";"Riqfinpro",#N/A,FALSE,"Tran"}</definedName>
    <definedName name="rrr" localSheetId="74" hidden="1">{"Riqfin97",#N/A,FALSE,"Tran";"Riqfinpro",#N/A,FALSE,"Tran"}</definedName>
    <definedName name="rrr" localSheetId="75" hidden="1">{"Riqfin97",#N/A,FALSE,"Tran";"Riqfinpro",#N/A,FALSE,"Tran"}</definedName>
    <definedName name="rrr" localSheetId="76" hidden="1">{"Riqfin97",#N/A,FALSE,"Tran";"Riqfinpro",#N/A,FALSE,"Tran"}</definedName>
    <definedName name="rrr" localSheetId="79" hidden="1">{"Riqfin97",#N/A,FALSE,"Tran";"Riqfinpro",#N/A,FALSE,"Tran"}</definedName>
    <definedName name="rrr" localSheetId="80" hidden="1">{"Riqfin97",#N/A,FALSE,"Tran";"Riqfinpro",#N/A,FALSE,"Tran"}</definedName>
    <definedName name="rrr" localSheetId="81" hidden="1">{"Riqfin97",#N/A,FALSE,"Tran";"Riqfinpro",#N/A,FALSE,"Tran"}</definedName>
    <definedName name="rrr" localSheetId="83" hidden="1">{"Riqfin97",#N/A,FALSE,"Tran";"Riqfinpro",#N/A,FALSE,"Tran"}</definedName>
    <definedName name="rrr" localSheetId="97" hidden="1">{"Riqfin97",#N/A,FALSE,"Tran";"Riqfinpro",#N/A,FALSE,"Tran"}</definedName>
    <definedName name="rrr" localSheetId="98" hidden="1">{"Riqfin97",#N/A,FALSE,"Tran";"Riqfinpro",#N/A,FALSE,"Tran"}</definedName>
    <definedName name="rrr" localSheetId="99" hidden="1">{"Riqfin97",#N/A,FALSE,"Tran";"Riqfinpro",#N/A,FALSE,"Tran"}</definedName>
    <definedName name="rrr" localSheetId="100" hidden="1">{"Riqfin97",#N/A,FALSE,"Tran";"Riqfinpro",#N/A,FALSE,"Tran"}</definedName>
    <definedName name="rrr" localSheetId="101" hidden="1">{"Riqfin97",#N/A,FALSE,"Tran";"Riqfinpro",#N/A,FALSE,"Tran"}</definedName>
    <definedName name="rrr" localSheetId="108" hidden="1">{"Riqfin97",#N/A,FALSE,"Tran";"Riqfinpro",#N/A,FALSE,"Tran"}</definedName>
    <definedName name="rrr" localSheetId="115" hidden="1">{"Riqfin97",#N/A,FALSE,"Tran";"Riqfinpro",#N/A,FALSE,"Tran"}</definedName>
    <definedName name="rrr" localSheetId="5" hidden="1">{"Riqfin97",#N/A,FALSE,"Tran";"Riqfinpro",#N/A,FALSE,"Tran"}</definedName>
    <definedName name="rrr" localSheetId="7" hidden="1">{"Riqfin97",#N/A,FALSE,"Tran";"Riqfinpro",#N/A,FALSE,"Tran"}</definedName>
    <definedName name="rrr" localSheetId="8" hidden="1">{"Riqfin97",#N/A,FALSE,"Tran";"Riqfinpro",#N/A,FALSE,"Tran"}</definedName>
    <definedName name="rrr" localSheetId="9" hidden="1">{"Riqfin97",#N/A,FALSE,"Tran";"Riqfinpro",#N/A,FALSE,"Tran"}</definedName>
    <definedName name="rrr" localSheetId="10" hidden="1">{"Riqfin97",#N/A,FALSE,"Tran";"Riqfinpro",#N/A,FALSE,"Tran"}</definedName>
    <definedName name="rrr" localSheetId="14" hidden="1">{"Riqfin97",#N/A,FALSE,"Tran";"Riqfinpro",#N/A,FALSE,"Tran"}</definedName>
    <definedName name="rrr" localSheetId="19" hidden="1">{"Riqfin97",#N/A,FALSE,"Tran";"Riqfinpro",#N/A,FALSE,"Tran"}</definedName>
    <definedName name="rrr" localSheetId="21" hidden="1">{"Riqfin97",#N/A,FALSE,"Tran";"Riqfinpro",#N/A,FALSE,"Tran"}</definedName>
    <definedName name="rrr" localSheetId="23" hidden="1">{"Riqfin97",#N/A,FALSE,"Tran";"Riqfinpro",#N/A,FALSE,"Tran"}</definedName>
    <definedName name="rrr" localSheetId="24" hidden="1">{"Riqfin97",#N/A,FALSE,"Tran";"Riqfinpro",#N/A,FALSE,"Tran"}</definedName>
    <definedName name="rrr" localSheetId="25" hidden="1">{"Riqfin97",#N/A,FALSE,"Tran";"Riqfinpro",#N/A,FALSE,"Tran"}</definedName>
    <definedName name="rrr" localSheetId="27" hidden="1">{"Riqfin97",#N/A,FALSE,"Tran";"Riqfinpro",#N/A,FALSE,"Tran"}</definedName>
    <definedName name="rrr" localSheetId="30" hidden="1">{"Riqfin97",#N/A,FALSE,"Tran";"Riqfinpro",#N/A,FALSE,"Tran"}</definedName>
    <definedName name="rrr" localSheetId="33" hidden="1">{"Riqfin97",#N/A,FALSE,"Tran";"Riqfinpro",#N/A,FALSE,"Tran"}</definedName>
    <definedName name="rrr" localSheetId="34" hidden="1">{"Riqfin97",#N/A,FALSE,"Tran";"Riqfinpro",#N/A,FALSE,"Tran"}</definedName>
    <definedName name="rrr" localSheetId="35" hidden="1">{"Riqfin97",#N/A,FALSE,"Tran";"Riqfinpro",#N/A,FALSE,"Tran"}</definedName>
    <definedName name="rrr" localSheetId="36" hidden="1">{"Riqfin97",#N/A,FALSE,"Tran";"Riqfinpro",#N/A,FALSE,"Tran"}</definedName>
    <definedName name="rrr" localSheetId="37" hidden="1">{"Riqfin97",#N/A,FALSE,"Tran";"Riqfinpro",#N/A,FALSE,"Tran"}</definedName>
    <definedName name="rrr" localSheetId="38" hidden="1">{"Riqfin97",#N/A,FALSE,"Tran";"Riqfinpro",#N/A,FALSE,"Tran"}</definedName>
    <definedName name="rrr" localSheetId="39" hidden="1">{"Riqfin97",#N/A,FALSE,"Tran";"Riqfinpro",#N/A,FALSE,"Tran"}</definedName>
    <definedName name="rrr" localSheetId="40" hidden="1">{"Riqfin97",#N/A,FALSE,"Tran";"Riqfinpro",#N/A,FALSE,"Tran"}</definedName>
    <definedName name="rrr" localSheetId="44" hidden="1">{"Riqfin97",#N/A,FALSE,"Tran";"Riqfinpro",#N/A,FALSE,"Tran"}</definedName>
    <definedName name="rrr" hidden="1">{"Riqfin97",#N/A,FALSE,"Tran";"Riqfinpro",#N/A,FALSE,"Tran"}</definedName>
    <definedName name="rt" localSheetId="50" hidden="1">{"'előző év december'!$A$2:$CP$214"}</definedName>
    <definedName name="rt" localSheetId="56" hidden="1">{"'előző év december'!$A$2:$CP$214"}</definedName>
    <definedName name="rt" localSheetId="57" hidden="1">{"'előző év december'!$A$2:$CP$214"}</definedName>
    <definedName name="rt" localSheetId="58" hidden="1">{"'előző év december'!$A$2:$CP$214"}</definedName>
    <definedName name="rt" localSheetId="59" hidden="1">{"'előző év december'!$A$2:$CP$214"}</definedName>
    <definedName name="rt" localSheetId="62" hidden="1">{"'előző év december'!$A$2:$CP$214"}</definedName>
    <definedName name="rt" localSheetId="70" hidden="1">{"'előző év december'!$A$2:$CP$214"}</definedName>
    <definedName name="rt" localSheetId="71" hidden="1">{"'előző év december'!$A$2:$CP$214"}</definedName>
    <definedName name="rt" localSheetId="72" hidden="1">{"'előző év december'!$A$2:$CP$214"}</definedName>
    <definedName name="rt" localSheetId="73" hidden="1">{"'előző év december'!$A$2:$CP$214"}</definedName>
    <definedName name="rt" localSheetId="74" hidden="1">{"'előző év december'!$A$2:$CP$214"}</definedName>
    <definedName name="rt" localSheetId="79" hidden="1">{"'előző év december'!$A$2:$CP$214"}</definedName>
    <definedName name="rt" localSheetId="80" hidden="1">{"'előző év december'!$A$2:$CP$214"}</definedName>
    <definedName name="rt" localSheetId="81" hidden="1">{"'előző év december'!$A$2:$CP$214"}</definedName>
    <definedName name="rt" localSheetId="97" hidden="1">{"'előző év december'!$A$2:$CP$214"}</definedName>
    <definedName name="rt" localSheetId="98" hidden="1">{"'előző év december'!$A$2:$CP$214"}</definedName>
    <definedName name="rt" localSheetId="99" hidden="1">{"'előző év december'!$A$2:$CP$214"}</definedName>
    <definedName name="rt" localSheetId="100" hidden="1">{"'előző év december'!$A$2:$CP$214"}</definedName>
    <definedName name="rt" localSheetId="101" hidden="1">{"'előző év december'!$A$2:$CP$214"}</definedName>
    <definedName name="rt" localSheetId="108" hidden="1">{"'előző év december'!$A$2:$CP$214"}</definedName>
    <definedName name="rt" localSheetId="115" hidden="1">{"'előző év december'!$A$2:$CP$214"}</definedName>
    <definedName name="rt" localSheetId="5" hidden="1">{"'előző év december'!$A$2:$CP$214"}</definedName>
    <definedName name="rt" localSheetId="7" hidden="1">{"'előző év december'!$A$2:$CP$214"}</definedName>
    <definedName name="rt" localSheetId="8" hidden="1">{"'előző év december'!$A$2:$CP$214"}</definedName>
    <definedName name="rt" localSheetId="9" hidden="1">{"'előző év december'!$A$2:$CP$214"}</definedName>
    <definedName name="rt" localSheetId="10" hidden="1">{"'előző év december'!$A$2:$CP$214"}</definedName>
    <definedName name="rt" localSheetId="14" hidden="1">{"'előző év december'!$A$2:$CP$214"}</definedName>
    <definedName name="rt" localSheetId="18" hidden="1">{"'előző év december'!$A$2:$CP$214"}</definedName>
    <definedName name="rt" localSheetId="19" hidden="1">{"'előző év december'!$A$2:$CP$214"}</definedName>
    <definedName name="rt" localSheetId="21" hidden="1">{"'előző év december'!$A$2:$CP$214"}</definedName>
    <definedName name="rt" localSheetId="23" hidden="1">{"'előző év december'!$A$2:$CP$214"}</definedName>
    <definedName name="rt" localSheetId="24" hidden="1">{"'előző év december'!$A$2:$CP$214"}</definedName>
    <definedName name="rt" localSheetId="25" hidden="1">{"'előző év december'!$A$2:$CP$214"}</definedName>
    <definedName name="rt" localSheetId="27" hidden="1">{"'előző év december'!$A$2:$CP$214"}</definedName>
    <definedName name="rt" localSheetId="30" hidden="1">{"'előző év december'!$A$2:$CP$214"}</definedName>
    <definedName name="rt" localSheetId="33" hidden="1">{"'előző év december'!$A$2:$CP$214"}</definedName>
    <definedName name="rt" localSheetId="34" hidden="1">{"'előző év december'!$A$2:$CP$214"}</definedName>
    <definedName name="rt" localSheetId="35" hidden="1">{"'előző év december'!$A$2:$CP$214"}</definedName>
    <definedName name="rt" localSheetId="36" hidden="1">{"'előző év december'!$A$2:$CP$214"}</definedName>
    <definedName name="rt" localSheetId="37" hidden="1">{"'előző év december'!$A$2:$CP$214"}</definedName>
    <definedName name="rt" localSheetId="38" hidden="1">{"'előző év december'!$A$2:$CP$214"}</definedName>
    <definedName name="rt" localSheetId="39" hidden="1">{"'előző év december'!$A$2:$CP$214"}</definedName>
    <definedName name="rt" localSheetId="40" hidden="1">{"'előző év december'!$A$2:$CP$214"}</definedName>
    <definedName name="rt" hidden="1">{"'előző év december'!$A$2:$CP$214"}</definedName>
    <definedName name="rte" localSheetId="50" hidden="1">{"'előző év december'!$A$2:$CP$214"}</definedName>
    <definedName name="rte" localSheetId="56" hidden="1">{"'előző év december'!$A$2:$CP$214"}</definedName>
    <definedName name="rte" localSheetId="57" hidden="1">{"'előző év december'!$A$2:$CP$214"}</definedName>
    <definedName name="rte" localSheetId="58" hidden="1">{"'előző év december'!$A$2:$CP$214"}</definedName>
    <definedName name="rte" localSheetId="59" hidden="1">{"'előző év december'!$A$2:$CP$214"}</definedName>
    <definedName name="rte" localSheetId="62" hidden="1">{"'előző év december'!$A$2:$CP$214"}</definedName>
    <definedName name="rte" localSheetId="70" hidden="1">{"'előző év december'!$A$2:$CP$214"}</definedName>
    <definedName name="rte" localSheetId="71" hidden="1">{"'előző év december'!$A$2:$CP$214"}</definedName>
    <definedName name="rte" localSheetId="72" hidden="1">{"'előző év december'!$A$2:$CP$214"}</definedName>
    <definedName name="rte" localSheetId="73" hidden="1">{"'előző év december'!$A$2:$CP$214"}</definedName>
    <definedName name="rte" localSheetId="74" hidden="1">{"'előző év december'!$A$2:$CP$214"}</definedName>
    <definedName name="rte" localSheetId="79" hidden="1">{"'előző év december'!$A$2:$CP$214"}</definedName>
    <definedName name="rte" localSheetId="80" hidden="1">{"'előző év december'!$A$2:$CP$214"}</definedName>
    <definedName name="rte" localSheetId="81" hidden="1">{"'előző év december'!$A$2:$CP$214"}</definedName>
    <definedName name="rte" localSheetId="97" hidden="1">{"'előző év december'!$A$2:$CP$214"}</definedName>
    <definedName name="rte" localSheetId="98" hidden="1">{"'előző év december'!$A$2:$CP$214"}</definedName>
    <definedName name="rte" localSheetId="99" hidden="1">{"'előző év december'!$A$2:$CP$214"}</definedName>
    <definedName name="rte" localSheetId="100" hidden="1">{"'előző év december'!$A$2:$CP$214"}</definedName>
    <definedName name="rte" localSheetId="101" hidden="1">{"'előző év december'!$A$2:$CP$214"}</definedName>
    <definedName name="rte" localSheetId="108" hidden="1">{"'előző év december'!$A$2:$CP$214"}</definedName>
    <definedName name="rte" localSheetId="115" hidden="1">{"'előző év december'!$A$2:$CP$214"}</definedName>
    <definedName name="rte" localSheetId="5" hidden="1">{"'előző év december'!$A$2:$CP$214"}</definedName>
    <definedName name="rte" localSheetId="7" hidden="1">{"'előző év december'!$A$2:$CP$214"}</definedName>
    <definedName name="rte" localSheetId="8" hidden="1">{"'előző év december'!$A$2:$CP$214"}</definedName>
    <definedName name="rte" localSheetId="9" hidden="1">{"'előző év december'!$A$2:$CP$214"}</definedName>
    <definedName name="rte" localSheetId="10" hidden="1">{"'előző év december'!$A$2:$CP$214"}</definedName>
    <definedName name="rte" localSheetId="14" hidden="1">{"'előző év december'!$A$2:$CP$214"}</definedName>
    <definedName name="rte" localSheetId="18" hidden="1">{"'előző év december'!$A$2:$CP$214"}</definedName>
    <definedName name="rte" localSheetId="19" hidden="1">{"'előző év december'!$A$2:$CP$214"}</definedName>
    <definedName name="rte" localSheetId="21" hidden="1">{"'előző év december'!$A$2:$CP$214"}</definedName>
    <definedName name="rte" localSheetId="23" hidden="1">{"'előző év december'!$A$2:$CP$214"}</definedName>
    <definedName name="rte" localSheetId="24" hidden="1">{"'előző év december'!$A$2:$CP$214"}</definedName>
    <definedName name="rte" localSheetId="25" hidden="1">{"'előző év december'!$A$2:$CP$214"}</definedName>
    <definedName name="rte" localSheetId="27" hidden="1">{"'előző év december'!$A$2:$CP$214"}</definedName>
    <definedName name="rte" localSheetId="30" hidden="1">{"'előző év december'!$A$2:$CP$214"}</definedName>
    <definedName name="rte" localSheetId="33" hidden="1">{"'előző év december'!$A$2:$CP$214"}</definedName>
    <definedName name="rte" localSheetId="34" hidden="1">{"'előző év december'!$A$2:$CP$214"}</definedName>
    <definedName name="rte" localSheetId="35" hidden="1">{"'előző év december'!$A$2:$CP$214"}</definedName>
    <definedName name="rte" localSheetId="36" hidden="1">{"'előző év december'!$A$2:$CP$214"}</definedName>
    <definedName name="rte" localSheetId="37" hidden="1">{"'előző év december'!$A$2:$CP$214"}</definedName>
    <definedName name="rte" localSheetId="38" hidden="1">{"'előző év december'!$A$2:$CP$214"}</definedName>
    <definedName name="rte" localSheetId="39" hidden="1">{"'előző év december'!$A$2:$CP$214"}</definedName>
    <definedName name="rte" localSheetId="40" hidden="1">{"'előző év december'!$A$2:$CP$214"}</definedName>
    <definedName name="rte" hidden="1">{"'előző év december'!$A$2:$CP$214"}</definedName>
    <definedName name="rtew" localSheetId="50" hidden="1">{"'előző év december'!$A$2:$CP$214"}</definedName>
    <definedName name="rtew" localSheetId="56" hidden="1">{"'előző év december'!$A$2:$CP$214"}</definedName>
    <definedName name="rtew" localSheetId="57" hidden="1">{"'előző év december'!$A$2:$CP$214"}</definedName>
    <definedName name="rtew" localSheetId="58" hidden="1">{"'előző év december'!$A$2:$CP$214"}</definedName>
    <definedName name="rtew" localSheetId="59" hidden="1">{"'előző év december'!$A$2:$CP$214"}</definedName>
    <definedName name="rtew" localSheetId="62" hidden="1">{"'előző év december'!$A$2:$CP$214"}</definedName>
    <definedName name="rtew" localSheetId="70" hidden="1">{"'előző év december'!$A$2:$CP$214"}</definedName>
    <definedName name="rtew" localSheetId="71" hidden="1">{"'előző év december'!$A$2:$CP$214"}</definedName>
    <definedName name="rtew" localSheetId="72" hidden="1">{"'előző év december'!$A$2:$CP$214"}</definedName>
    <definedName name="rtew" localSheetId="73" hidden="1">{"'előző év december'!$A$2:$CP$214"}</definedName>
    <definedName name="rtew" localSheetId="74" hidden="1">{"'előző év december'!$A$2:$CP$214"}</definedName>
    <definedName name="rtew" localSheetId="79" hidden="1">{"'előző év december'!$A$2:$CP$214"}</definedName>
    <definedName name="rtew" localSheetId="80" hidden="1">{"'előző év december'!$A$2:$CP$214"}</definedName>
    <definedName name="rtew" localSheetId="81" hidden="1">{"'előző év december'!$A$2:$CP$214"}</definedName>
    <definedName name="rtew" localSheetId="97" hidden="1">{"'előző év december'!$A$2:$CP$214"}</definedName>
    <definedName name="rtew" localSheetId="98" hidden="1">{"'előző év december'!$A$2:$CP$214"}</definedName>
    <definedName name="rtew" localSheetId="99" hidden="1">{"'előző év december'!$A$2:$CP$214"}</definedName>
    <definedName name="rtew" localSheetId="100" hidden="1">{"'előző év december'!$A$2:$CP$214"}</definedName>
    <definedName name="rtew" localSheetId="101" hidden="1">{"'előző év december'!$A$2:$CP$214"}</definedName>
    <definedName name="rtew" localSheetId="108" hidden="1">{"'előző év december'!$A$2:$CP$214"}</definedName>
    <definedName name="rtew" localSheetId="115" hidden="1">{"'előző év december'!$A$2:$CP$214"}</definedName>
    <definedName name="rtew" localSheetId="5" hidden="1">{"'előző év december'!$A$2:$CP$214"}</definedName>
    <definedName name="rtew" localSheetId="7" hidden="1">{"'előző év december'!$A$2:$CP$214"}</definedName>
    <definedName name="rtew" localSheetId="8" hidden="1">{"'előző év december'!$A$2:$CP$214"}</definedName>
    <definedName name="rtew" localSheetId="9" hidden="1">{"'előző év december'!$A$2:$CP$214"}</definedName>
    <definedName name="rtew" localSheetId="10" hidden="1">{"'előző év december'!$A$2:$CP$214"}</definedName>
    <definedName name="rtew" localSheetId="14" hidden="1">{"'előző év december'!$A$2:$CP$214"}</definedName>
    <definedName name="rtew" localSheetId="18" hidden="1">{"'előző év december'!$A$2:$CP$214"}</definedName>
    <definedName name="rtew" localSheetId="19" hidden="1">{"'előző év december'!$A$2:$CP$214"}</definedName>
    <definedName name="rtew" localSheetId="21" hidden="1">{"'előző év december'!$A$2:$CP$214"}</definedName>
    <definedName name="rtew" localSheetId="23" hidden="1">{"'előző év december'!$A$2:$CP$214"}</definedName>
    <definedName name="rtew" localSheetId="24" hidden="1">{"'előző év december'!$A$2:$CP$214"}</definedName>
    <definedName name="rtew" localSheetId="25" hidden="1">{"'előző év december'!$A$2:$CP$214"}</definedName>
    <definedName name="rtew" localSheetId="27" hidden="1">{"'előző év december'!$A$2:$CP$214"}</definedName>
    <definedName name="rtew" localSheetId="30" hidden="1">{"'előző év december'!$A$2:$CP$214"}</definedName>
    <definedName name="rtew" localSheetId="33" hidden="1">{"'előző év december'!$A$2:$CP$214"}</definedName>
    <definedName name="rtew" localSheetId="34" hidden="1">{"'előző év december'!$A$2:$CP$214"}</definedName>
    <definedName name="rtew" localSheetId="35" hidden="1">{"'előző év december'!$A$2:$CP$214"}</definedName>
    <definedName name="rtew" localSheetId="36" hidden="1">{"'előző év december'!$A$2:$CP$214"}</definedName>
    <definedName name="rtew" localSheetId="37" hidden="1">{"'előző év december'!$A$2:$CP$214"}</definedName>
    <definedName name="rtew" localSheetId="38" hidden="1">{"'előző év december'!$A$2:$CP$214"}</definedName>
    <definedName name="rtew" localSheetId="39" hidden="1">{"'előző év december'!$A$2:$CP$214"}</definedName>
    <definedName name="rtew" localSheetId="40" hidden="1">{"'előző év december'!$A$2:$CP$214"}</definedName>
    <definedName name="rtew" hidden="1">{"'előző év december'!$A$2:$CP$214"}</definedName>
    <definedName name="rtz" localSheetId="50" hidden="1">{"'előző év december'!$A$2:$CP$214"}</definedName>
    <definedName name="rtz" localSheetId="56" hidden="1">{"'előző év december'!$A$2:$CP$214"}</definedName>
    <definedName name="rtz" localSheetId="57" hidden="1">{"'előző év december'!$A$2:$CP$214"}</definedName>
    <definedName name="rtz" localSheetId="58" hidden="1">{"'előző év december'!$A$2:$CP$214"}</definedName>
    <definedName name="rtz" localSheetId="59" hidden="1">{"'előző év december'!$A$2:$CP$214"}</definedName>
    <definedName name="rtz" localSheetId="62" hidden="1">{"'előző év december'!$A$2:$CP$214"}</definedName>
    <definedName name="rtz" localSheetId="70" hidden="1">{"'előző év december'!$A$2:$CP$214"}</definedName>
    <definedName name="rtz" localSheetId="71" hidden="1">{"'előző év december'!$A$2:$CP$214"}</definedName>
    <definedName name="rtz" localSheetId="72" hidden="1">{"'előző év december'!$A$2:$CP$214"}</definedName>
    <definedName name="rtz" localSheetId="73" hidden="1">{"'előző év december'!$A$2:$CP$214"}</definedName>
    <definedName name="rtz" localSheetId="74" hidden="1">{"'előző év december'!$A$2:$CP$214"}</definedName>
    <definedName name="rtz" localSheetId="79" hidden="1">{"'előző év december'!$A$2:$CP$214"}</definedName>
    <definedName name="rtz" localSheetId="80" hidden="1">{"'előző év december'!$A$2:$CP$214"}</definedName>
    <definedName name="rtz" localSheetId="81" hidden="1">{"'előző év december'!$A$2:$CP$214"}</definedName>
    <definedName name="rtz" localSheetId="97" hidden="1">{"'előző év december'!$A$2:$CP$214"}</definedName>
    <definedName name="rtz" localSheetId="98" hidden="1">{"'előző év december'!$A$2:$CP$214"}</definedName>
    <definedName name="rtz" localSheetId="99" hidden="1">{"'előző év december'!$A$2:$CP$214"}</definedName>
    <definedName name="rtz" localSheetId="100" hidden="1">{"'előző év december'!$A$2:$CP$214"}</definedName>
    <definedName name="rtz" localSheetId="101" hidden="1">{"'előző év december'!$A$2:$CP$214"}</definedName>
    <definedName name="rtz" localSheetId="108" hidden="1">{"'előző év december'!$A$2:$CP$214"}</definedName>
    <definedName name="rtz" localSheetId="115" hidden="1">{"'előző év december'!$A$2:$CP$214"}</definedName>
    <definedName name="rtz" localSheetId="5" hidden="1">{"'előző év december'!$A$2:$CP$214"}</definedName>
    <definedName name="rtz" localSheetId="7" hidden="1">{"'előző év december'!$A$2:$CP$214"}</definedName>
    <definedName name="rtz" localSheetId="8" hidden="1">{"'előző év december'!$A$2:$CP$214"}</definedName>
    <definedName name="rtz" localSheetId="9" hidden="1">{"'előző év december'!$A$2:$CP$214"}</definedName>
    <definedName name="rtz" localSheetId="10" hidden="1">{"'előző év december'!$A$2:$CP$214"}</definedName>
    <definedName name="rtz" localSheetId="14" hidden="1">{"'előző év december'!$A$2:$CP$214"}</definedName>
    <definedName name="rtz" localSheetId="18" hidden="1">{"'előző év december'!$A$2:$CP$214"}</definedName>
    <definedName name="rtz" localSheetId="19" hidden="1">{"'előző év december'!$A$2:$CP$214"}</definedName>
    <definedName name="rtz" localSheetId="21" hidden="1">{"'előző év december'!$A$2:$CP$214"}</definedName>
    <definedName name="rtz" localSheetId="23" hidden="1">{"'előző év december'!$A$2:$CP$214"}</definedName>
    <definedName name="rtz" localSheetId="24" hidden="1">{"'előző év december'!$A$2:$CP$214"}</definedName>
    <definedName name="rtz" localSheetId="25" hidden="1">{"'előző év december'!$A$2:$CP$214"}</definedName>
    <definedName name="rtz" localSheetId="27" hidden="1">{"'előző év december'!$A$2:$CP$214"}</definedName>
    <definedName name="rtz" localSheetId="30" hidden="1">{"'előző év december'!$A$2:$CP$214"}</definedName>
    <definedName name="rtz" localSheetId="33" hidden="1">{"'előző év december'!$A$2:$CP$214"}</definedName>
    <definedName name="rtz" localSheetId="34" hidden="1">{"'előző év december'!$A$2:$CP$214"}</definedName>
    <definedName name="rtz" localSheetId="35" hidden="1">{"'előző év december'!$A$2:$CP$214"}</definedName>
    <definedName name="rtz" localSheetId="36" hidden="1">{"'előző év december'!$A$2:$CP$214"}</definedName>
    <definedName name="rtz" localSheetId="37" hidden="1">{"'előző év december'!$A$2:$CP$214"}</definedName>
    <definedName name="rtz" localSheetId="38" hidden="1">{"'előző év december'!$A$2:$CP$214"}</definedName>
    <definedName name="rtz" localSheetId="39" hidden="1">{"'előző év december'!$A$2:$CP$214"}</definedName>
    <definedName name="rtz" localSheetId="40" hidden="1">{"'előző év december'!$A$2:$CP$214"}</definedName>
    <definedName name="rtz" hidden="1">{"'előző év december'!$A$2:$CP$214"}</definedName>
    <definedName name="SAPBEXhrIndnt" hidden="1">"Wide"</definedName>
    <definedName name="SAPBEXrevision" localSheetId="55" hidden="1">10</definedName>
    <definedName name="SAPBEXrevision" localSheetId="71" hidden="1">38</definedName>
    <definedName name="SAPBEXrevision" localSheetId="72" hidden="1">38</definedName>
    <definedName name="SAPBEXrevision" localSheetId="73" hidden="1">38</definedName>
    <definedName name="SAPBEXrevision" localSheetId="74" hidden="1">38</definedName>
    <definedName name="SAPBEXrevision" localSheetId="79" hidden="1">10</definedName>
    <definedName name="SAPBEXrevision" localSheetId="115" hidden="1">38</definedName>
    <definedName name="SAPBEXrevision" localSheetId="10" hidden="1">38</definedName>
    <definedName name="SAPBEXrevision" localSheetId="34" hidden="1">38</definedName>
    <definedName name="SAPBEXrevision" localSheetId="35" hidden="1">38</definedName>
    <definedName name="SAPBEXrevision" localSheetId="36" hidden="1">38</definedName>
    <definedName name="SAPBEXrevision" localSheetId="37" hidden="1">38</definedName>
    <definedName name="SAPBEXrevision" localSheetId="38" hidden="1">38</definedName>
    <definedName name="SAPBEXrevision" hidden="1">38</definedName>
    <definedName name="SAPBEXsysID" hidden="1">"BSP"</definedName>
    <definedName name="SAPBEXwbID" localSheetId="55" hidden="1">"4TOUPT6NWTB0J40VYRY84RMDW"</definedName>
    <definedName name="SAPBEXwbID" localSheetId="71" hidden="1">"4GPMQGOE6GBN721YXH4DRY8ES"</definedName>
    <definedName name="SAPBEXwbID" localSheetId="72" hidden="1">"4GPMQGOE6GBN721YXH4DRY8ES"</definedName>
    <definedName name="SAPBEXwbID" localSheetId="73" hidden="1">"4GPMQGOE6GBN721YXH4DRY8ES"</definedName>
    <definedName name="SAPBEXwbID" localSheetId="74" hidden="1">"4GPMQGOE6GBN721YXH4DRY8ES"</definedName>
    <definedName name="SAPBEXwbID" localSheetId="79" hidden="1">"4TOUPT6NWTB0J40VYRY84RMDW"</definedName>
    <definedName name="SAPBEXwbID" localSheetId="115" hidden="1">"4GPMQGOE6GBN721YXH4DRY8ES"</definedName>
    <definedName name="SAPBEXwbID" localSheetId="10" hidden="1">"4GPMQGOE6GBN721YXH4DRY8ES"</definedName>
    <definedName name="SAPBEXwbID" localSheetId="34" hidden="1">"4GPMQGOE6GBN721YXH4DRY8ES"</definedName>
    <definedName name="SAPBEXwbID" localSheetId="35" hidden="1">"4GPMQGOE6GBN721YXH4DRY8ES"</definedName>
    <definedName name="SAPBEXwbID" localSheetId="36" hidden="1">"4GPMQGOE6GBN721YXH4DRY8ES"</definedName>
    <definedName name="SAPBEXwbID" localSheetId="37" hidden="1">"4GPMQGOE6GBN721YXH4DRY8ES"</definedName>
    <definedName name="SAPBEXwbID" localSheetId="38" hidden="1">"4GPMQGOE6GBN721YXH4DRY8ES"</definedName>
    <definedName name="SAPBEXwbID" hidden="1">"4GPMQGOE6GBN721YXH4DRY8ES"</definedName>
    <definedName name="SAPsysID" hidden="1">"708C5W7SBKP804JT78WJ0JNKI"</definedName>
    <definedName name="SAPwbID" hidden="1">"ARS"</definedName>
    <definedName name="sdf" localSheetId="50" hidden="1">{"'előző év december'!$A$2:$CP$214"}</definedName>
    <definedName name="sdf" localSheetId="56" hidden="1">{"'előző év december'!$A$2:$CP$214"}</definedName>
    <definedName name="sdf" localSheetId="57" hidden="1">{"'előző év december'!$A$2:$CP$214"}</definedName>
    <definedName name="sdf" localSheetId="58" hidden="1">{"'előző év december'!$A$2:$CP$214"}</definedName>
    <definedName name="sdf" localSheetId="59" hidden="1">{"'előző év december'!$A$2:$CP$214"}</definedName>
    <definedName name="sdf" localSheetId="62" hidden="1">{"'előző év december'!$A$2:$CP$214"}</definedName>
    <definedName name="sdf" localSheetId="70" hidden="1">{"'előző év december'!$A$2:$CP$214"}</definedName>
    <definedName name="sdf" localSheetId="71" hidden="1">{"'előző év december'!$A$2:$CP$214"}</definedName>
    <definedName name="sdf" localSheetId="72" hidden="1">{"'előző év december'!$A$2:$CP$214"}</definedName>
    <definedName name="sdf" localSheetId="73" hidden="1">{"'előző év december'!$A$2:$CP$214"}</definedName>
    <definedName name="sdf" localSheetId="74" hidden="1">{"'előző év december'!$A$2:$CP$214"}</definedName>
    <definedName name="sdf" localSheetId="79" hidden="1">{"'előző év december'!$A$2:$CP$214"}</definedName>
    <definedName name="sdf" localSheetId="80" hidden="1">{"'előző év december'!$A$2:$CP$214"}</definedName>
    <definedName name="sdf" localSheetId="81" hidden="1">{"'előző év december'!$A$2:$CP$214"}</definedName>
    <definedName name="sdf" localSheetId="97" hidden="1">{"'előző év december'!$A$2:$CP$214"}</definedName>
    <definedName name="sdf" localSheetId="98" hidden="1">{"'előző év december'!$A$2:$CP$214"}</definedName>
    <definedName name="sdf" localSheetId="99" hidden="1">{"'előző év december'!$A$2:$CP$214"}</definedName>
    <definedName name="sdf" localSheetId="100" hidden="1">{"'előző év december'!$A$2:$CP$214"}</definedName>
    <definedName name="sdf" localSheetId="101" hidden="1">{"'előző év december'!$A$2:$CP$214"}</definedName>
    <definedName name="sdf" localSheetId="108" hidden="1">{"'előző év december'!$A$2:$CP$214"}</definedName>
    <definedName name="sdf" localSheetId="115" hidden="1">{"'előző év december'!$A$2:$CP$214"}</definedName>
    <definedName name="sdf" localSheetId="5" hidden="1">{"'előző év december'!$A$2:$CP$214"}</definedName>
    <definedName name="sdf" localSheetId="7" hidden="1">{"'előző év december'!$A$2:$CP$214"}</definedName>
    <definedName name="sdf" localSheetId="8" hidden="1">{"'előző év december'!$A$2:$CP$214"}</definedName>
    <definedName name="sdf" localSheetId="9" hidden="1">{"'előző év december'!$A$2:$CP$214"}</definedName>
    <definedName name="sdf" localSheetId="10" hidden="1">{"'előző év december'!$A$2:$CP$214"}</definedName>
    <definedName name="sdf" localSheetId="14" hidden="1">{"'előző év december'!$A$2:$CP$214"}</definedName>
    <definedName name="sdf" localSheetId="18" hidden="1">{"'előző év december'!$A$2:$CP$214"}</definedName>
    <definedName name="sdf" localSheetId="19" hidden="1">{"'előző év december'!$A$2:$CP$214"}</definedName>
    <definedName name="sdf" localSheetId="21" hidden="1">{"'előző év december'!$A$2:$CP$214"}</definedName>
    <definedName name="sdf" localSheetId="23" hidden="1">{"'előző év december'!$A$2:$CP$214"}</definedName>
    <definedName name="sdf" localSheetId="24" hidden="1">{"'előző év december'!$A$2:$CP$214"}</definedName>
    <definedName name="sdf" localSheetId="25" hidden="1">{"'előző év december'!$A$2:$CP$214"}</definedName>
    <definedName name="sdf" localSheetId="27" hidden="1">{"'előző év december'!$A$2:$CP$214"}</definedName>
    <definedName name="sdf" localSheetId="30" hidden="1">{"'előző év december'!$A$2:$CP$214"}</definedName>
    <definedName name="sdf" localSheetId="33" hidden="1">{"'előző év december'!$A$2:$CP$214"}</definedName>
    <definedName name="sdf" localSheetId="34" hidden="1">{"'előző év december'!$A$2:$CP$214"}</definedName>
    <definedName name="sdf" localSheetId="35" hidden="1">{"'előző év december'!$A$2:$CP$214"}</definedName>
    <definedName name="sdf" localSheetId="36" hidden="1">{"'előző év december'!$A$2:$CP$214"}</definedName>
    <definedName name="sdf" localSheetId="37" hidden="1">{"'előző év december'!$A$2:$CP$214"}</definedName>
    <definedName name="sdf" localSheetId="38" hidden="1">{"'előző év december'!$A$2:$CP$214"}</definedName>
    <definedName name="sdf" localSheetId="39" hidden="1">{"'előző év december'!$A$2:$CP$214"}</definedName>
    <definedName name="sdf" localSheetId="40" hidden="1">{"'előző év december'!$A$2:$CP$214"}</definedName>
    <definedName name="sdf" hidden="1">{"'előző év december'!$A$2:$CP$214"}</definedName>
    <definedName name="sencount" hidden="1">2</definedName>
    <definedName name="test" localSheetId="50" hidden="1">{"'előző év december'!$A$2:$CP$214"}</definedName>
    <definedName name="test" localSheetId="56" hidden="1">{"'előző év december'!$A$2:$CP$214"}</definedName>
    <definedName name="test" localSheetId="57" hidden="1">{"'előző év december'!$A$2:$CP$214"}</definedName>
    <definedName name="test" localSheetId="58" hidden="1">{"'előző év december'!$A$2:$CP$214"}</definedName>
    <definedName name="test" localSheetId="59" hidden="1">{"'előző év december'!$A$2:$CP$214"}</definedName>
    <definedName name="test" localSheetId="62" hidden="1">{"'előző év december'!$A$2:$CP$214"}</definedName>
    <definedName name="test" localSheetId="70" hidden="1">{"'előző év december'!$A$2:$CP$214"}</definedName>
    <definedName name="test" localSheetId="71" hidden="1">{"'előző év december'!$A$2:$CP$214"}</definedName>
    <definedName name="test" localSheetId="72" hidden="1">{"'előző év december'!$A$2:$CP$214"}</definedName>
    <definedName name="test" localSheetId="73" hidden="1">{"'előző év december'!$A$2:$CP$214"}</definedName>
    <definedName name="test" localSheetId="74" hidden="1">{"'előző év december'!$A$2:$CP$214"}</definedName>
    <definedName name="test" localSheetId="79" hidden="1">{"'előző év december'!$A$2:$CP$214"}</definedName>
    <definedName name="test" localSheetId="80" hidden="1">{"'előző év december'!$A$2:$CP$214"}</definedName>
    <definedName name="test" localSheetId="81" hidden="1">{"'előző év december'!$A$2:$CP$214"}</definedName>
    <definedName name="test" localSheetId="97" hidden="1">{"'előző év december'!$A$2:$CP$214"}</definedName>
    <definedName name="test" localSheetId="98" hidden="1">{"'előző év december'!$A$2:$CP$214"}</definedName>
    <definedName name="test" localSheetId="99" hidden="1">{"'előző év december'!$A$2:$CP$214"}</definedName>
    <definedName name="test" localSheetId="100" hidden="1">{"'előző év december'!$A$2:$CP$214"}</definedName>
    <definedName name="test" localSheetId="101" hidden="1">{"'előző év december'!$A$2:$CP$214"}</definedName>
    <definedName name="test" localSheetId="108" hidden="1">{"'előző év december'!$A$2:$CP$214"}</definedName>
    <definedName name="test" localSheetId="115" hidden="1">{"'előző év december'!$A$2:$CP$214"}</definedName>
    <definedName name="test" localSheetId="5" hidden="1">{"'előző év december'!$A$2:$CP$214"}</definedName>
    <definedName name="test" localSheetId="7" hidden="1">{"'előző év december'!$A$2:$CP$214"}</definedName>
    <definedName name="test" localSheetId="8" hidden="1">{"'előző év december'!$A$2:$CP$214"}</definedName>
    <definedName name="test" localSheetId="9" hidden="1">{"'előző év december'!$A$2:$CP$214"}</definedName>
    <definedName name="test" localSheetId="10" hidden="1">{"'előző év december'!$A$2:$CP$214"}</definedName>
    <definedName name="test" localSheetId="14" hidden="1">{"'előző év december'!$A$2:$CP$214"}</definedName>
    <definedName name="test" localSheetId="18" hidden="1">{"'előző év december'!$A$2:$CP$214"}</definedName>
    <definedName name="test" localSheetId="19" hidden="1">{"'előző év december'!$A$2:$CP$214"}</definedName>
    <definedName name="test" localSheetId="21" hidden="1">{"'előző év december'!$A$2:$CP$214"}</definedName>
    <definedName name="test" localSheetId="23" hidden="1">{"'előző év december'!$A$2:$CP$214"}</definedName>
    <definedName name="test" localSheetId="24" hidden="1">{"'előző év december'!$A$2:$CP$214"}</definedName>
    <definedName name="test" localSheetId="25" hidden="1">{"'előző év december'!$A$2:$CP$214"}</definedName>
    <definedName name="test" localSheetId="27" hidden="1">{"'előző év december'!$A$2:$CP$214"}</definedName>
    <definedName name="test" localSheetId="30" hidden="1">{"'előző év december'!$A$2:$CP$214"}</definedName>
    <definedName name="test" localSheetId="33" hidden="1">{"'előző év december'!$A$2:$CP$214"}</definedName>
    <definedName name="test" localSheetId="34" hidden="1">{"'előző év december'!$A$2:$CP$214"}</definedName>
    <definedName name="test" localSheetId="35" hidden="1">{"'előző év december'!$A$2:$CP$214"}</definedName>
    <definedName name="test" localSheetId="36" hidden="1">{"'előző év december'!$A$2:$CP$214"}</definedName>
    <definedName name="test" localSheetId="37" hidden="1">{"'előző év december'!$A$2:$CP$214"}</definedName>
    <definedName name="test" localSheetId="38" hidden="1">{"'előző év december'!$A$2:$CP$214"}</definedName>
    <definedName name="test" localSheetId="39" hidden="1">{"'előző év december'!$A$2:$CP$214"}</definedName>
    <definedName name="test" localSheetId="40" hidden="1">{"'előző év december'!$A$2:$CP$214"}</definedName>
    <definedName name="test" hidden="1">{"'előző év december'!$A$2:$CP$214"}</definedName>
    <definedName name="text" localSheetId="50" hidden="1">{#N/A,#N/A,FALSE,"CB";#N/A,#N/A,FALSE,"CMB";#N/A,#N/A,FALSE,"BSYS";#N/A,#N/A,FALSE,"NBFI";#N/A,#N/A,FALSE,"FSYS"}</definedName>
    <definedName name="text" localSheetId="55" hidden="1">{#N/A,#N/A,FALSE,"CB";#N/A,#N/A,FALSE,"CMB";#N/A,#N/A,FALSE,"BSYS";#N/A,#N/A,FALSE,"NBFI";#N/A,#N/A,FALSE,"FSYS"}</definedName>
    <definedName name="text" localSheetId="56" hidden="1">{#N/A,#N/A,FALSE,"CB";#N/A,#N/A,FALSE,"CMB";#N/A,#N/A,FALSE,"BSYS";#N/A,#N/A,FALSE,"NBFI";#N/A,#N/A,FALSE,"FSYS"}</definedName>
    <definedName name="text" localSheetId="57" hidden="1">{#N/A,#N/A,FALSE,"CB";#N/A,#N/A,FALSE,"CMB";#N/A,#N/A,FALSE,"BSYS";#N/A,#N/A,FALSE,"NBFI";#N/A,#N/A,FALSE,"FSYS"}</definedName>
    <definedName name="text" localSheetId="58" hidden="1">{#N/A,#N/A,FALSE,"CB";#N/A,#N/A,FALSE,"CMB";#N/A,#N/A,FALSE,"BSYS";#N/A,#N/A,FALSE,"NBFI";#N/A,#N/A,FALSE,"FSYS"}</definedName>
    <definedName name="text" localSheetId="59" hidden="1">{#N/A,#N/A,FALSE,"CB";#N/A,#N/A,FALSE,"CMB";#N/A,#N/A,FALSE,"BSYS";#N/A,#N/A,FALSE,"NBFI";#N/A,#N/A,FALSE,"FSYS"}</definedName>
    <definedName name="text" localSheetId="62" hidden="1">{#N/A,#N/A,FALSE,"CB";#N/A,#N/A,FALSE,"CMB";#N/A,#N/A,FALSE,"BSYS";#N/A,#N/A,FALSE,"NBFI";#N/A,#N/A,FALSE,"FSYS"}</definedName>
    <definedName name="text" localSheetId="70" hidden="1">{#N/A,#N/A,FALSE,"CB";#N/A,#N/A,FALSE,"CMB";#N/A,#N/A,FALSE,"BSYS";#N/A,#N/A,FALSE,"NBFI";#N/A,#N/A,FALSE,"FSYS"}</definedName>
    <definedName name="text" localSheetId="71" hidden="1">{#N/A,#N/A,FALSE,"CB";#N/A,#N/A,FALSE,"CMB";#N/A,#N/A,FALSE,"BSYS";#N/A,#N/A,FALSE,"NBFI";#N/A,#N/A,FALSE,"FSYS"}</definedName>
    <definedName name="text" localSheetId="72" hidden="1">{#N/A,#N/A,FALSE,"CB";#N/A,#N/A,FALSE,"CMB";#N/A,#N/A,FALSE,"BSYS";#N/A,#N/A,FALSE,"NBFI";#N/A,#N/A,FALSE,"FSYS"}</definedName>
    <definedName name="text" localSheetId="73" hidden="1">{#N/A,#N/A,FALSE,"CB";#N/A,#N/A,FALSE,"CMB";#N/A,#N/A,FALSE,"BSYS";#N/A,#N/A,FALSE,"NBFI";#N/A,#N/A,FALSE,"FSYS"}</definedName>
    <definedName name="text" localSheetId="74" hidden="1">{#N/A,#N/A,FALSE,"CB";#N/A,#N/A,FALSE,"CMB";#N/A,#N/A,FALSE,"BSYS";#N/A,#N/A,FALSE,"NBFI";#N/A,#N/A,FALSE,"FSYS"}</definedName>
    <definedName name="text" localSheetId="75" hidden="1">{#N/A,#N/A,FALSE,"CB";#N/A,#N/A,FALSE,"CMB";#N/A,#N/A,FALSE,"BSYS";#N/A,#N/A,FALSE,"NBFI";#N/A,#N/A,FALSE,"FSYS"}</definedName>
    <definedName name="text" localSheetId="76" hidden="1">{#N/A,#N/A,FALSE,"CB";#N/A,#N/A,FALSE,"CMB";#N/A,#N/A,FALSE,"BSYS";#N/A,#N/A,FALSE,"NBFI";#N/A,#N/A,FALSE,"FSYS"}</definedName>
    <definedName name="text" localSheetId="79" hidden="1">{#N/A,#N/A,FALSE,"CB";#N/A,#N/A,FALSE,"CMB";#N/A,#N/A,FALSE,"BSYS";#N/A,#N/A,FALSE,"NBFI";#N/A,#N/A,FALSE,"FSYS"}</definedName>
    <definedName name="text" localSheetId="80" hidden="1">{#N/A,#N/A,FALSE,"CB";#N/A,#N/A,FALSE,"CMB";#N/A,#N/A,FALSE,"BSYS";#N/A,#N/A,FALSE,"NBFI";#N/A,#N/A,FALSE,"FSYS"}</definedName>
    <definedName name="text" localSheetId="81" hidden="1">{#N/A,#N/A,FALSE,"CB";#N/A,#N/A,FALSE,"CMB";#N/A,#N/A,FALSE,"BSYS";#N/A,#N/A,FALSE,"NBFI";#N/A,#N/A,FALSE,"FSYS"}</definedName>
    <definedName name="text" localSheetId="83" hidden="1">{#N/A,#N/A,FALSE,"CB";#N/A,#N/A,FALSE,"CMB";#N/A,#N/A,FALSE,"BSYS";#N/A,#N/A,FALSE,"NBFI";#N/A,#N/A,FALSE,"FSYS"}</definedName>
    <definedName name="text" localSheetId="97" hidden="1">{#N/A,#N/A,FALSE,"CB";#N/A,#N/A,FALSE,"CMB";#N/A,#N/A,FALSE,"BSYS";#N/A,#N/A,FALSE,"NBFI";#N/A,#N/A,FALSE,"FSYS"}</definedName>
    <definedName name="text" localSheetId="98" hidden="1">{#N/A,#N/A,FALSE,"CB";#N/A,#N/A,FALSE,"CMB";#N/A,#N/A,FALSE,"BSYS";#N/A,#N/A,FALSE,"NBFI";#N/A,#N/A,FALSE,"FSYS"}</definedName>
    <definedName name="text" localSheetId="99" hidden="1">{#N/A,#N/A,FALSE,"CB";#N/A,#N/A,FALSE,"CMB";#N/A,#N/A,FALSE,"BSYS";#N/A,#N/A,FALSE,"NBFI";#N/A,#N/A,FALSE,"FSYS"}</definedName>
    <definedName name="text" localSheetId="100" hidden="1">{#N/A,#N/A,FALSE,"CB";#N/A,#N/A,FALSE,"CMB";#N/A,#N/A,FALSE,"BSYS";#N/A,#N/A,FALSE,"NBFI";#N/A,#N/A,FALSE,"FSYS"}</definedName>
    <definedName name="text" localSheetId="101" hidden="1">{#N/A,#N/A,FALSE,"CB";#N/A,#N/A,FALSE,"CMB";#N/A,#N/A,FALSE,"BSYS";#N/A,#N/A,FALSE,"NBFI";#N/A,#N/A,FALSE,"FSYS"}</definedName>
    <definedName name="text" localSheetId="108" hidden="1">{#N/A,#N/A,FALSE,"CB";#N/A,#N/A,FALSE,"CMB";#N/A,#N/A,FALSE,"BSYS";#N/A,#N/A,FALSE,"NBFI";#N/A,#N/A,FALSE,"FSYS"}</definedName>
    <definedName name="text" localSheetId="115" hidden="1">{#N/A,#N/A,FALSE,"CB";#N/A,#N/A,FALSE,"CMB";#N/A,#N/A,FALSE,"BSYS";#N/A,#N/A,FALSE,"NBFI";#N/A,#N/A,FALSE,"FSYS"}</definedName>
    <definedName name="text" localSheetId="5" hidden="1">{#N/A,#N/A,FALSE,"CB";#N/A,#N/A,FALSE,"CMB";#N/A,#N/A,FALSE,"BSYS";#N/A,#N/A,FALSE,"NBFI";#N/A,#N/A,FALSE,"FSYS"}</definedName>
    <definedName name="text" localSheetId="7" hidden="1">{#N/A,#N/A,FALSE,"CB";#N/A,#N/A,FALSE,"CMB";#N/A,#N/A,FALSE,"BSYS";#N/A,#N/A,FALSE,"NBFI";#N/A,#N/A,FALSE,"FSYS"}</definedName>
    <definedName name="text" localSheetId="8" hidden="1">{#N/A,#N/A,FALSE,"CB";#N/A,#N/A,FALSE,"CMB";#N/A,#N/A,FALSE,"BSYS";#N/A,#N/A,FALSE,"NBFI";#N/A,#N/A,FALSE,"FSYS"}</definedName>
    <definedName name="text" localSheetId="9" hidden="1">{#N/A,#N/A,FALSE,"CB";#N/A,#N/A,FALSE,"CMB";#N/A,#N/A,FALSE,"BSYS";#N/A,#N/A,FALSE,"NBFI";#N/A,#N/A,FALSE,"FSYS"}</definedName>
    <definedName name="text" localSheetId="10" hidden="1">{#N/A,#N/A,FALSE,"CB";#N/A,#N/A,FALSE,"CMB";#N/A,#N/A,FALSE,"BSYS";#N/A,#N/A,FALSE,"NBFI";#N/A,#N/A,FALSE,"FSYS"}</definedName>
    <definedName name="text" localSheetId="14" hidden="1">{#N/A,#N/A,FALSE,"CB";#N/A,#N/A,FALSE,"CMB";#N/A,#N/A,FALSE,"BSYS";#N/A,#N/A,FALSE,"NBFI";#N/A,#N/A,FALSE,"FSYS"}</definedName>
    <definedName name="text" localSheetId="19" hidden="1">{#N/A,#N/A,FALSE,"CB";#N/A,#N/A,FALSE,"CMB";#N/A,#N/A,FALSE,"BSYS";#N/A,#N/A,FALSE,"NBFI";#N/A,#N/A,FALSE,"FSYS"}</definedName>
    <definedName name="text" localSheetId="21" hidden="1">{#N/A,#N/A,FALSE,"CB";#N/A,#N/A,FALSE,"CMB";#N/A,#N/A,FALSE,"BSYS";#N/A,#N/A,FALSE,"NBFI";#N/A,#N/A,FALSE,"FSYS"}</definedName>
    <definedName name="text" localSheetId="23" hidden="1">{#N/A,#N/A,FALSE,"CB";#N/A,#N/A,FALSE,"CMB";#N/A,#N/A,FALSE,"BSYS";#N/A,#N/A,FALSE,"NBFI";#N/A,#N/A,FALSE,"FSYS"}</definedName>
    <definedName name="text" localSheetId="24" hidden="1">{#N/A,#N/A,FALSE,"CB";#N/A,#N/A,FALSE,"CMB";#N/A,#N/A,FALSE,"BSYS";#N/A,#N/A,FALSE,"NBFI";#N/A,#N/A,FALSE,"FSYS"}</definedName>
    <definedName name="text" localSheetId="25" hidden="1">{#N/A,#N/A,FALSE,"CB";#N/A,#N/A,FALSE,"CMB";#N/A,#N/A,FALSE,"BSYS";#N/A,#N/A,FALSE,"NBFI";#N/A,#N/A,FALSE,"FSYS"}</definedName>
    <definedName name="text" localSheetId="27" hidden="1">{#N/A,#N/A,FALSE,"CB";#N/A,#N/A,FALSE,"CMB";#N/A,#N/A,FALSE,"BSYS";#N/A,#N/A,FALSE,"NBFI";#N/A,#N/A,FALSE,"FSYS"}</definedName>
    <definedName name="text" localSheetId="30" hidden="1">{#N/A,#N/A,FALSE,"CB";#N/A,#N/A,FALSE,"CMB";#N/A,#N/A,FALSE,"BSYS";#N/A,#N/A,FALSE,"NBFI";#N/A,#N/A,FALSE,"FSYS"}</definedName>
    <definedName name="text" localSheetId="33" hidden="1">{#N/A,#N/A,FALSE,"CB";#N/A,#N/A,FALSE,"CMB";#N/A,#N/A,FALSE,"BSYS";#N/A,#N/A,FALSE,"NBFI";#N/A,#N/A,FALSE,"FSYS"}</definedName>
    <definedName name="text" localSheetId="34" hidden="1">{#N/A,#N/A,FALSE,"CB";#N/A,#N/A,FALSE,"CMB";#N/A,#N/A,FALSE,"BSYS";#N/A,#N/A,FALSE,"NBFI";#N/A,#N/A,FALSE,"FSYS"}</definedName>
    <definedName name="text" localSheetId="35" hidden="1">{#N/A,#N/A,FALSE,"CB";#N/A,#N/A,FALSE,"CMB";#N/A,#N/A,FALSE,"BSYS";#N/A,#N/A,FALSE,"NBFI";#N/A,#N/A,FALSE,"FSYS"}</definedName>
    <definedName name="text" localSheetId="36" hidden="1">{#N/A,#N/A,FALSE,"CB";#N/A,#N/A,FALSE,"CMB";#N/A,#N/A,FALSE,"BSYS";#N/A,#N/A,FALSE,"NBFI";#N/A,#N/A,FALSE,"FSYS"}</definedName>
    <definedName name="text" localSheetId="37" hidden="1">{#N/A,#N/A,FALSE,"CB";#N/A,#N/A,FALSE,"CMB";#N/A,#N/A,FALSE,"BSYS";#N/A,#N/A,FALSE,"NBFI";#N/A,#N/A,FALSE,"FSYS"}</definedName>
    <definedName name="text" localSheetId="38" hidden="1">{#N/A,#N/A,FALSE,"CB";#N/A,#N/A,FALSE,"CMB";#N/A,#N/A,FALSE,"BSYS";#N/A,#N/A,FALSE,"NBFI";#N/A,#N/A,FALSE,"FSYS"}</definedName>
    <definedName name="text" localSheetId="39" hidden="1">{#N/A,#N/A,FALSE,"CB";#N/A,#N/A,FALSE,"CMB";#N/A,#N/A,FALSE,"BSYS";#N/A,#N/A,FALSE,"NBFI";#N/A,#N/A,FALSE,"FSYS"}</definedName>
    <definedName name="text" localSheetId="40" hidden="1">{#N/A,#N/A,FALSE,"CB";#N/A,#N/A,FALSE,"CMB";#N/A,#N/A,FALSE,"BSYS";#N/A,#N/A,FALSE,"NBFI";#N/A,#N/A,FALSE,"FSYS"}</definedName>
    <definedName name="text" hidden="1">{#N/A,#N/A,FALSE,"CB";#N/A,#N/A,FALSE,"CMB";#N/A,#N/A,FALSE,"BSYS";#N/A,#N/A,FALSE,"NBFI";#N/A,#N/A,FALSE,"FSYS"}</definedName>
    <definedName name="tgz" localSheetId="50" hidden="1">{"'előző év december'!$A$2:$CP$214"}</definedName>
    <definedName name="tgz" localSheetId="56" hidden="1">{"'előző év december'!$A$2:$CP$214"}</definedName>
    <definedName name="tgz" localSheetId="57" hidden="1">{"'előző év december'!$A$2:$CP$214"}</definedName>
    <definedName name="tgz" localSheetId="58" hidden="1">{"'előző év december'!$A$2:$CP$214"}</definedName>
    <definedName name="tgz" localSheetId="59" hidden="1">{"'előző év december'!$A$2:$CP$214"}</definedName>
    <definedName name="tgz" localSheetId="62" hidden="1">{"'előző év december'!$A$2:$CP$214"}</definedName>
    <definedName name="tgz" localSheetId="70" hidden="1">{"'előző év december'!$A$2:$CP$214"}</definedName>
    <definedName name="tgz" localSheetId="71" hidden="1">{"'előző év december'!$A$2:$CP$214"}</definedName>
    <definedName name="tgz" localSheetId="72" hidden="1">{"'előző év december'!$A$2:$CP$214"}</definedName>
    <definedName name="tgz" localSheetId="73" hidden="1">{"'előző év december'!$A$2:$CP$214"}</definedName>
    <definedName name="tgz" localSheetId="74" hidden="1">{"'előző év december'!$A$2:$CP$214"}</definedName>
    <definedName name="tgz" localSheetId="79" hidden="1">{"'előző év december'!$A$2:$CP$214"}</definedName>
    <definedName name="tgz" localSheetId="80" hidden="1">{"'előző év december'!$A$2:$CP$214"}</definedName>
    <definedName name="tgz" localSheetId="81" hidden="1">{"'előző év december'!$A$2:$CP$214"}</definedName>
    <definedName name="tgz" localSheetId="97" hidden="1">{"'előző év december'!$A$2:$CP$214"}</definedName>
    <definedName name="tgz" localSheetId="98" hidden="1">{"'előző év december'!$A$2:$CP$214"}</definedName>
    <definedName name="tgz" localSheetId="99" hidden="1">{"'előző év december'!$A$2:$CP$214"}</definedName>
    <definedName name="tgz" localSheetId="100" hidden="1">{"'előző év december'!$A$2:$CP$214"}</definedName>
    <definedName name="tgz" localSheetId="101" hidden="1">{"'előző év december'!$A$2:$CP$214"}</definedName>
    <definedName name="tgz" localSheetId="108" hidden="1">{"'előző év december'!$A$2:$CP$214"}</definedName>
    <definedName name="tgz" localSheetId="115" hidden="1">{"'előző év december'!$A$2:$CP$214"}</definedName>
    <definedName name="tgz" localSheetId="5" hidden="1">{"'előző év december'!$A$2:$CP$214"}</definedName>
    <definedName name="tgz" localSheetId="7" hidden="1">{"'előző év december'!$A$2:$CP$214"}</definedName>
    <definedName name="tgz" localSheetId="8" hidden="1">{"'előző év december'!$A$2:$CP$214"}</definedName>
    <definedName name="tgz" localSheetId="9" hidden="1">{"'előző év december'!$A$2:$CP$214"}</definedName>
    <definedName name="tgz" localSheetId="10" hidden="1">{"'előző év december'!$A$2:$CP$214"}</definedName>
    <definedName name="tgz" localSheetId="14" hidden="1">{"'előző év december'!$A$2:$CP$214"}</definedName>
    <definedName name="tgz" localSheetId="18" hidden="1">{"'előző év december'!$A$2:$CP$214"}</definedName>
    <definedName name="tgz" localSheetId="19" hidden="1">{"'előző év december'!$A$2:$CP$214"}</definedName>
    <definedName name="tgz" localSheetId="21" hidden="1">{"'előző év december'!$A$2:$CP$214"}</definedName>
    <definedName name="tgz" localSheetId="23" hidden="1">{"'előző év december'!$A$2:$CP$214"}</definedName>
    <definedName name="tgz" localSheetId="24" hidden="1">{"'előző év december'!$A$2:$CP$214"}</definedName>
    <definedName name="tgz" localSheetId="25" hidden="1">{"'előző év december'!$A$2:$CP$214"}</definedName>
    <definedName name="tgz" localSheetId="27" hidden="1">{"'előző év december'!$A$2:$CP$214"}</definedName>
    <definedName name="tgz" localSheetId="30" hidden="1">{"'előző év december'!$A$2:$CP$214"}</definedName>
    <definedName name="tgz" localSheetId="33" hidden="1">{"'előző év december'!$A$2:$CP$214"}</definedName>
    <definedName name="tgz" localSheetId="34" hidden="1">{"'előző év december'!$A$2:$CP$214"}</definedName>
    <definedName name="tgz" localSheetId="35" hidden="1">{"'előző év december'!$A$2:$CP$214"}</definedName>
    <definedName name="tgz" localSheetId="36" hidden="1">{"'előző év december'!$A$2:$CP$214"}</definedName>
    <definedName name="tgz" localSheetId="37" hidden="1">{"'előző év december'!$A$2:$CP$214"}</definedName>
    <definedName name="tgz" localSheetId="38" hidden="1">{"'előző év december'!$A$2:$CP$214"}</definedName>
    <definedName name="tgz" localSheetId="39" hidden="1">{"'előző év december'!$A$2:$CP$214"}</definedName>
    <definedName name="tgz" localSheetId="40" hidden="1">{"'előző év december'!$A$2:$CP$214"}</definedName>
    <definedName name="tgz" hidden="1">{"'előző év december'!$A$2:$CP$214"}</definedName>
    <definedName name="tre" localSheetId="50" hidden="1">{"'előző év december'!$A$2:$CP$214"}</definedName>
    <definedName name="tre" localSheetId="56" hidden="1">{"'előző év december'!$A$2:$CP$214"}</definedName>
    <definedName name="tre" localSheetId="57" hidden="1">{"'előző év december'!$A$2:$CP$214"}</definedName>
    <definedName name="tre" localSheetId="58" hidden="1">{"'előző év december'!$A$2:$CP$214"}</definedName>
    <definedName name="tre" localSheetId="59" hidden="1">{"'előző év december'!$A$2:$CP$214"}</definedName>
    <definedName name="tre" localSheetId="62" hidden="1">{"'előző év december'!$A$2:$CP$214"}</definedName>
    <definedName name="tre" localSheetId="70" hidden="1">{"'előző év december'!$A$2:$CP$214"}</definedName>
    <definedName name="tre" localSheetId="71" hidden="1">{"'előző év december'!$A$2:$CP$214"}</definedName>
    <definedName name="tre" localSheetId="72" hidden="1">{"'előző év december'!$A$2:$CP$214"}</definedName>
    <definedName name="tre" localSheetId="73" hidden="1">{"'előző év december'!$A$2:$CP$214"}</definedName>
    <definedName name="tre" localSheetId="74" hidden="1">{"'előző év december'!$A$2:$CP$214"}</definedName>
    <definedName name="tre" localSheetId="79" hidden="1">{"'előző év december'!$A$2:$CP$214"}</definedName>
    <definedName name="tre" localSheetId="80" hidden="1">{"'előző év december'!$A$2:$CP$214"}</definedName>
    <definedName name="tre" localSheetId="81" hidden="1">{"'előző év december'!$A$2:$CP$214"}</definedName>
    <definedName name="tre" localSheetId="97" hidden="1">{"'előző év december'!$A$2:$CP$214"}</definedName>
    <definedName name="tre" localSheetId="98" hidden="1">{"'előző év december'!$A$2:$CP$214"}</definedName>
    <definedName name="tre" localSheetId="99" hidden="1">{"'előző év december'!$A$2:$CP$214"}</definedName>
    <definedName name="tre" localSheetId="100" hidden="1">{"'előző év december'!$A$2:$CP$214"}</definedName>
    <definedName name="tre" localSheetId="101" hidden="1">{"'előző év december'!$A$2:$CP$214"}</definedName>
    <definedName name="tre" localSheetId="108" hidden="1">{"'előző év december'!$A$2:$CP$214"}</definedName>
    <definedName name="tre" localSheetId="115" hidden="1">{"'előző év december'!$A$2:$CP$214"}</definedName>
    <definedName name="tre" localSheetId="5" hidden="1">{"'előző év december'!$A$2:$CP$214"}</definedName>
    <definedName name="tre" localSheetId="7" hidden="1">{"'előző év december'!$A$2:$CP$214"}</definedName>
    <definedName name="tre" localSheetId="8" hidden="1">{"'előző év december'!$A$2:$CP$214"}</definedName>
    <definedName name="tre" localSheetId="9" hidden="1">{"'előző év december'!$A$2:$CP$214"}</definedName>
    <definedName name="tre" localSheetId="10" hidden="1">{"'előző év december'!$A$2:$CP$214"}</definedName>
    <definedName name="tre" localSheetId="14" hidden="1">{"'előző év december'!$A$2:$CP$214"}</definedName>
    <definedName name="tre" localSheetId="18" hidden="1">{"'előző év december'!$A$2:$CP$214"}</definedName>
    <definedName name="tre" localSheetId="19" hidden="1">{"'előző év december'!$A$2:$CP$214"}</definedName>
    <definedName name="tre" localSheetId="21" hidden="1">{"'előző év december'!$A$2:$CP$214"}</definedName>
    <definedName name="tre" localSheetId="23" hidden="1">{"'előző év december'!$A$2:$CP$214"}</definedName>
    <definedName name="tre" localSheetId="24" hidden="1">{"'előző év december'!$A$2:$CP$214"}</definedName>
    <definedName name="tre" localSheetId="25" hidden="1">{"'előző év december'!$A$2:$CP$214"}</definedName>
    <definedName name="tre" localSheetId="27" hidden="1">{"'előző év december'!$A$2:$CP$214"}</definedName>
    <definedName name="tre" localSheetId="30" hidden="1">{"'előző év december'!$A$2:$CP$214"}</definedName>
    <definedName name="tre" localSheetId="33" hidden="1">{"'előző év december'!$A$2:$CP$214"}</definedName>
    <definedName name="tre" localSheetId="34" hidden="1">{"'előző év december'!$A$2:$CP$214"}</definedName>
    <definedName name="tre" localSheetId="35" hidden="1">{"'előző év december'!$A$2:$CP$214"}</definedName>
    <definedName name="tre" localSheetId="36" hidden="1">{"'előző év december'!$A$2:$CP$214"}</definedName>
    <definedName name="tre" localSheetId="37" hidden="1">{"'előző év december'!$A$2:$CP$214"}</definedName>
    <definedName name="tre" localSheetId="38" hidden="1">{"'előző év december'!$A$2:$CP$214"}</definedName>
    <definedName name="tre" localSheetId="39" hidden="1">{"'előző év december'!$A$2:$CP$214"}</definedName>
    <definedName name="tre" localSheetId="40" hidden="1">{"'előző év december'!$A$2:$CP$214"}</definedName>
    <definedName name="tre" hidden="1">{"'előző év december'!$A$2:$CP$214"}</definedName>
    <definedName name="tt" localSheetId="50" hidden="1">{"Tab1",#N/A,FALSE,"P";"Tab2",#N/A,FALSE,"P"}</definedName>
    <definedName name="tt" localSheetId="55" hidden="1">{"Tab1",#N/A,FALSE,"P";"Tab2",#N/A,FALSE,"P"}</definedName>
    <definedName name="tt" localSheetId="56" hidden="1">{"Tab1",#N/A,FALSE,"P";"Tab2",#N/A,FALSE,"P"}</definedName>
    <definedName name="tt" localSheetId="57" hidden="1">{"Tab1",#N/A,FALSE,"P";"Tab2",#N/A,FALSE,"P"}</definedName>
    <definedName name="tt" localSheetId="58" hidden="1">{"Tab1",#N/A,FALSE,"P";"Tab2",#N/A,FALSE,"P"}</definedName>
    <definedName name="tt" localSheetId="59" hidden="1">{"Tab1",#N/A,FALSE,"P";"Tab2",#N/A,FALSE,"P"}</definedName>
    <definedName name="tt" localSheetId="62" hidden="1">{"Tab1",#N/A,FALSE,"P";"Tab2",#N/A,FALSE,"P"}</definedName>
    <definedName name="tt" localSheetId="70" hidden="1">{"Tab1",#N/A,FALSE,"P";"Tab2",#N/A,FALSE,"P"}</definedName>
    <definedName name="tt" localSheetId="71" hidden="1">{"Tab1",#N/A,FALSE,"P";"Tab2",#N/A,FALSE,"P"}</definedName>
    <definedName name="tt" localSheetId="72" hidden="1">{"Tab1",#N/A,FALSE,"P";"Tab2",#N/A,FALSE,"P"}</definedName>
    <definedName name="tt" localSheetId="73" hidden="1">{"Tab1",#N/A,FALSE,"P";"Tab2",#N/A,FALSE,"P"}</definedName>
    <definedName name="tt" localSheetId="74" hidden="1">{"Tab1",#N/A,FALSE,"P";"Tab2",#N/A,FALSE,"P"}</definedName>
    <definedName name="tt" localSheetId="75" hidden="1">{"Tab1",#N/A,FALSE,"P";"Tab2",#N/A,FALSE,"P"}</definedName>
    <definedName name="tt" localSheetId="76" hidden="1">{"Tab1",#N/A,FALSE,"P";"Tab2",#N/A,FALSE,"P"}</definedName>
    <definedName name="tt" localSheetId="79" hidden="1">{"Tab1",#N/A,FALSE,"P";"Tab2",#N/A,FALSE,"P"}</definedName>
    <definedName name="tt" localSheetId="80" hidden="1">{"Tab1",#N/A,FALSE,"P";"Tab2",#N/A,FALSE,"P"}</definedName>
    <definedName name="tt" localSheetId="81" hidden="1">{"Tab1",#N/A,FALSE,"P";"Tab2",#N/A,FALSE,"P"}</definedName>
    <definedName name="tt" localSheetId="83" hidden="1">{"Tab1",#N/A,FALSE,"P";"Tab2",#N/A,FALSE,"P"}</definedName>
    <definedName name="tt" localSheetId="97" hidden="1">{"Tab1",#N/A,FALSE,"P";"Tab2",#N/A,FALSE,"P"}</definedName>
    <definedName name="tt" localSheetId="98" hidden="1">{"Tab1",#N/A,FALSE,"P";"Tab2",#N/A,FALSE,"P"}</definedName>
    <definedName name="tt" localSheetId="99" hidden="1">{"Tab1",#N/A,FALSE,"P";"Tab2",#N/A,FALSE,"P"}</definedName>
    <definedName name="tt" localSheetId="100" hidden="1">{"Tab1",#N/A,FALSE,"P";"Tab2",#N/A,FALSE,"P"}</definedName>
    <definedName name="tt" localSheetId="101" hidden="1">{"Tab1",#N/A,FALSE,"P";"Tab2",#N/A,FALSE,"P"}</definedName>
    <definedName name="tt" localSheetId="108" hidden="1">{"Tab1",#N/A,FALSE,"P";"Tab2",#N/A,FALSE,"P"}</definedName>
    <definedName name="tt" localSheetId="115" hidden="1">{"Tab1",#N/A,FALSE,"P";"Tab2",#N/A,FALSE,"P"}</definedName>
    <definedName name="tt" localSheetId="5" hidden="1">{"Tab1",#N/A,FALSE,"P";"Tab2",#N/A,FALSE,"P"}</definedName>
    <definedName name="tt" localSheetId="7" hidden="1">{"Tab1",#N/A,FALSE,"P";"Tab2",#N/A,FALSE,"P"}</definedName>
    <definedName name="tt" localSheetId="8" hidden="1">{"Tab1",#N/A,FALSE,"P";"Tab2",#N/A,FALSE,"P"}</definedName>
    <definedName name="tt" localSheetId="9" hidden="1">{"Tab1",#N/A,FALSE,"P";"Tab2",#N/A,FALSE,"P"}</definedName>
    <definedName name="tt" localSheetId="10" hidden="1">{"Tab1",#N/A,FALSE,"P";"Tab2",#N/A,FALSE,"P"}</definedName>
    <definedName name="tt" localSheetId="14" hidden="1">{"Tab1",#N/A,FALSE,"P";"Tab2",#N/A,FALSE,"P"}</definedName>
    <definedName name="tt" localSheetId="19" hidden="1">{"Tab1",#N/A,FALSE,"P";"Tab2",#N/A,FALSE,"P"}</definedName>
    <definedName name="tt" localSheetId="21" hidden="1">{"Tab1",#N/A,FALSE,"P";"Tab2",#N/A,FALSE,"P"}</definedName>
    <definedName name="tt" localSheetId="23" hidden="1">{"Tab1",#N/A,FALSE,"P";"Tab2",#N/A,FALSE,"P"}</definedName>
    <definedName name="tt" localSheetId="24" hidden="1">{"Tab1",#N/A,FALSE,"P";"Tab2",#N/A,FALSE,"P"}</definedName>
    <definedName name="tt" localSheetId="25" hidden="1">{"Tab1",#N/A,FALSE,"P";"Tab2",#N/A,FALSE,"P"}</definedName>
    <definedName name="tt" localSheetId="27" hidden="1">{"Tab1",#N/A,FALSE,"P";"Tab2",#N/A,FALSE,"P"}</definedName>
    <definedName name="tt" localSheetId="30" hidden="1">{"Tab1",#N/A,FALSE,"P";"Tab2",#N/A,FALSE,"P"}</definedName>
    <definedName name="tt" localSheetId="33" hidden="1">{"Tab1",#N/A,FALSE,"P";"Tab2",#N/A,FALSE,"P"}</definedName>
    <definedName name="tt" localSheetId="34" hidden="1">{"Tab1",#N/A,FALSE,"P";"Tab2",#N/A,FALSE,"P"}</definedName>
    <definedName name="tt" localSheetId="35" hidden="1">{"Tab1",#N/A,FALSE,"P";"Tab2",#N/A,FALSE,"P"}</definedName>
    <definedName name="tt" localSheetId="36" hidden="1">{"Tab1",#N/A,FALSE,"P";"Tab2",#N/A,FALSE,"P"}</definedName>
    <definedName name="tt" localSheetId="37" hidden="1">{"Tab1",#N/A,FALSE,"P";"Tab2",#N/A,FALSE,"P"}</definedName>
    <definedName name="tt" localSheetId="38" hidden="1">{"Tab1",#N/A,FALSE,"P";"Tab2",#N/A,FALSE,"P"}</definedName>
    <definedName name="tt" localSheetId="39" hidden="1">{"Tab1",#N/A,FALSE,"P";"Tab2",#N/A,FALSE,"P"}</definedName>
    <definedName name="tt" localSheetId="40" hidden="1">{"Tab1",#N/A,FALSE,"P";"Tab2",#N/A,FALSE,"P"}</definedName>
    <definedName name="tt" localSheetId="44" hidden="1">{"Tab1",#N/A,FALSE,"P";"Tab2",#N/A,FALSE,"P"}</definedName>
    <definedName name="tt" hidden="1">{"Tab1",#N/A,FALSE,"P";"Tab2",#N/A,FALSE,"P"}</definedName>
    <definedName name="ttt" localSheetId="50" hidden="1">{"Tab1",#N/A,FALSE,"P";"Tab2",#N/A,FALSE,"P"}</definedName>
    <definedName name="ttt" localSheetId="55" hidden="1">{"Tab1",#N/A,FALSE,"P";"Tab2",#N/A,FALSE,"P"}</definedName>
    <definedName name="ttt" localSheetId="56" hidden="1">{"Tab1",#N/A,FALSE,"P";"Tab2",#N/A,FALSE,"P"}</definedName>
    <definedName name="ttt" localSheetId="57" hidden="1">{"Tab1",#N/A,FALSE,"P";"Tab2",#N/A,FALSE,"P"}</definedName>
    <definedName name="ttt" localSheetId="58" hidden="1">{"Tab1",#N/A,FALSE,"P";"Tab2",#N/A,FALSE,"P"}</definedName>
    <definedName name="ttt" localSheetId="59" hidden="1">{"Tab1",#N/A,FALSE,"P";"Tab2",#N/A,FALSE,"P"}</definedName>
    <definedName name="ttt" localSheetId="62" hidden="1">{"Tab1",#N/A,FALSE,"P";"Tab2",#N/A,FALSE,"P"}</definedName>
    <definedName name="ttt" localSheetId="70" hidden="1">{"Tab1",#N/A,FALSE,"P";"Tab2",#N/A,FALSE,"P"}</definedName>
    <definedName name="ttt" localSheetId="71" hidden="1">{"Tab1",#N/A,FALSE,"P";"Tab2",#N/A,FALSE,"P"}</definedName>
    <definedName name="ttt" localSheetId="72" hidden="1">{"Tab1",#N/A,FALSE,"P";"Tab2",#N/A,FALSE,"P"}</definedName>
    <definedName name="ttt" localSheetId="73" hidden="1">{"Tab1",#N/A,FALSE,"P";"Tab2",#N/A,FALSE,"P"}</definedName>
    <definedName name="ttt" localSheetId="74" hidden="1">{"Tab1",#N/A,FALSE,"P";"Tab2",#N/A,FALSE,"P"}</definedName>
    <definedName name="ttt" localSheetId="75" hidden="1">{"Tab1",#N/A,FALSE,"P";"Tab2",#N/A,FALSE,"P"}</definedName>
    <definedName name="ttt" localSheetId="76" hidden="1">{"Tab1",#N/A,FALSE,"P";"Tab2",#N/A,FALSE,"P"}</definedName>
    <definedName name="ttt" localSheetId="79" hidden="1">{"Tab1",#N/A,FALSE,"P";"Tab2",#N/A,FALSE,"P"}</definedName>
    <definedName name="ttt" localSheetId="80" hidden="1">{"Tab1",#N/A,FALSE,"P";"Tab2",#N/A,FALSE,"P"}</definedName>
    <definedName name="ttt" localSheetId="81" hidden="1">{"Tab1",#N/A,FALSE,"P";"Tab2",#N/A,FALSE,"P"}</definedName>
    <definedName name="ttt" localSheetId="83" hidden="1">{"Tab1",#N/A,FALSE,"P";"Tab2",#N/A,FALSE,"P"}</definedName>
    <definedName name="ttt" localSheetId="97" hidden="1">{"Tab1",#N/A,FALSE,"P";"Tab2",#N/A,FALSE,"P"}</definedName>
    <definedName name="ttt" localSheetId="98" hidden="1">{"Tab1",#N/A,FALSE,"P";"Tab2",#N/A,FALSE,"P"}</definedName>
    <definedName name="ttt" localSheetId="99" hidden="1">{"Tab1",#N/A,FALSE,"P";"Tab2",#N/A,FALSE,"P"}</definedName>
    <definedName name="ttt" localSheetId="100" hidden="1">{"Tab1",#N/A,FALSE,"P";"Tab2",#N/A,FALSE,"P"}</definedName>
    <definedName name="ttt" localSheetId="101" hidden="1">{"Tab1",#N/A,FALSE,"P";"Tab2",#N/A,FALSE,"P"}</definedName>
    <definedName name="ttt" localSheetId="108" hidden="1">{"Tab1",#N/A,FALSE,"P";"Tab2",#N/A,FALSE,"P"}</definedName>
    <definedName name="ttt" localSheetId="115" hidden="1">{"Tab1",#N/A,FALSE,"P";"Tab2",#N/A,FALSE,"P"}</definedName>
    <definedName name="ttt" localSheetId="5" hidden="1">{"Tab1",#N/A,FALSE,"P";"Tab2",#N/A,FALSE,"P"}</definedName>
    <definedName name="ttt" localSheetId="7" hidden="1">{"Tab1",#N/A,FALSE,"P";"Tab2",#N/A,FALSE,"P"}</definedName>
    <definedName name="ttt" localSheetId="8" hidden="1">{"Tab1",#N/A,FALSE,"P";"Tab2",#N/A,FALSE,"P"}</definedName>
    <definedName name="ttt" localSheetId="9" hidden="1">{"Tab1",#N/A,FALSE,"P";"Tab2",#N/A,FALSE,"P"}</definedName>
    <definedName name="ttt" localSheetId="10" hidden="1">{"Tab1",#N/A,FALSE,"P";"Tab2",#N/A,FALSE,"P"}</definedName>
    <definedName name="ttt" localSheetId="14" hidden="1">{"Tab1",#N/A,FALSE,"P";"Tab2",#N/A,FALSE,"P"}</definedName>
    <definedName name="ttt" localSheetId="19" hidden="1">{"Tab1",#N/A,FALSE,"P";"Tab2",#N/A,FALSE,"P"}</definedName>
    <definedName name="ttt" localSheetId="21" hidden="1">{"Tab1",#N/A,FALSE,"P";"Tab2",#N/A,FALSE,"P"}</definedName>
    <definedName name="ttt" localSheetId="23" hidden="1">{"Tab1",#N/A,FALSE,"P";"Tab2",#N/A,FALSE,"P"}</definedName>
    <definedName name="ttt" localSheetId="24" hidden="1">{"Tab1",#N/A,FALSE,"P";"Tab2",#N/A,FALSE,"P"}</definedName>
    <definedName name="ttt" localSheetId="25" hidden="1">{"Tab1",#N/A,FALSE,"P";"Tab2",#N/A,FALSE,"P"}</definedName>
    <definedName name="ttt" localSheetId="27" hidden="1">{"Tab1",#N/A,FALSE,"P";"Tab2",#N/A,FALSE,"P"}</definedName>
    <definedName name="ttt" localSheetId="30" hidden="1">{"Tab1",#N/A,FALSE,"P";"Tab2",#N/A,FALSE,"P"}</definedName>
    <definedName name="ttt" localSheetId="33" hidden="1">{"Tab1",#N/A,FALSE,"P";"Tab2",#N/A,FALSE,"P"}</definedName>
    <definedName name="ttt" localSheetId="34" hidden="1">{"Tab1",#N/A,FALSE,"P";"Tab2",#N/A,FALSE,"P"}</definedName>
    <definedName name="ttt" localSheetId="35" hidden="1">{"Tab1",#N/A,FALSE,"P";"Tab2",#N/A,FALSE,"P"}</definedName>
    <definedName name="ttt" localSheetId="36" hidden="1">{"Tab1",#N/A,FALSE,"P";"Tab2",#N/A,FALSE,"P"}</definedName>
    <definedName name="ttt" localSheetId="37" hidden="1">{"Tab1",#N/A,FALSE,"P";"Tab2",#N/A,FALSE,"P"}</definedName>
    <definedName name="ttt" localSheetId="38" hidden="1">{"Tab1",#N/A,FALSE,"P";"Tab2",#N/A,FALSE,"P"}</definedName>
    <definedName name="ttt" localSheetId="39" hidden="1">{"Tab1",#N/A,FALSE,"P";"Tab2",#N/A,FALSE,"P"}</definedName>
    <definedName name="ttt" localSheetId="40" hidden="1">{"Tab1",#N/A,FALSE,"P";"Tab2",#N/A,FALSE,"P"}</definedName>
    <definedName name="ttt" localSheetId="44" hidden="1">{"Tab1",#N/A,FALSE,"P";"Tab2",#N/A,FALSE,"P"}</definedName>
    <definedName name="ttt" hidden="1">{"Tab1",#N/A,FALSE,"P";"Tab2",#N/A,FALSE,"P"}</definedName>
    <definedName name="ttttt" localSheetId="49" hidden="1">[35]M!#REF!</definedName>
    <definedName name="ttttt" localSheetId="50" hidden="1">[35]M!#REF!</definedName>
    <definedName name="ttttt" localSheetId="51" hidden="1">[35]M!#REF!</definedName>
    <definedName name="ttttt" localSheetId="53" hidden="1">[35]M!#REF!</definedName>
    <definedName name="ttttt" localSheetId="54" hidden="1">[35]M!#REF!</definedName>
    <definedName name="ttttt" localSheetId="55" hidden="1">[35]M!#REF!</definedName>
    <definedName name="ttttt" localSheetId="56" hidden="1">[35]M!#REF!</definedName>
    <definedName name="ttttt" localSheetId="57" hidden="1">[35]M!#REF!</definedName>
    <definedName name="ttttt" localSheetId="58" hidden="1">[35]M!#REF!</definedName>
    <definedName name="ttttt" localSheetId="59" hidden="1">[35]M!#REF!</definedName>
    <definedName name="ttttt" localSheetId="62" hidden="1">[35]M!#REF!</definedName>
    <definedName name="ttttt" localSheetId="70" hidden="1">[35]M!#REF!</definedName>
    <definedName name="ttttt" localSheetId="75" hidden="1">[35]M!#REF!</definedName>
    <definedName name="ttttt" localSheetId="76" hidden="1">[35]M!#REF!</definedName>
    <definedName name="ttttt" localSheetId="79" hidden="1">[35]M!#REF!</definedName>
    <definedName name="ttttt" localSheetId="80" hidden="1">[35]M!#REF!</definedName>
    <definedName name="ttttt" localSheetId="81" hidden="1">[35]M!#REF!</definedName>
    <definedName name="ttttt" localSheetId="83" hidden="1">[35]M!#REF!</definedName>
    <definedName name="ttttt" localSheetId="87" hidden="1">[35]M!#REF!</definedName>
    <definedName name="ttttt" localSheetId="95" hidden="1">[35]M!#REF!</definedName>
    <definedName name="ttttt" localSheetId="97" hidden="1">[35]M!#REF!</definedName>
    <definedName name="ttttt" localSheetId="98" hidden="1">[35]M!#REF!</definedName>
    <definedName name="ttttt" localSheetId="99" hidden="1">[35]M!#REF!</definedName>
    <definedName name="ttttt" localSheetId="100" hidden="1">[35]M!#REF!</definedName>
    <definedName name="ttttt" localSheetId="101" hidden="1">[35]M!#REF!</definedName>
    <definedName name="ttttt" localSheetId="108" hidden="1">[35]M!#REF!</definedName>
    <definedName name="ttttt" localSheetId="5" hidden="1">[35]M!#REF!</definedName>
    <definedName name="ttttt" localSheetId="6" hidden="1">[35]M!#REF!</definedName>
    <definedName name="ttttt" localSheetId="7" hidden="1">[35]M!#REF!</definedName>
    <definedName name="ttttt" localSheetId="8" hidden="1">[35]M!#REF!</definedName>
    <definedName name="ttttt" localSheetId="9" hidden="1">[35]M!#REF!</definedName>
    <definedName name="ttttt" localSheetId="14" hidden="1">[35]M!#REF!</definedName>
    <definedName name="ttttt" localSheetId="15" hidden="1">[35]M!#REF!</definedName>
    <definedName name="ttttt" localSheetId="16" hidden="1">[35]M!#REF!</definedName>
    <definedName name="ttttt" localSheetId="17" hidden="1">[35]M!#REF!</definedName>
    <definedName name="ttttt" localSheetId="19" hidden="1">[35]M!#REF!</definedName>
    <definedName name="ttttt" localSheetId="21" hidden="1">[35]M!#REF!</definedName>
    <definedName name="ttttt" localSheetId="23" hidden="1">[35]M!#REF!</definedName>
    <definedName name="ttttt" localSheetId="24" hidden="1">[35]M!#REF!</definedName>
    <definedName name="ttttt" localSheetId="25" hidden="1">[35]M!#REF!</definedName>
    <definedName name="ttttt" localSheetId="27" hidden="1">[35]M!#REF!</definedName>
    <definedName name="ttttt" localSheetId="30" hidden="1">[35]M!#REF!</definedName>
    <definedName name="ttttt" localSheetId="33" hidden="1">[35]M!#REF!</definedName>
    <definedName name="ttttt" localSheetId="34" hidden="1">[35]M!#REF!</definedName>
    <definedName name="ttttt" localSheetId="35" hidden="1">[35]M!#REF!</definedName>
    <definedName name="ttttt" localSheetId="36" hidden="1">[35]M!#REF!</definedName>
    <definedName name="ttttt" localSheetId="37" hidden="1">[35]M!#REF!</definedName>
    <definedName name="ttttt" localSheetId="38" hidden="1">[35]M!#REF!</definedName>
    <definedName name="ttttt" localSheetId="39" hidden="1">[35]M!#REF!</definedName>
    <definedName name="ttttt" localSheetId="40" hidden="1">[35]M!#REF!</definedName>
    <definedName name="ttttt" localSheetId="44" hidden="1">[35]M!#REF!</definedName>
    <definedName name="ttttt" hidden="1">[35]M!#REF!</definedName>
    <definedName name="uu" localSheetId="50" hidden="1">{"Riqfin97",#N/A,FALSE,"Tran";"Riqfinpro",#N/A,FALSE,"Tran"}</definedName>
    <definedName name="uu" localSheetId="55" hidden="1">{"Riqfin97",#N/A,FALSE,"Tran";"Riqfinpro",#N/A,FALSE,"Tran"}</definedName>
    <definedName name="uu" localSheetId="56" hidden="1">{"Riqfin97",#N/A,FALSE,"Tran";"Riqfinpro",#N/A,FALSE,"Tran"}</definedName>
    <definedName name="uu" localSheetId="57" hidden="1">{"Riqfin97",#N/A,FALSE,"Tran";"Riqfinpro",#N/A,FALSE,"Tran"}</definedName>
    <definedName name="uu" localSheetId="58" hidden="1">{"Riqfin97",#N/A,FALSE,"Tran";"Riqfinpro",#N/A,FALSE,"Tran"}</definedName>
    <definedName name="uu" localSheetId="59" hidden="1">{"Riqfin97",#N/A,FALSE,"Tran";"Riqfinpro",#N/A,FALSE,"Tran"}</definedName>
    <definedName name="uu" localSheetId="62" hidden="1">{"Riqfin97",#N/A,FALSE,"Tran";"Riqfinpro",#N/A,FALSE,"Tran"}</definedName>
    <definedName name="uu" localSheetId="70" hidden="1">{"Riqfin97",#N/A,FALSE,"Tran";"Riqfinpro",#N/A,FALSE,"Tran"}</definedName>
    <definedName name="uu" localSheetId="71" hidden="1">{"Riqfin97",#N/A,FALSE,"Tran";"Riqfinpro",#N/A,FALSE,"Tran"}</definedName>
    <definedName name="uu" localSheetId="72" hidden="1">{"Riqfin97",#N/A,FALSE,"Tran";"Riqfinpro",#N/A,FALSE,"Tran"}</definedName>
    <definedName name="uu" localSheetId="73" hidden="1">{"Riqfin97",#N/A,FALSE,"Tran";"Riqfinpro",#N/A,FALSE,"Tran"}</definedName>
    <definedName name="uu" localSheetId="74" hidden="1">{"Riqfin97",#N/A,FALSE,"Tran";"Riqfinpro",#N/A,FALSE,"Tran"}</definedName>
    <definedName name="uu" localSheetId="75" hidden="1">{"Riqfin97",#N/A,FALSE,"Tran";"Riqfinpro",#N/A,FALSE,"Tran"}</definedName>
    <definedName name="uu" localSheetId="76" hidden="1">{"Riqfin97",#N/A,FALSE,"Tran";"Riqfinpro",#N/A,FALSE,"Tran"}</definedName>
    <definedName name="uu" localSheetId="79" hidden="1">{"Riqfin97",#N/A,FALSE,"Tran";"Riqfinpro",#N/A,FALSE,"Tran"}</definedName>
    <definedName name="uu" localSheetId="80" hidden="1">{"Riqfin97",#N/A,FALSE,"Tran";"Riqfinpro",#N/A,FALSE,"Tran"}</definedName>
    <definedName name="uu" localSheetId="81" hidden="1">{"Riqfin97",#N/A,FALSE,"Tran";"Riqfinpro",#N/A,FALSE,"Tran"}</definedName>
    <definedName name="uu" localSheetId="83" hidden="1">{"Riqfin97",#N/A,FALSE,"Tran";"Riqfinpro",#N/A,FALSE,"Tran"}</definedName>
    <definedName name="uu" localSheetId="97" hidden="1">{"Riqfin97",#N/A,FALSE,"Tran";"Riqfinpro",#N/A,FALSE,"Tran"}</definedName>
    <definedName name="uu" localSheetId="98" hidden="1">{"Riqfin97",#N/A,FALSE,"Tran";"Riqfinpro",#N/A,FALSE,"Tran"}</definedName>
    <definedName name="uu" localSheetId="99" hidden="1">{"Riqfin97",#N/A,FALSE,"Tran";"Riqfinpro",#N/A,FALSE,"Tran"}</definedName>
    <definedName name="uu" localSheetId="100" hidden="1">{"Riqfin97",#N/A,FALSE,"Tran";"Riqfinpro",#N/A,FALSE,"Tran"}</definedName>
    <definedName name="uu" localSheetId="101" hidden="1">{"Riqfin97",#N/A,FALSE,"Tran";"Riqfinpro",#N/A,FALSE,"Tran"}</definedName>
    <definedName name="uu" localSheetId="108" hidden="1">{"Riqfin97",#N/A,FALSE,"Tran";"Riqfinpro",#N/A,FALSE,"Tran"}</definedName>
    <definedName name="uu" localSheetId="115" hidden="1">{"Riqfin97",#N/A,FALSE,"Tran";"Riqfinpro",#N/A,FALSE,"Tran"}</definedName>
    <definedName name="uu" localSheetId="5" hidden="1">{"Riqfin97",#N/A,FALSE,"Tran";"Riqfinpro",#N/A,FALSE,"Tran"}</definedName>
    <definedName name="uu" localSheetId="7" hidden="1">{"Riqfin97",#N/A,FALSE,"Tran";"Riqfinpro",#N/A,FALSE,"Tran"}</definedName>
    <definedName name="uu" localSheetId="8" hidden="1">{"Riqfin97",#N/A,FALSE,"Tran";"Riqfinpro",#N/A,FALSE,"Tran"}</definedName>
    <definedName name="uu" localSheetId="9" hidden="1">{"Riqfin97",#N/A,FALSE,"Tran";"Riqfinpro",#N/A,FALSE,"Tran"}</definedName>
    <definedName name="uu" localSheetId="10" hidden="1">{"Riqfin97",#N/A,FALSE,"Tran";"Riqfinpro",#N/A,FALSE,"Tran"}</definedName>
    <definedName name="uu" localSheetId="14" hidden="1">{"Riqfin97",#N/A,FALSE,"Tran";"Riqfinpro",#N/A,FALSE,"Tran"}</definedName>
    <definedName name="uu" localSheetId="19" hidden="1">{"Riqfin97",#N/A,FALSE,"Tran";"Riqfinpro",#N/A,FALSE,"Tran"}</definedName>
    <definedName name="uu" localSheetId="21" hidden="1">{"Riqfin97",#N/A,FALSE,"Tran";"Riqfinpro",#N/A,FALSE,"Tran"}</definedName>
    <definedName name="uu" localSheetId="23" hidden="1">{"Riqfin97",#N/A,FALSE,"Tran";"Riqfinpro",#N/A,FALSE,"Tran"}</definedName>
    <definedName name="uu" localSheetId="24" hidden="1">{"Riqfin97",#N/A,FALSE,"Tran";"Riqfinpro",#N/A,FALSE,"Tran"}</definedName>
    <definedName name="uu" localSheetId="25" hidden="1">{"Riqfin97",#N/A,FALSE,"Tran";"Riqfinpro",#N/A,FALSE,"Tran"}</definedName>
    <definedName name="uu" localSheetId="27" hidden="1">{"Riqfin97",#N/A,FALSE,"Tran";"Riqfinpro",#N/A,FALSE,"Tran"}</definedName>
    <definedName name="uu" localSheetId="30" hidden="1">{"Riqfin97",#N/A,FALSE,"Tran";"Riqfinpro",#N/A,FALSE,"Tran"}</definedName>
    <definedName name="uu" localSheetId="33" hidden="1">{"Riqfin97",#N/A,FALSE,"Tran";"Riqfinpro",#N/A,FALSE,"Tran"}</definedName>
    <definedName name="uu" localSheetId="34" hidden="1">{"Riqfin97",#N/A,FALSE,"Tran";"Riqfinpro",#N/A,FALSE,"Tran"}</definedName>
    <definedName name="uu" localSheetId="35" hidden="1">{"Riqfin97",#N/A,FALSE,"Tran";"Riqfinpro",#N/A,FALSE,"Tran"}</definedName>
    <definedName name="uu" localSheetId="36" hidden="1">{"Riqfin97",#N/A,FALSE,"Tran";"Riqfinpro",#N/A,FALSE,"Tran"}</definedName>
    <definedName name="uu" localSheetId="37" hidden="1">{"Riqfin97",#N/A,FALSE,"Tran";"Riqfinpro",#N/A,FALSE,"Tran"}</definedName>
    <definedName name="uu" localSheetId="38" hidden="1">{"Riqfin97",#N/A,FALSE,"Tran";"Riqfinpro",#N/A,FALSE,"Tran"}</definedName>
    <definedName name="uu" localSheetId="39" hidden="1">{"Riqfin97",#N/A,FALSE,"Tran";"Riqfinpro",#N/A,FALSE,"Tran"}</definedName>
    <definedName name="uu" localSheetId="40" hidden="1">{"Riqfin97",#N/A,FALSE,"Tran";"Riqfinpro",#N/A,FALSE,"Tran"}</definedName>
    <definedName name="uu" localSheetId="44" hidden="1">{"Riqfin97",#N/A,FALSE,"Tran";"Riqfinpro",#N/A,FALSE,"Tran"}</definedName>
    <definedName name="uu" hidden="1">{"Riqfin97",#N/A,FALSE,"Tran";"Riqfinpro",#N/A,FALSE,"Tran"}</definedName>
    <definedName name="uuu" localSheetId="50" hidden="1">{"Riqfin97",#N/A,FALSE,"Tran";"Riqfinpro",#N/A,FALSE,"Tran"}</definedName>
    <definedName name="uuu" localSheetId="55" hidden="1">{"Riqfin97",#N/A,FALSE,"Tran";"Riqfinpro",#N/A,FALSE,"Tran"}</definedName>
    <definedName name="uuu" localSheetId="56" hidden="1">{"Riqfin97",#N/A,FALSE,"Tran";"Riqfinpro",#N/A,FALSE,"Tran"}</definedName>
    <definedName name="uuu" localSheetId="57" hidden="1">{"Riqfin97",#N/A,FALSE,"Tran";"Riqfinpro",#N/A,FALSE,"Tran"}</definedName>
    <definedName name="uuu" localSheetId="58" hidden="1">{"Riqfin97",#N/A,FALSE,"Tran";"Riqfinpro",#N/A,FALSE,"Tran"}</definedName>
    <definedName name="uuu" localSheetId="59" hidden="1">{"Riqfin97",#N/A,FALSE,"Tran";"Riqfinpro",#N/A,FALSE,"Tran"}</definedName>
    <definedName name="uuu" localSheetId="62" hidden="1">{"Riqfin97",#N/A,FALSE,"Tran";"Riqfinpro",#N/A,FALSE,"Tran"}</definedName>
    <definedName name="uuu" localSheetId="70" hidden="1">{"Riqfin97",#N/A,FALSE,"Tran";"Riqfinpro",#N/A,FALSE,"Tran"}</definedName>
    <definedName name="uuu" localSheetId="71" hidden="1">{"Riqfin97",#N/A,FALSE,"Tran";"Riqfinpro",#N/A,FALSE,"Tran"}</definedName>
    <definedName name="uuu" localSheetId="72" hidden="1">{"Riqfin97",#N/A,FALSE,"Tran";"Riqfinpro",#N/A,FALSE,"Tran"}</definedName>
    <definedName name="uuu" localSheetId="73" hidden="1">{"Riqfin97",#N/A,FALSE,"Tran";"Riqfinpro",#N/A,FALSE,"Tran"}</definedName>
    <definedName name="uuu" localSheetId="74" hidden="1">{"Riqfin97",#N/A,FALSE,"Tran";"Riqfinpro",#N/A,FALSE,"Tran"}</definedName>
    <definedName name="uuu" localSheetId="75" hidden="1">{"Riqfin97",#N/A,FALSE,"Tran";"Riqfinpro",#N/A,FALSE,"Tran"}</definedName>
    <definedName name="uuu" localSheetId="76" hidden="1">{"Riqfin97",#N/A,FALSE,"Tran";"Riqfinpro",#N/A,FALSE,"Tran"}</definedName>
    <definedName name="uuu" localSheetId="79" hidden="1">{"Riqfin97",#N/A,FALSE,"Tran";"Riqfinpro",#N/A,FALSE,"Tran"}</definedName>
    <definedName name="uuu" localSheetId="80" hidden="1">{"Riqfin97",#N/A,FALSE,"Tran";"Riqfinpro",#N/A,FALSE,"Tran"}</definedName>
    <definedName name="uuu" localSheetId="81" hidden="1">{"Riqfin97",#N/A,FALSE,"Tran";"Riqfinpro",#N/A,FALSE,"Tran"}</definedName>
    <definedName name="uuu" localSheetId="83" hidden="1">{"Riqfin97",#N/A,FALSE,"Tran";"Riqfinpro",#N/A,FALSE,"Tran"}</definedName>
    <definedName name="uuu" localSheetId="97" hidden="1">{"Riqfin97",#N/A,FALSE,"Tran";"Riqfinpro",#N/A,FALSE,"Tran"}</definedName>
    <definedName name="uuu" localSheetId="98" hidden="1">{"Riqfin97",#N/A,FALSE,"Tran";"Riqfinpro",#N/A,FALSE,"Tran"}</definedName>
    <definedName name="uuu" localSheetId="99" hidden="1">{"Riqfin97",#N/A,FALSE,"Tran";"Riqfinpro",#N/A,FALSE,"Tran"}</definedName>
    <definedName name="uuu" localSheetId="100" hidden="1">{"Riqfin97",#N/A,FALSE,"Tran";"Riqfinpro",#N/A,FALSE,"Tran"}</definedName>
    <definedName name="uuu" localSheetId="101" hidden="1">{"Riqfin97",#N/A,FALSE,"Tran";"Riqfinpro",#N/A,FALSE,"Tran"}</definedName>
    <definedName name="uuu" localSheetId="108" hidden="1">{"Riqfin97",#N/A,FALSE,"Tran";"Riqfinpro",#N/A,FALSE,"Tran"}</definedName>
    <definedName name="uuu" localSheetId="115" hidden="1">{"Riqfin97",#N/A,FALSE,"Tran";"Riqfinpro",#N/A,FALSE,"Tran"}</definedName>
    <definedName name="uuu" localSheetId="5" hidden="1">{"Riqfin97",#N/A,FALSE,"Tran";"Riqfinpro",#N/A,FALSE,"Tran"}</definedName>
    <definedName name="uuu" localSheetId="7" hidden="1">{"Riqfin97",#N/A,FALSE,"Tran";"Riqfinpro",#N/A,FALSE,"Tran"}</definedName>
    <definedName name="uuu" localSheetId="8" hidden="1">{"Riqfin97",#N/A,FALSE,"Tran";"Riqfinpro",#N/A,FALSE,"Tran"}</definedName>
    <definedName name="uuu" localSheetId="9" hidden="1">{"Riqfin97",#N/A,FALSE,"Tran";"Riqfinpro",#N/A,FALSE,"Tran"}</definedName>
    <definedName name="uuu" localSheetId="10" hidden="1">{"Riqfin97",#N/A,FALSE,"Tran";"Riqfinpro",#N/A,FALSE,"Tran"}</definedName>
    <definedName name="uuu" localSheetId="14" hidden="1">{"Riqfin97",#N/A,FALSE,"Tran";"Riqfinpro",#N/A,FALSE,"Tran"}</definedName>
    <definedName name="uuu" localSheetId="19" hidden="1">{"Riqfin97",#N/A,FALSE,"Tran";"Riqfinpro",#N/A,FALSE,"Tran"}</definedName>
    <definedName name="uuu" localSheetId="21" hidden="1">{"Riqfin97",#N/A,FALSE,"Tran";"Riqfinpro",#N/A,FALSE,"Tran"}</definedName>
    <definedName name="uuu" localSheetId="23" hidden="1">{"Riqfin97",#N/A,FALSE,"Tran";"Riqfinpro",#N/A,FALSE,"Tran"}</definedName>
    <definedName name="uuu" localSheetId="24" hidden="1">{"Riqfin97",#N/A,FALSE,"Tran";"Riqfinpro",#N/A,FALSE,"Tran"}</definedName>
    <definedName name="uuu" localSheetId="25" hidden="1">{"Riqfin97",#N/A,FALSE,"Tran";"Riqfinpro",#N/A,FALSE,"Tran"}</definedName>
    <definedName name="uuu" localSheetId="27" hidden="1">{"Riqfin97",#N/A,FALSE,"Tran";"Riqfinpro",#N/A,FALSE,"Tran"}</definedName>
    <definedName name="uuu" localSheetId="30" hidden="1">{"Riqfin97",#N/A,FALSE,"Tran";"Riqfinpro",#N/A,FALSE,"Tran"}</definedName>
    <definedName name="uuu" localSheetId="33" hidden="1">{"Riqfin97",#N/A,FALSE,"Tran";"Riqfinpro",#N/A,FALSE,"Tran"}</definedName>
    <definedName name="uuu" localSheetId="34" hidden="1">{"Riqfin97",#N/A,FALSE,"Tran";"Riqfinpro",#N/A,FALSE,"Tran"}</definedName>
    <definedName name="uuu" localSheetId="35" hidden="1">{"Riqfin97",#N/A,FALSE,"Tran";"Riqfinpro",#N/A,FALSE,"Tran"}</definedName>
    <definedName name="uuu" localSheetId="36" hidden="1">{"Riqfin97",#N/A,FALSE,"Tran";"Riqfinpro",#N/A,FALSE,"Tran"}</definedName>
    <definedName name="uuu" localSheetId="37" hidden="1">{"Riqfin97",#N/A,FALSE,"Tran";"Riqfinpro",#N/A,FALSE,"Tran"}</definedName>
    <definedName name="uuu" localSheetId="38" hidden="1">{"Riqfin97",#N/A,FALSE,"Tran";"Riqfinpro",#N/A,FALSE,"Tran"}</definedName>
    <definedName name="uuu" localSheetId="39" hidden="1">{"Riqfin97",#N/A,FALSE,"Tran";"Riqfinpro",#N/A,FALSE,"Tran"}</definedName>
    <definedName name="uuu" localSheetId="40" hidden="1">{"Riqfin97",#N/A,FALSE,"Tran";"Riqfinpro",#N/A,FALSE,"Tran"}</definedName>
    <definedName name="uuu" localSheetId="44" hidden="1">{"Riqfin97",#N/A,FALSE,"Tran";"Riqfinpro",#N/A,FALSE,"Tran"}</definedName>
    <definedName name="uuu" hidden="1">{"Riqfin97",#N/A,FALSE,"Tran";"Riqfinpro",#N/A,FALSE,"Tran"}</definedName>
    <definedName name="vb" localSheetId="50" hidden="1">{"'előző év december'!$A$2:$CP$214"}</definedName>
    <definedName name="vb" localSheetId="56" hidden="1">{"'előző év december'!$A$2:$CP$214"}</definedName>
    <definedName name="vb" localSheetId="57" hidden="1">{"'előző év december'!$A$2:$CP$214"}</definedName>
    <definedName name="vb" localSheetId="58" hidden="1">{"'előző év december'!$A$2:$CP$214"}</definedName>
    <definedName name="vb" localSheetId="59" hidden="1">{"'előző év december'!$A$2:$CP$214"}</definedName>
    <definedName name="vb" localSheetId="62" hidden="1">{"'előző év december'!$A$2:$CP$214"}</definedName>
    <definedName name="vb" localSheetId="70" hidden="1">{"'előző év december'!$A$2:$CP$214"}</definedName>
    <definedName name="vb" localSheetId="71" hidden="1">{"'előző év december'!$A$2:$CP$214"}</definedName>
    <definedName name="vb" localSheetId="72" hidden="1">{"'előző év december'!$A$2:$CP$214"}</definedName>
    <definedName name="vb" localSheetId="73" hidden="1">{"'előző év december'!$A$2:$CP$214"}</definedName>
    <definedName name="vb" localSheetId="74" hidden="1">{"'előző év december'!$A$2:$CP$214"}</definedName>
    <definedName name="vb" localSheetId="79" hidden="1">{"'előző év december'!$A$2:$CP$214"}</definedName>
    <definedName name="vb" localSheetId="80" hidden="1">{"'előző év december'!$A$2:$CP$214"}</definedName>
    <definedName name="vb" localSheetId="81" hidden="1">{"'előző év december'!$A$2:$CP$214"}</definedName>
    <definedName name="vb" localSheetId="97" hidden="1">{"'előző év december'!$A$2:$CP$214"}</definedName>
    <definedName name="vb" localSheetId="98" hidden="1">{"'előző év december'!$A$2:$CP$214"}</definedName>
    <definedName name="vb" localSheetId="99" hidden="1">{"'előző év december'!$A$2:$CP$214"}</definedName>
    <definedName name="vb" localSheetId="100" hidden="1">{"'előző év december'!$A$2:$CP$214"}</definedName>
    <definedName name="vb" localSheetId="101" hidden="1">{"'előző év december'!$A$2:$CP$214"}</definedName>
    <definedName name="vb" localSheetId="108" hidden="1">{"'előző év december'!$A$2:$CP$214"}</definedName>
    <definedName name="vb" localSheetId="115" hidden="1">{"'előző év december'!$A$2:$CP$214"}</definedName>
    <definedName name="vb" localSheetId="5" hidden="1">{"'előző év december'!$A$2:$CP$214"}</definedName>
    <definedName name="vb" localSheetId="7" hidden="1">{"'előző év december'!$A$2:$CP$214"}</definedName>
    <definedName name="vb" localSheetId="8" hidden="1">{"'előző év december'!$A$2:$CP$214"}</definedName>
    <definedName name="vb" localSheetId="9" hidden="1">{"'előző év december'!$A$2:$CP$214"}</definedName>
    <definedName name="vb" localSheetId="10" hidden="1">{"'előző év december'!$A$2:$CP$214"}</definedName>
    <definedName name="vb" localSheetId="14" hidden="1">{"'előző év december'!$A$2:$CP$214"}</definedName>
    <definedName name="vb" localSheetId="18" hidden="1">{"'előző év december'!$A$2:$CP$214"}</definedName>
    <definedName name="vb" localSheetId="19" hidden="1">{"'előző év december'!$A$2:$CP$214"}</definedName>
    <definedName name="vb" localSheetId="21" hidden="1">{"'előző év december'!$A$2:$CP$214"}</definedName>
    <definedName name="vb" localSheetId="23" hidden="1">{"'előző év december'!$A$2:$CP$214"}</definedName>
    <definedName name="vb" localSheetId="24" hidden="1">{"'előző év december'!$A$2:$CP$214"}</definedName>
    <definedName name="vb" localSheetId="25" hidden="1">{"'előző év december'!$A$2:$CP$214"}</definedName>
    <definedName name="vb" localSheetId="27" hidden="1">{"'előző év december'!$A$2:$CP$214"}</definedName>
    <definedName name="vb" localSheetId="30" hidden="1">{"'előző év december'!$A$2:$CP$214"}</definedName>
    <definedName name="vb" localSheetId="33" hidden="1">{"'előző év december'!$A$2:$CP$214"}</definedName>
    <definedName name="vb" localSheetId="34" hidden="1">{"'előző év december'!$A$2:$CP$214"}</definedName>
    <definedName name="vb" localSheetId="35" hidden="1">{"'előző év december'!$A$2:$CP$214"}</definedName>
    <definedName name="vb" localSheetId="36" hidden="1">{"'előző év december'!$A$2:$CP$214"}</definedName>
    <definedName name="vb" localSheetId="37" hidden="1">{"'előző év december'!$A$2:$CP$214"}</definedName>
    <definedName name="vb" localSheetId="38" hidden="1">{"'előző év december'!$A$2:$CP$214"}</definedName>
    <definedName name="vb" localSheetId="39" hidden="1">{"'előző év december'!$A$2:$CP$214"}</definedName>
    <definedName name="vb" localSheetId="40" hidden="1">{"'előző év december'!$A$2:$CP$214"}</definedName>
    <definedName name="vb" hidden="1">{"'előző év december'!$A$2:$CP$214"}</definedName>
    <definedName name="vc" localSheetId="50" hidden="1">{"'előző év december'!$A$2:$CP$214"}</definedName>
    <definedName name="vc" localSheetId="56" hidden="1">{"'előző év december'!$A$2:$CP$214"}</definedName>
    <definedName name="vc" localSheetId="57" hidden="1">{"'előző év december'!$A$2:$CP$214"}</definedName>
    <definedName name="vc" localSheetId="58" hidden="1">{"'előző év december'!$A$2:$CP$214"}</definedName>
    <definedName name="vc" localSheetId="59" hidden="1">{"'előző év december'!$A$2:$CP$214"}</definedName>
    <definedName name="vc" localSheetId="62" hidden="1">{"'előző év december'!$A$2:$CP$214"}</definedName>
    <definedName name="vc" localSheetId="70" hidden="1">{"'előző év december'!$A$2:$CP$214"}</definedName>
    <definedName name="vc" localSheetId="71" hidden="1">{"'előző év december'!$A$2:$CP$214"}</definedName>
    <definedName name="vc" localSheetId="72" hidden="1">{"'előző év december'!$A$2:$CP$214"}</definedName>
    <definedName name="vc" localSheetId="73" hidden="1">{"'előző év december'!$A$2:$CP$214"}</definedName>
    <definedName name="vc" localSheetId="74" hidden="1">{"'előző év december'!$A$2:$CP$214"}</definedName>
    <definedName name="vc" localSheetId="79" hidden="1">{"'előző év december'!$A$2:$CP$214"}</definedName>
    <definedName name="vc" localSheetId="80" hidden="1">{"'előző év december'!$A$2:$CP$214"}</definedName>
    <definedName name="vc" localSheetId="81" hidden="1">{"'előző év december'!$A$2:$CP$214"}</definedName>
    <definedName name="vc" localSheetId="97" hidden="1">{"'előző év december'!$A$2:$CP$214"}</definedName>
    <definedName name="vc" localSheetId="98" hidden="1">{"'előző év december'!$A$2:$CP$214"}</definedName>
    <definedName name="vc" localSheetId="99" hidden="1">{"'előző év december'!$A$2:$CP$214"}</definedName>
    <definedName name="vc" localSheetId="100" hidden="1">{"'előző év december'!$A$2:$CP$214"}</definedName>
    <definedName name="vc" localSheetId="101" hidden="1">{"'előző év december'!$A$2:$CP$214"}</definedName>
    <definedName name="vc" localSheetId="108" hidden="1">{"'előző év december'!$A$2:$CP$214"}</definedName>
    <definedName name="vc" localSheetId="115" hidden="1">{"'előző év december'!$A$2:$CP$214"}</definedName>
    <definedName name="vc" localSheetId="5" hidden="1">{"'előző év december'!$A$2:$CP$214"}</definedName>
    <definedName name="vc" localSheetId="7" hidden="1">{"'előző év december'!$A$2:$CP$214"}</definedName>
    <definedName name="vc" localSheetId="8" hidden="1">{"'előző év december'!$A$2:$CP$214"}</definedName>
    <definedName name="vc" localSheetId="9" hidden="1">{"'előző év december'!$A$2:$CP$214"}</definedName>
    <definedName name="vc" localSheetId="10" hidden="1">{"'előző év december'!$A$2:$CP$214"}</definedName>
    <definedName name="vc" localSheetId="14" hidden="1">{"'előző év december'!$A$2:$CP$214"}</definedName>
    <definedName name="vc" localSheetId="18" hidden="1">{"'előző év december'!$A$2:$CP$214"}</definedName>
    <definedName name="vc" localSheetId="19" hidden="1">{"'előző év december'!$A$2:$CP$214"}</definedName>
    <definedName name="vc" localSheetId="21" hidden="1">{"'előző év december'!$A$2:$CP$214"}</definedName>
    <definedName name="vc" localSheetId="23" hidden="1">{"'előző év december'!$A$2:$CP$214"}</definedName>
    <definedName name="vc" localSheetId="24" hidden="1">{"'előző év december'!$A$2:$CP$214"}</definedName>
    <definedName name="vc" localSheetId="25" hidden="1">{"'előző év december'!$A$2:$CP$214"}</definedName>
    <definedName name="vc" localSheetId="27" hidden="1">{"'előző év december'!$A$2:$CP$214"}</definedName>
    <definedName name="vc" localSheetId="30" hidden="1">{"'előző év december'!$A$2:$CP$214"}</definedName>
    <definedName name="vc" localSheetId="33" hidden="1">{"'előző év december'!$A$2:$CP$214"}</definedName>
    <definedName name="vc" localSheetId="34" hidden="1">{"'előző év december'!$A$2:$CP$214"}</definedName>
    <definedName name="vc" localSheetId="35" hidden="1">{"'előző év december'!$A$2:$CP$214"}</definedName>
    <definedName name="vc" localSheetId="36" hidden="1">{"'előző év december'!$A$2:$CP$214"}</definedName>
    <definedName name="vc" localSheetId="37" hidden="1">{"'előző év december'!$A$2:$CP$214"}</definedName>
    <definedName name="vc" localSheetId="38" hidden="1">{"'előző év december'!$A$2:$CP$214"}</definedName>
    <definedName name="vc" localSheetId="39" hidden="1">{"'előző év december'!$A$2:$CP$214"}</definedName>
    <definedName name="vc" localSheetId="40" hidden="1">{"'előző év december'!$A$2:$CP$214"}</definedName>
    <definedName name="vc" hidden="1">{"'előző év december'!$A$2:$CP$214"}</definedName>
    <definedName name="vv" localSheetId="50" hidden="1">{"Tab1",#N/A,FALSE,"P";"Tab2",#N/A,FALSE,"P"}</definedName>
    <definedName name="vv" localSheetId="55" hidden="1">{"Tab1",#N/A,FALSE,"P";"Tab2",#N/A,FALSE,"P"}</definedName>
    <definedName name="vv" localSheetId="56" hidden="1">{"Tab1",#N/A,FALSE,"P";"Tab2",#N/A,FALSE,"P"}</definedName>
    <definedName name="vv" localSheetId="57" hidden="1">{"Tab1",#N/A,FALSE,"P";"Tab2",#N/A,FALSE,"P"}</definedName>
    <definedName name="vv" localSheetId="58" hidden="1">{"Tab1",#N/A,FALSE,"P";"Tab2",#N/A,FALSE,"P"}</definedName>
    <definedName name="vv" localSheetId="59" hidden="1">{"Tab1",#N/A,FALSE,"P";"Tab2",#N/A,FALSE,"P"}</definedName>
    <definedName name="vv" localSheetId="62" hidden="1">{"Tab1",#N/A,FALSE,"P";"Tab2",#N/A,FALSE,"P"}</definedName>
    <definedName name="vv" localSheetId="70" hidden="1">{"Tab1",#N/A,FALSE,"P";"Tab2",#N/A,FALSE,"P"}</definedName>
    <definedName name="vv" localSheetId="71" hidden="1">{"Tab1",#N/A,FALSE,"P";"Tab2",#N/A,FALSE,"P"}</definedName>
    <definedName name="vv" localSheetId="72" hidden="1">{"Tab1",#N/A,FALSE,"P";"Tab2",#N/A,FALSE,"P"}</definedName>
    <definedName name="vv" localSheetId="73" hidden="1">{"Tab1",#N/A,FALSE,"P";"Tab2",#N/A,FALSE,"P"}</definedName>
    <definedName name="vv" localSheetId="74" hidden="1">{"Tab1",#N/A,FALSE,"P";"Tab2",#N/A,FALSE,"P"}</definedName>
    <definedName name="vv" localSheetId="75" hidden="1">{"Tab1",#N/A,FALSE,"P";"Tab2",#N/A,FALSE,"P"}</definedName>
    <definedName name="vv" localSheetId="76" hidden="1">{"Tab1",#N/A,FALSE,"P";"Tab2",#N/A,FALSE,"P"}</definedName>
    <definedName name="vv" localSheetId="79" hidden="1">{"Tab1",#N/A,FALSE,"P";"Tab2",#N/A,FALSE,"P"}</definedName>
    <definedName name="vv" localSheetId="80" hidden="1">{"Tab1",#N/A,FALSE,"P";"Tab2",#N/A,FALSE,"P"}</definedName>
    <definedName name="vv" localSheetId="81" hidden="1">{"Tab1",#N/A,FALSE,"P";"Tab2",#N/A,FALSE,"P"}</definedName>
    <definedName name="vv" localSheetId="83" hidden="1">{"Tab1",#N/A,FALSE,"P";"Tab2",#N/A,FALSE,"P"}</definedName>
    <definedName name="vv" localSheetId="97" hidden="1">{"Tab1",#N/A,FALSE,"P";"Tab2",#N/A,FALSE,"P"}</definedName>
    <definedName name="vv" localSheetId="98" hidden="1">{"Tab1",#N/A,FALSE,"P";"Tab2",#N/A,FALSE,"P"}</definedName>
    <definedName name="vv" localSheetId="99" hidden="1">{"Tab1",#N/A,FALSE,"P";"Tab2",#N/A,FALSE,"P"}</definedName>
    <definedName name="vv" localSheetId="100" hidden="1">{"Tab1",#N/A,FALSE,"P";"Tab2",#N/A,FALSE,"P"}</definedName>
    <definedName name="vv" localSheetId="101" hidden="1">{"Tab1",#N/A,FALSE,"P";"Tab2",#N/A,FALSE,"P"}</definedName>
    <definedName name="vv" localSheetId="108" hidden="1">{"Tab1",#N/A,FALSE,"P";"Tab2",#N/A,FALSE,"P"}</definedName>
    <definedName name="vv" localSheetId="115" hidden="1">{"Tab1",#N/A,FALSE,"P";"Tab2",#N/A,FALSE,"P"}</definedName>
    <definedName name="vv" localSheetId="5" hidden="1">{"Tab1",#N/A,FALSE,"P";"Tab2",#N/A,FALSE,"P"}</definedName>
    <definedName name="vv" localSheetId="7" hidden="1">{"Tab1",#N/A,FALSE,"P";"Tab2",#N/A,FALSE,"P"}</definedName>
    <definedName name="vv" localSheetId="8" hidden="1">{"Tab1",#N/A,FALSE,"P";"Tab2",#N/A,FALSE,"P"}</definedName>
    <definedName name="vv" localSheetId="9" hidden="1">{"Tab1",#N/A,FALSE,"P";"Tab2",#N/A,FALSE,"P"}</definedName>
    <definedName name="vv" localSheetId="10" hidden="1">{"Tab1",#N/A,FALSE,"P";"Tab2",#N/A,FALSE,"P"}</definedName>
    <definedName name="vv" localSheetId="14" hidden="1">{"Tab1",#N/A,FALSE,"P";"Tab2",#N/A,FALSE,"P"}</definedName>
    <definedName name="vv" localSheetId="19" hidden="1">{"Tab1",#N/A,FALSE,"P";"Tab2",#N/A,FALSE,"P"}</definedName>
    <definedName name="vv" localSheetId="21" hidden="1">{"Tab1",#N/A,FALSE,"P";"Tab2",#N/A,FALSE,"P"}</definedName>
    <definedName name="vv" localSheetId="23" hidden="1">{"Tab1",#N/A,FALSE,"P";"Tab2",#N/A,FALSE,"P"}</definedName>
    <definedName name="vv" localSheetId="24" hidden="1">{"Tab1",#N/A,FALSE,"P";"Tab2",#N/A,FALSE,"P"}</definedName>
    <definedName name="vv" localSheetId="25" hidden="1">{"Tab1",#N/A,FALSE,"P";"Tab2",#N/A,FALSE,"P"}</definedName>
    <definedName name="vv" localSheetId="27" hidden="1">{"Tab1",#N/A,FALSE,"P";"Tab2",#N/A,FALSE,"P"}</definedName>
    <definedName name="vv" localSheetId="30" hidden="1">{"Tab1",#N/A,FALSE,"P";"Tab2",#N/A,FALSE,"P"}</definedName>
    <definedName name="vv" localSheetId="33" hidden="1">{"Tab1",#N/A,FALSE,"P";"Tab2",#N/A,FALSE,"P"}</definedName>
    <definedName name="vv" localSheetId="34" hidden="1">{"Tab1",#N/A,FALSE,"P";"Tab2",#N/A,FALSE,"P"}</definedName>
    <definedName name="vv" localSheetId="35" hidden="1">{"Tab1",#N/A,FALSE,"P";"Tab2",#N/A,FALSE,"P"}</definedName>
    <definedName name="vv" localSheetId="36" hidden="1">{"Tab1",#N/A,FALSE,"P";"Tab2",#N/A,FALSE,"P"}</definedName>
    <definedName name="vv" localSheetId="37" hidden="1">{"Tab1",#N/A,FALSE,"P";"Tab2",#N/A,FALSE,"P"}</definedName>
    <definedName name="vv" localSheetId="38" hidden="1">{"Tab1",#N/A,FALSE,"P";"Tab2",#N/A,FALSE,"P"}</definedName>
    <definedName name="vv" localSheetId="39" hidden="1">{"Tab1",#N/A,FALSE,"P";"Tab2",#N/A,FALSE,"P"}</definedName>
    <definedName name="vv" localSheetId="40" hidden="1">{"Tab1",#N/A,FALSE,"P";"Tab2",#N/A,FALSE,"P"}</definedName>
    <definedName name="vv" localSheetId="44" hidden="1">{"Tab1",#N/A,FALSE,"P";"Tab2",#N/A,FALSE,"P"}</definedName>
    <definedName name="vv" hidden="1">{"Tab1",#N/A,FALSE,"P";"Tab2",#N/A,FALSE,"P"}</definedName>
    <definedName name="vvv" localSheetId="50" hidden="1">{"Tab1",#N/A,FALSE,"P";"Tab2",#N/A,FALSE,"P"}</definedName>
    <definedName name="vvv" localSheetId="55" hidden="1">{"Tab1",#N/A,FALSE,"P";"Tab2",#N/A,FALSE,"P"}</definedName>
    <definedName name="vvv" localSheetId="56" hidden="1">{"Tab1",#N/A,FALSE,"P";"Tab2",#N/A,FALSE,"P"}</definedName>
    <definedName name="vvv" localSheetId="57" hidden="1">{"Tab1",#N/A,FALSE,"P";"Tab2",#N/A,FALSE,"P"}</definedName>
    <definedName name="vvv" localSheetId="58" hidden="1">{"Tab1",#N/A,FALSE,"P";"Tab2",#N/A,FALSE,"P"}</definedName>
    <definedName name="vvv" localSheetId="59" hidden="1">{"Tab1",#N/A,FALSE,"P";"Tab2",#N/A,FALSE,"P"}</definedName>
    <definedName name="vvv" localSheetId="62" hidden="1">{"Tab1",#N/A,FALSE,"P";"Tab2",#N/A,FALSE,"P"}</definedName>
    <definedName name="vvv" localSheetId="70" hidden="1">{"Tab1",#N/A,FALSE,"P";"Tab2",#N/A,FALSE,"P"}</definedName>
    <definedName name="vvv" localSheetId="71" hidden="1">{"Tab1",#N/A,FALSE,"P";"Tab2",#N/A,FALSE,"P"}</definedName>
    <definedName name="vvv" localSheetId="72" hidden="1">{"Tab1",#N/A,FALSE,"P";"Tab2",#N/A,FALSE,"P"}</definedName>
    <definedName name="vvv" localSheetId="73" hidden="1">{"Tab1",#N/A,FALSE,"P";"Tab2",#N/A,FALSE,"P"}</definedName>
    <definedName name="vvv" localSheetId="74" hidden="1">{"Tab1",#N/A,FALSE,"P";"Tab2",#N/A,FALSE,"P"}</definedName>
    <definedName name="vvv" localSheetId="75" hidden="1">{"Tab1",#N/A,FALSE,"P";"Tab2",#N/A,FALSE,"P"}</definedName>
    <definedName name="vvv" localSheetId="76" hidden="1">{"Tab1",#N/A,FALSE,"P";"Tab2",#N/A,FALSE,"P"}</definedName>
    <definedName name="vvv" localSheetId="79" hidden="1">{"Tab1",#N/A,FALSE,"P";"Tab2",#N/A,FALSE,"P"}</definedName>
    <definedName name="vvv" localSheetId="80" hidden="1">{"Tab1",#N/A,FALSE,"P";"Tab2",#N/A,FALSE,"P"}</definedName>
    <definedName name="vvv" localSheetId="81" hidden="1">{"Tab1",#N/A,FALSE,"P";"Tab2",#N/A,FALSE,"P"}</definedName>
    <definedName name="vvv" localSheetId="83" hidden="1">{"Tab1",#N/A,FALSE,"P";"Tab2",#N/A,FALSE,"P"}</definedName>
    <definedName name="vvv" localSheetId="97" hidden="1">{"Tab1",#N/A,FALSE,"P";"Tab2",#N/A,FALSE,"P"}</definedName>
    <definedName name="vvv" localSheetId="98" hidden="1">{"Tab1",#N/A,FALSE,"P";"Tab2",#N/A,FALSE,"P"}</definedName>
    <definedName name="vvv" localSheetId="99" hidden="1">{"Tab1",#N/A,FALSE,"P";"Tab2",#N/A,FALSE,"P"}</definedName>
    <definedName name="vvv" localSheetId="100" hidden="1">{"Tab1",#N/A,FALSE,"P";"Tab2",#N/A,FALSE,"P"}</definedName>
    <definedName name="vvv" localSheetId="101" hidden="1">{"Tab1",#N/A,FALSE,"P";"Tab2",#N/A,FALSE,"P"}</definedName>
    <definedName name="vvv" localSheetId="108" hidden="1">{"Tab1",#N/A,FALSE,"P";"Tab2",#N/A,FALSE,"P"}</definedName>
    <definedName name="vvv" localSheetId="115" hidden="1">{"Tab1",#N/A,FALSE,"P";"Tab2",#N/A,FALSE,"P"}</definedName>
    <definedName name="vvv" localSheetId="5" hidden="1">{"Tab1",#N/A,FALSE,"P";"Tab2",#N/A,FALSE,"P"}</definedName>
    <definedName name="vvv" localSheetId="7" hidden="1">{"Tab1",#N/A,FALSE,"P";"Tab2",#N/A,FALSE,"P"}</definedName>
    <definedName name="vvv" localSheetId="8" hidden="1">{"Tab1",#N/A,FALSE,"P";"Tab2",#N/A,FALSE,"P"}</definedName>
    <definedName name="vvv" localSheetId="9" hidden="1">{"Tab1",#N/A,FALSE,"P";"Tab2",#N/A,FALSE,"P"}</definedName>
    <definedName name="vvv" localSheetId="10" hidden="1">{"Tab1",#N/A,FALSE,"P";"Tab2",#N/A,FALSE,"P"}</definedName>
    <definedName name="vvv" localSheetId="14" hidden="1">{"Tab1",#N/A,FALSE,"P";"Tab2",#N/A,FALSE,"P"}</definedName>
    <definedName name="vvv" localSheetId="19" hidden="1">{"Tab1",#N/A,FALSE,"P";"Tab2",#N/A,FALSE,"P"}</definedName>
    <definedName name="vvv" localSheetId="21" hidden="1">{"Tab1",#N/A,FALSE,"P";"Tab2",#N/A,FALSE,"P"}</definedName>
    <definedName name="vvv" localSheetId="23" hidden="1">{"Tab1",#N/A,FALSE,"P";"Tab2",#N/A,FALSE,"P"}</definedName>
    <definedName name="vvv" localSheetId="24" hidden="1">{"Tab1",#N/A,FALSE,"P";"Tab2",#N/A,FALSE,"P"}</definedName>
    <definedName name="vvv" localSheetId="25" hidden="1">{"Tab1",#N/A,FALSE,"P";"Tab2",#N/A,FALSE,"P"}</definedName>
    <definedName name="vvv" localSheetId="27" hidden="1">{"Tab1",#N/A,FALSE,"P";"Tab2",#N/A,FALSE,"P"}</definedName>
    <definedName name="vvv" localSheetId="30" hidden="1">{"Tab1",#N/A,FALSE,"P";"Tab2",#N/A,FALSE,"P"}</definedName>
    <definedName name="vvv" localSheetId="33" hidden="1">{"Tab1",#N/A,FALSE,"P";"Tab2",#N/A,FALSE,"P"}</definedName>
    <definedName name="vvv" localSheetId="34" hidden="1">{"Tab1",#N/A,FALSE,"P";"Tab2",#N/A,FALSE,"P"}</definedName>
    <definedName name="vvv" localSheetId="35" hidden="1">{"Tab1",#N/A,FALSE,"P";"Tab2",#N/A,FALSE,"P"}</definedName>
    <definedName name="vvv" localSheetId="36" hidden="1">{"Tab1",#N/A,FALSE,"P";"Tab2",#N/A,FALSE,"P"}</definedName>
    <definedName name="vvv" localSheetId="37" hidden="1">{"Tab1",#N/A,FALSE,"P";"Tab2",#N/A,FALSE,"P"}</definedName>
    <definedName name="vvv" localSheetId="38" hidden="1">{"Tab1",#N/A,FALSE,"P";"Tab2",#N/A,FALSE,"P"}</definedName>
    <definedName name="vvv" localSheetId="39" hidden="1">{"Tab1",#N/A,FALSE,"P";"Tab2",#N/A,FALSE,"P"}</definedName>
    <definedName name="vvv" localSheetId="40" hidden="1">{"Tab1",#N/A,FALSE,"P";"Tab2",#N/A,FALSE,"P"}</definedName>
    <definedName name="vvv" localSheetId="44" hidden="1">{"Tab1",#N/A,FALSE,"P";"Tab2",#N/A,FALSE,"P"}</definedName>
    <definedName name="vvv" hidden="1">{"Tab1",#N/A,FALSE,"P";"Tab2",#N/A,FALSE,"P"}</definedName>
    <definedName name="we" localSheetId="50" hidden="1">{"'előző év december'!$A$2:$CP$214"}</definedName>
    <definedName name="we" localSheetId="56" hidden="1">{"'előző év december'!$A$2:$CP$214"}</definedName>
    <definedName name="we" localSheetId="57" hidden="1">{"'előző év december'!$A$2:$CP$214"}</definedName>
    <definedName name="we" localSheetId="58" hidden="1">{"'előző év december'!$A$2:$CP$214"}</definedName>
    <definedName name="we" localSheetId="59" hidden="1">{"'előző év december'!$A$2:$CP$214"}</definedName>
    <definedName name="we" localSheetId="62" hidden="1">{"'előző év december'!$A$2:$CP$214"}</definedName>
    <definedName name="we" localSheetId="70" hidden="1">{"'előző év december'!$A$2:$CP$214"}</definedName>
    <definedName name="we" localSheetId="71" hidden="1">{"'előző év december'!$A$2:$CP$214"}</definedName>
    <definedName name="we" localSheetId="72" hidden="1">{"'előző év december'!$A$2:$CP$214"}</definedName>
    <definedName name="we" localSheetId="73" hidden="1">{"'előző év december'!$A$2:$CP$214"}</definedName>
    <definedName name="we" localSheetId="74" hidden="1">{"'előző év december'!$A$2:$CP$214"}</definedName>
    <definedName name="we" localSheetId="79" hidden="1">{"'előző év december'!$A$2:$CP$214"}</definedName>
    <definedName name="we" localSheetId="80" hidden="1">{"'előző év december'!$A$2:$CP$214"}</definedName>
    <definedName name="we" localSheetId="81" hidden="1">{"'előző év december'!$A$2:$CP$214"}</definedName>
    <definedName name="we" localSheetId="97" hidden="1">{"'előző év december'!$A$2:$CP$214"}</definedName>
    <definedName name="we" localSheetId="98" hidden="1">{"'előző év december'!$A$2:$CP$214"}</definedName>
    <definedName name="we" localSheetId="99" hidden="1">{"'előző év december'!$A$2:$CP$214"}</definedName>
    <definedName name="we" localSheetId="100" hidden="1">{"'előző év december'!$A$2:$CP$214"}</definedName>
    <definedName name="we" localSheetId="101" hidden="1">{"'előző év december'!$A$2:$CP$214"}</definedName>
    <definedName name="we" localSheetId="108" hidden="1">{"'előző év december'!$A$2:$CP$214"}</definedName>
    <definedName name="we" localSheetId="115" hidden="1">{"'előző év december'!$A$2:$CP$214"}</definedName>
    <definedName name="we" localSheetId="5" hidden="1">{"'előző év december'!$A$2:$CP$214"}</definedName>
    <definedName name="we" localSheetId="7" hidden="1">{"'előző év december'!$A$2:$CP$214"}</definedName>
    <definedName name="we" localSheetId="8" hidden="1">{"'előző év december'!$A$2:$CP$214"}</definedName>
    <definedName name="we" localSheetId="9" hidden="1">{"'előző év december'!$A$2:$CP$214"}</definedName>
    <definedName name="we" localSheetId="10" hidden="1">{"'előző év december'!$A$2:$CP$214"}</definedName>
    <definedName name="we" localSheetId="14" hidden="1">{"'előző év december'!$A$2:$CP$214"}</definedName>
    <definedName name="we" localSheetId="18" hidden="1">{"'előző év december'!$A$2:$CP$214"}</definedName>
    <definedName name="we" localSheetId="19" hidden="1">{"'előző év december'!$A$2:$CP$214"}</definedName>
    <definedName name="we" localSheetId="21" hidden="1">{"'előző év december'!$A$2:$CP$214"}</definedName>
    <definedName name="we" localSheetId="23" hidden="1">{"'előző év december'!$A$2:$CP$214"}</definedName>
    <definedName name="we" localSheetId="24" hidden="1">{"'előző év december'!$A$2:$CP$214"}</definedName>
    <definedName name="we" localSheetId="25" hidden="1">{"'előző év december'!$A$2:$CP$214"}</definedName>
    <definedName name="we" localSheetId="27" hidden="1">{"'előző év december'!$A$2:$CP$214"}</definedName>
    <definedName name="we" localSheetId="30" hidden="1">{"'előző év december'!$A$2:$CP$214"}</definedName>
    <definedName name="we" localSheetId="33" hidden="1">{"'előző év december'!$A$2:$CP$214"}</definedName>
    <definedName name="we" localSheetId="34" hidden="1">{"'előző év december'!$A$2:$CP$214"}</definedName>
    <definedName name="we" localSheetId="35" hidden="1">{"'előző év december'!$A$2:$CP$214"}</definedName>
    <definedName name="we" localSheetId="36" hidden="1">{"'előző év december'!$A$2:$CP$214"}</definedName>
    <definedName name="we" localSheetId="37" hidden="1">{"'előző év december'!$A$2:$CP$214"}</definedName>
    <definedName name="we" localSheetId="38" hidden="1">{"'előző év december'!$A$2:$CP$214"}</definedName>
    <definedName name="we" localSheetId="39" hidden="1">{"'előző év december'!$A$2:$CP$214"}</definedName>
    <definedName name="we" localSheetId="40" hidden="1">{"'előző év december'!$A$2:$CP$214"}</definedName>
    <definedName name="we" hidden="1">{"'előző év december'!$A$2:$CP$214"}</definedName>
    <definedName name="wee" localSheetId="50" hidden="1">{"'előző év december'!$A$2:$CP$214"}</definedName>
    <definedName name="wee" localSheetId="56" hidden="1">{"'előző év december'!$A$2:$CP$214"}</definedName>
    <definedName name="wee" localSheetId="57" hidden="1">{"'előző év december'!$A$2:$CP$214"}</definedName>
    <definedName name="wee" localSheetId="58" hidden="1">{"'előző év december'!$A$2:$CP$214"}</definedName>
    <definedName name="wee" localSheetId="59" hidden="1">{"'előző év december'!$A$2:$CP$214"}</definedName>
    <definedName name="wee" localSheetId="62" hidden="1">{"'előző év december'!$A$2:$CP$214"}</definedName>
    <definedName name="wee" localSheetId="70" hidden="1">{"'előző év december'!$A$2:$CP$214"}</definedName>
    <definedName name="wee" localSheetId="71" hidden="1">{"'előző év december'!$A$2:$CP$214"}</definedName>
    <definedName name="wee" localSheetId="72" hidden="1">{"'előző év december'!$A$2:$CP$214"}</definedName>
    <definedName name="wee" localSheetId="73" hidden="1">{"'előző év december'!$A$2:$CP$214"}</definedName>
    <definedName name="wee" localSheetId="74" hidden="1">{"'előző év december'!$A$2:$CP$214"}</definedName>
    <definedName name="wee" localSheetId="79" hidden="1">{"'előző év december'!$A$2:$CP$214"}</definedName>
    <definedName name="wee" localSheetId="80" hidden="1">{"'előző év december'!$A$2:$CP$214"}</definedName>
    <definedName name="wee" localSheetId="81" hidden="1">{"'előző év december'!$A$2:$CP$214"}</definedName>
    <definedName name="wee" localSheetId="97" hidden="1">{"'előző év december'!$A$2:$CP$214"}</definedName>
    <definedName name="wee" localSheetId="98" hidden="1">{"'előző év december'!$A$2:$CP$214"}</definedName>
    <definedName name="wee" localSheetId="99" hidden="1">{"'előző év december'!$A$2:$CP$214"}</definedName>
    <definedName name="wee" localSheetId="100" hidden="1">{"'előző év december'!$A$2:$CP$214"}</definedName>
    <definedName name="wee" localSheetId="101" hidden="1">{"'előző év december'!$A$2:$CP$214"}</definedName>
    <definedName name="wee" localSheetId="108" hidden="1">{"'előző év december'!$A$2:$CP$214"}</definedName>
    <definedName name="wee" localSheetId="115" hidden="1">{"'előző év december'!$A$2:$CP$214"}</definedName>
    <definedName name="wee" localSheetId="5" hidden="1">{"'előző év december'!$A$2:$CP$214"}</definedName>
    <definedName name="wee" localSheetId="7" hidden="1">{"'előző év december'!$A$2:$CP$214"}</definedName>
    <definedName name="wee" localSheetId="8" hidden="1">{"'előző év december'!$A$2:$CP$214"}</definedName>
    <definedName name="wee" localSheetId="9" hidden="1">{"'előző év december'!$A$2:$CP$214"}</definedName>
    <definedName name="wee" localSheetId="10" hidden="1">{"'előző év december'!$A$2:$CP$214"}</definedName>
    <definedName name="wee" localSheetId="14" hidden="1">{"'előző év december'!$A$2:$CP$214"}</definedName>
    <definedName name="wee" localSheetId="18" hidden="1">{"'előző év december'!$A$2:$CP$214"}</definedName>
    <definedName name="wee" localSheetId="19" hidden="1">{"'előző év december'!$A$2:$CP$214"}</definedName>
    <definedName name="wee" localSheetId="21" hidden="1">{"'előző év december'!$A$2:$CP$214"}</definedName>
    <definedName name="wee" localSheetId="23" hidden="1">{"'előző év december'!$A$2:$CP$214"}</definedName>
    <definedName name="wee" localSheetId="24" hidden="1">{"'előző év december'!$A$2:$CP$214"}</definedName>
    <definedName name="wee" localSheetId="25" hidden="1">{"'előző év december'!$A$2:$CP$214"}</definedName>
    <definedName name="wee" localSheetId="27" hidden="1">{"'előző év december'!$A$2:$CP$214"}</definedName>
    <definedName name="wee" localSheetId="30" hidden="1">{"'előző év december'!$A$2:$CP$214"}</definedName>
    <definedName name="wee" localSheetId="33" hidden="1">{"'előző év december'!$A$2:$CP$214"}</definedName>
    <definedName name="wee" localSheetId="34" hidden="1">{"'előző év december'!$A$2:$CP$214"}</definedName>
    <definedName name="wee" localSheetId="35" hidden="1">{"'előző év december'!$A$2:$CP$214"}</definedName>
    <definedName name="wee" localSheetId="36" hidden="1">{"'előző év december'!$A$2:$CP$214"}</definedName>
    <definedName name="wee" localSheetId="37" hidden="1">{"'előző év december'!$A$2:$CP$214"}</definedName>
    <definedName name="wee" localSheetId="38" hidden="1">{"'előző év december'!$A$2:$CP$214"}</definedName>
    <definedName name="wee" localSheetId="39" hidden="1">{"'előző év december'!$A$2:$CP$214"}</definedName>
    <definedName name="wee" localSheetId="40" hidden="1">{"'előző év december'!$A$2:$CP$214"}</definedName>
    <definedName name="wee" hidden="1">{"'előző év december'!$A$2:$CP$214"}</definedName>
    <definedName name="werwer" localSheetId="50" hidden="1">{"'előző év december'!$A$2:$CP$214"}</definedName>
    <definedName name="werwer" localSheetId="56" hidden="1">{"'előző év december'!$A$2:$CP$214"}</definedName>
    <definedName name="werwer" localSheetId="57" hidden="1">{"'előző év december'!$A$2:$CP$214"}</definedName>
    <definedName name="werwer" localSheetId="58" hidden="1">{"'előző év december'!$A$2:$CP$214"}</definedName>
    <definedName name="werwer" localSheetId="59" hidden="1">{"'előző év december'!$A$2:$CP$214"}</definedName>
    <definedName name="werwer" localSheetId="62" hidden="1">{"'előző év december'!$A$2:$CP$214"}</definedName>
    <definedName name="werwer" localSheetId="70" hidden="1">{"'előző év december'!$A$2:$CP$214"}</definedName>
    <definedName name="werwer" localSheetId="71" hidden="1">{"'előző év december'!$A$2:$CP$214"}</definedName>
    <definedName name="werwer" localSheetId="72" hidden="1">{"'előző év december'!$A$2:$CP$214"}</definedName>
    <definedName name="werwer" localSheetId="73" hidden="1">{"'előző év december'!$A$2:$CP$214"}</definedName>
    <definedName name="werwer" localSheetId="74" hidden="1">{"'előző év december'!$A$2:$CP$214"}</definedName>
    <definedName name="werwer" localSheetId="79" hidden="1">{"'előző év december'!$A$2:$CP$214"}</definedName>
    <definedName name="werwer" localSheetId="80" hidden="1">{"'előző év december'!$A$2:$CP$214"}</definedName>
    <definedName name="werwer" localSheetId="81" hidden="1">{"'előző év december'!$A$2:$CP$214"}</definedName>
    <definedName name="werwer" localSheetId="97" hidden="1">{"'előző év december'!$A$2:$CP$214"}</definedName>
    <definedName name="werwer" localSheetId="98" hidden="1">{"'előző év december'!$A$2:$CP$214"}</definedName>
    <definedName name="werwer" localSheetId="99" hidden="1">{"'előző év december'!$A$2:$CP$214"}</definedName>
    <definedName name="werwer" localSheetId="100" hidden="1">{"'előző év december'!$A$2:$CP$214"}</definedName>
    <definedName name="werwer" localSheetId="101" hidden="1">{"'előző év december'!$A$2:$CP$214"}</definedName>
    <definedName name="werwer" localSheetId="108" hidden="1">{"'előző év december'!$A$2:$CP$214"}</definedName>
    <definedName name="werwer" localSheetId="115" hidden="1">{"'előző év december'!$A$2:$CP$214"}</definedName>
    <definedName name="werwer" localSheetId="5" hidden="1">{"'előző év december'!$A$2:$CP$214"}</definedName>
    <definedName name="werwer" localSheetId="7" hidden="1">{"'előző év december'!$A$2:$CP$214"}</definedName>
    <definedName name="werwer" localSheetId="8" hidden="1">{"'előző év december'!$A$2:$CP$214"}</definedName>
    <definedName name="werwer" localSheetId="9" hidden="1">{"'előző év december'!$A$2:$CP$214"}</definedName>
    <definedName name="werwer" localSheetId="10" hidden="1">{"'előző év december'!$A$2:$CP$214"}</definedName>
    <definedName name="werwer" localSheetId="14" hidden="1">{"'előző év december'!$A$2:$CP$214"}</definedName>
    <definedName name="werwer" localSheetId="18" hidden="1">{"'előző év december'!$A$2:$CP$214"}</definedName>
    <definedName name="werwer" localSheetId="19" hidden="1">{"'előző év december'!$A$2:$CP$214"}</definedName>
    <definedName name="werwer" localSheetId="21" hidden="1">{"'előző év december'!$A$2:$CP$214"}</definedName>
    <definedName name="werwer" localSheetId="23" hidden="1">{"'előző év december'!$A$2:$CP$214"}</definedName>
    <definedName name="werwer" localSheetId="24" hidden="1">{"'előző év december'!$A$2:$CP$214"}</definedName>
    <definedName name="werwer" localSheetId="25" hidden="1">{"'előző év december'!$A$2:$CP$214"}</definedName>
    <definedName name="werwer" localSheetId="27" hidden="1">{"'előző év december'!$A$2:$CP$214"}</definedName>
    <definedName name="werwer" localSheetId="30" hidden="1">{"'előző év december'!$A$2:$CP$214"}</definedName>
    <definedName name="werwer" localSheetId="33" hidden="1">{"'előző év december'!$A$2:$CP$214"}</definedName>
    <definedName name="werwer" localSheetId="34" hidden="1">{"'előző év december'!$A$2:$CP$214"}</definedName>
    <definedName name="werwer" localSheetId="35" hidden="1">{"'előző év december'!$A$2:$CP$214"}</definedName>
    <definedName name="werwer" localSheetId="36" hidden="1">{"'előző év december'!$A$2:$CP$214"}</definedName>
    <definedName name="werwer" localSheetId="37" hidden="1">{"'előző év december'!$A$2:$CP$214"}</definedName>
    <definedName name="werwer" localSheetId="38" hidden="1">{"'előző év december'!$A$2:$CP$214"}</definedName>
    <definedName name="werwer" localSheetId="39" hidden="1">{"'előző év december'!$A$2:$CP$214"}</definedName>
    <definedName name="werwer" localSheetId="40" hidden="1">{"'előző év december'!$A$2:$CP$214"}</definedName>
    <definedName name="werwer" hidden="1">{"'előző év december'!$A$2:$CP$214"}</definedName>
    <definedName name="wrn.1993_2002." localSheetId="50" hidden="1">{"1993_2002",#N/A,FALSE,"UnderlyingData"}</definedName>
    <definedName name="wrn.1993_2002." localSheetId="55" hidden="1">{"1993_2002",#N/A,FALSE,"UnderlyingData"}</definedName>
    <definedName name="wrn.1993_2002." localSheetId="56" hidden="1">{"1993_2002",#N/A,FALSE,"UnderlyingData"}</definedName>
    <definedName name="wrn.1993_2002." localSheetId="57" hidden="1">{"1993_2002",#N/A,FALSE,"UnderlyingData"}</definedName>
    <definedName name="wrn.1993_2002." localSheetId="58" hidden="1">{"1993_2002",#N/A,FALSE,"UnderlyingData"}</definedName>
    <definedName name="wrn.1993_2002." localSheetId="59" hidden="1">{"1993_2002",#N/A,FALSE,"UnderlyingData"}</definedName>
    <definedName name="wrn.1993_2002." localSheetId="62" hidden="1">{"1993_2002",#N/A,FALSE,"UnderlyingData"}</definedName>
    <definedName name="wrn.1993_2002." localSheetId="70" hidden="1">{"1993_2002",#N/A,FALSE,"UnderlyingData"}</definedName>
    <definedName name="wrn.1993_2002." localSheetId="71" hidden="1">{"1993_2002",#N/A,FALSE,"UnderlyingData"}</definedName>
    <definedName name="wrn.1993_2002." localSheetId="72" hidden="1">{"1993_2002",#N/A,FALSE,"UnderlyingData"}</definedName>
    <definedName name="wrn.1993_2002." localSheetId="73" hidden="1">{"1993_2002",#N/A,FALSE,"UnderlyingData"}</definedName>
    <definedName name="wrn.1993_2002." localSheetId="74" hidden="1">{"1993_2002",#N/A,FALSE,"UnderlyingData"}</definedName>
    <definedName name="wrn.1993_2002." localSheetId="75" hidden="1">{"1993_2002",#N/A,FALSE,"UnderlyingData"}</definedName>
    <definedName name="wrn.1993_2002." localSheetId="76" hidden="1">{"1993_2002",#N/A,FALSE,"UnderlyingData"}</definedName>
    <definedName name="wrn.1993_2002." localSheetId="79" hidden="1">{"1993_2002",#N/A,FALSE,"UnderlyingData"}</definedName>
    <definedName name="wrn.1993_2002." localSheetId="80" hidden="1">{"1993_2002",#N/A,FALSE,"UnderlyingData"}</definedName>
    <definedName name="wrn.1993_2002." localSheetId="81" hidden="1">{"1993_2002",#N/A,FALSE,"UnderlyingData"}</definedName>
    <definedName name="wrn.1993_2002." localSheetId="83" hidden="1">{"1993_2002",#N/A,FALSE,"UnderlyingData"}</definedName>
    <definedName name="wrn.1993_2002." localSheetId="97" hidden="1">{"1993_2002",#N/A,FALSE,"UnderlyingData"}</definedName>
    <definedName name="wrn.1993_2002." localSheetId="98" hidden="1">{"1993_2002",#N/A,FALSE,"UnderlyingData"}</definedName>
    <definedName name="wrn.1993_2002." localSheetId="99" hidden="1">{"1993_2002",#N/A,FALSE,"UnderlyingData"}</definedName>
    <definedName name="wrn.1993_2002." localSheetId="100" hidden="1">{"1993_2002",#N/A,FALSE,"UnderlyingData"}</definedName>
    <definedName name="wrn.1993_2002." localSheetId="101" hidden="1">{"1993_2002",#N/A,FALSE,"UnderlyingData"}</definedName>
    <definedName name="wrn.1993_2002." localSheetId="108" hidden="1">{"1993_2002",#N/A,FALSE,"UnderlyingData"}</definedName>
    <definedName name="wrn.1993_2002." localSheetId="115" hidden="1">{"1993_2002",#N/A,FALSE,"UnderlyingData"}</definedName>
    <definedName name="wrn.1993_2002." localSheetId="5" hidden="1">{"1993_2002",#N/A,FALSE,"UnderlyingData"}</definedName>
    <definedName name="wrn.1993_2002." localSheetId="7" hidden="1">{"1993_2002",#N/A,FALSE,"UnderlyingData"}</definedName>
    <definedName name="wrn.1993_2002." localSheetId="8" hidden="1">{"1993_2002",#N/A,FALSE,"UnderlyingData"}</definedName>
    <definedName name="wrn.1993_2002." localSheetId="9" hidden="1">{"1993_2002",#N/A,FALSE,"UnderlyingData"}</definedName>
    <definedName name="wrn.1993_2002." localSheetId="10" hidden="1">{"1993_2002",#N/A,FALSE,"UnderlyingData"}</definedName>
    <definedName name="wrn.1993_2002." localSheetId="14" hidden="1">{"1993_2002",#N/A,FALSE,"UnderlyingData"}</definedName>
    <definedName name="wrn.1993_2002." localSheetId="19" hidden="1">{"1993_2002",#N/A,FALSE,"UnderlyingData"}</definedName>
    <definedName name="wrn.1993_2002." localSheetId="21" hidden="1">{"1993_2002",#N/A,FALSE,"UnderlyingData"}</definedName>
    <definedName name="wrn.1993_2002." localSheetId="23" hidden="1">{"1993_2002",#N/A,FALSE,"UnderlyingData"}</definedName>
    <definedName name="wrn.1993_2002." localSheetId="24" hidden="1">{"1993_2002",#N/A,FALSE,"UnderlyingData"}</definedName>
    <definedName name="wrn.1993_2002." localSheetId="25" hidden="1">{"1993_2002",#N/A,FALSE,"UnderlyingData"}</definedName>
    <definedName name="wrn.1993_2002." localSheetId="27" hidden="1">{"1993_2002",#N/A,FALSE,"UnderlyingData"}</definedName>
    <definedName name="wrn.1993_2002." localSheetId="30" hidden="1">{"1993_2002",#N/A,FALSE,"UnderlyingData"}</definedName>
    <definedName name="wrn.1993_2002." localSheetId="33" hidden="1">{"1993_2002",#N/A,FALSE,"UnderlyingData"}</definedName>
    <definedName name="wrn.1993_2002." localSheetId="34" hidden="1">{"1993_2002",#N/A,FALSE,"UnderlyingData"}</definedName>
    <definedName name="wrn.1993_2002." localSheetId="35" hidden="1">{"1993_2002",#N/A,FALSE,"UnderlyingData"}</definedName>
    <definedName name="wrn.1993_2002." localSheetId="36" hidden="1">{"1993_2002",#N/A,FALSE,"UnderlyingData"}</definedName>
    <definedName name="wrn.1993_2002." localSheetId="37" hidden="1">{"1993_2002",#N/A,FALSE,"UnderlyingData"}</definedName>
    <definedName name="wrn.1993_2002." localSheetId="38" hidden="1">{"1993_2002",#N/A,FALSE,"UnderlyingData"}</definedName>
    <definedName name="wrn.1993_2002." localSheetId="39" hidden="1">{"1993_2002",#N/A,FALSE,"UnderlyingData"}</definedName>
    <definedName name="wrn.1993_2002." localSheetId="40" hidden="1">{"1993_2002",#N/A,FALSE,"UnderlyingData"}</definedName>
    <definedName name="wrn.1993_2002." hidden="1">{"1993_2002",#N/A,FALSE,"UnderlyingData"}</definedName>
    <definedName name="wrn.a11._.general._.government." localSheetId="50" hidden="1">{"a11 general government",#N/A,FALSE,"RED Tables"}</definedName>
    <definedName name="wrn.a11._.general._.government." localSheetId="55" hidden="1">{"a11 general government",#N/A,FALSE,"RED Tables"}</definedName>
    <definedName name="wrn.a11._.general._.government." localSheetId="56" hidden="1">{"a11 general government",#N/A,FALSE,"RED Tables"}</definedName>
    <definedName name="wrn.a11._.general._.government." localSheetId="57" hidden="1">{"a11 general government",#N/A,FALSE,"RED Tables"}</definedName>
    <definedName name="wrn.a11._.general._.government." localSheetId="58" hidden="1">{"a11 general government",#N/A,FALSE,"RED Tables"}</definedName>
    <definedName name="wrn.a11._.general._.government." localSheetId="59" hidden="1">{"a11 general government",#N/A,FALSE,"RED Tables"}</definedName>
    <definedName name="wrn.a11._.general._.government." localSheetId="62" hidden="1">{"a11 general government",#N/A,FALSE,"RED Tables"}</definedName>
    <definedName name="wrn.a11._.general._.government." localSheetId="70" hidden="1">{"a11 general government",#N/A,FALSE,"RED Tables"}</definedName>
    <definedName name="wrn.a11._.general._.government." localSheetId="71" hidden="1">{"a11 general government",#N/A,FALSE,"RED Tables"}</definedName>
    <definedName name="wrn.a11._.general._.government." localSheetId="72" hidden="1">{"a11 general government",#N/A,FALSE,"RED Tables"}</definedName>
    <definedName name="wrn.a11._.general._.government." localSheetId="73" hidden="1">{"a11 general government",#N/A,FALSE,"RED Tables"}</definedName>
    <definedName name="wrn.a11._.general._.government." localSheetId="74" hidden="1">{"a11 general government",#N/A,FALSE,"RED Tables"}</definedName>
    <definedName name="wrn.a11._.general._.government." localSheetId="75" hidden="1">{"a11 general government",#N/A,FALSE,"RED Tables"}</definedName>
    <definedName name="wrn.a11._.general._.government." localSheetId="76" hidden="1">{"a11 general government",#N/A,FALSE,"RED Tables"}</definedName>
    <definedName name="wrn.a11._.general._.government." localSheetId="79" hidden="1">{"a11 general government",#N/A,FALSE,"RED Tables"}</definedName>
    <definedName name="wrn.a11._.general._.government." localSheetId="80" hidden="1">{"a11 general government",#N/A,FALSE,"RED Tables"}</definedName>
    <definedName name="wrn.a11._.general._.government." localSheetId="81" hidden="1">{"a11 general government",#N/A,FALSE,"RED Tables"}</definedName>
    <definedName name="wrn.a11._.general._.government." localSheetId="83" hidden="1">{"a11 general government",#N/A,FALSE,"RED Tables"}</definedName>
    <definedName name="wrn.a11._.general._.government." localSheetId="97" hidden="1">{"a11 general government",#N/A,FALSE,"RED Tables"}</definedName>
    <definedName name="wrn.a11._.general._.government." localSheetId="98" hidden="1">{"a11 general government",#N/A,FALSE,"RED Tables"}</definedName>
    <definedName name="wrn.a11._.general._.government." localSheetId="99" hidden="1">{"a11 general government",#N/A,FALSE,"RED Tables"}</definedName>
    <definedName name="wrn.a11._.general._.government." localSheetId="100" hidden="1">{"a11 general government",#N/A,FALSE,"RED Tables"}</definedName>
    <definedName name="wrn.a11._.general._.government." localSheetId="101" hidden="1">{"a11 general government",#N/A,FALSE,"RED Tables"}</definedName>
    <definedName name="wrn.a11._.general._.government." localSheetId="108" hidden="1">{"a11 general government",#N/A,FALSE,"RED Tables"}</definedName>
    <definedName name="wrn.a11._.general._.government." localSheetId="115" hidden="1">{"a11 general government",#N/A,FALSE,"RED Tables"}</definedName>
    <definedName name="wrn.a11._.general._.government." localSheetId="5" hidden="1">{"a11 general government",#N/A,FALSE,"RED Tables"}</definedName>
    <definedName name="wrn.a11._.general._.government." localSheetId="7" hidden="1">{"a11 general government",#N/A,FALSE,"RED Tables"}</definedName>
    <definedName name="wrn.a11._.general._.government." localSheetId="8" hidden="1">{"a11 general government",#N/A,FALSE,"RED Tables"}</definedName>
    <definedName name="wrn.a11._.general._.government." localSheetId="9" hidden="1">{"a11 general government",#N/A,FALSE,"RED Tables"}</definedName>
    <definedName name="wrn.a11._.general._.government." localSheetId="10" hidden="1">{"a11 general government",#N/A,FALSE,"RED Tables"}</definedName>
    <definedName name="wrn.a11._.general._.government." localSheetId="14" hidden="1">{"a11 general government",#N/A,FALSE,"RED Tables"}</definedName>
    <definedName name="wrn.a11._.general._.government." localSheetId="19" hidden="1">{"a11 general government",#N/A,FALSE,"RED Tables"}</definedName>
    <definedName name="wrn.a11._.general._.government." localSheetId="21" hidden="1">{"a11 general government",#N/A,FALSE,"RED Tables"}</definedName>
    <definedName name="wrn.a11._.general._.government." localSheetId="23" hidden="1">{"a11 general government",#N/A,FALSE,"RED Tables"}</definedName>
    <definedName name="wrn.a11._.general._.government." localSheetId="24" hidden="1">{"a11 general government",#N/A,FALSE,"RED Tables"}</definedName>
    <definedName name="wrn.a11._.general._.government." localSheetId="25" hidden="1">{"a11 general government",#N/A,FALSE,"RED Tables"}</definedName>
    <definedName name="wrn.a11._.general._.government." localSheetId="27" hidden="1">{"a11 general government",#N/A,FALSE,"RED Tables"}</definedName>
    <definedName name="wrn.a11._.general._.government." localSheetId="30" hidden="1">{"a11 general government",#N/A,FALSE,"RED Tables"}</definedName>
    <definedName name="wrn.a11._.general._.government." localSheetId="33" hidden="1">{"a11 general government",#N/A,FALSE,"RED Tables"}</definedName>
    <definedName name="wrn.a11._.general._.government." localSheetId="34" hidden="1">{"a11 general government",#N/A,FALSE,"RED Tables"}</definedName>
    <definedName name="wrn.a11._.general._.government." localSheetId="35" hidden="1">{"a11 general government",#N/A,FALSE,"RED Tables"}</definedName>
    <definedName name="wrn.a11._.general._.government." localSheetId="36" hidden="1">{"a11 general government",#N/A,FALSE,"RED Tables"}</definedName>
    <definedName name="wrn.a11._.general._.government." localSheetId="37" hidden="1">{"a11 general government",#N/A,FALSE,"RED Tables"}</definedName>
    <definedName name="wrn.a11._.general._.government." localSheetId="38" hidden="1">{"a11 general government",#N/A,FALSE,"RED Tables"}</definedName>
    <definedName name="wrn.a11._.general._.government." localSheetId="39" hidden="1">{"a11 general government",#N/A,FALSE,"RED Tables"}</definedName>
    <definedName name="wrn.a11._.general._.government." localSheetId="40" hidden="1">{"a11 general government",#N/A,FALSE,"RED Tables"}</definedName>
    <definedName name="wrn.a11._.general._.government." hidden="1">{"a11 general government",#N/A,FALSE,"RED Tables"}</definedName>
    <definedName name="wrn.a12._.Federal._.Government." localSheetId="50" hidden="1">{"a12 Federal Government",#N/A,FALSE,"RED Tables"}</definedName>
    <definedName name="wrn.a12._.Federal._.Government." localSheetId="55" hidden="1">{"a12 Federal Government",#N/A,FALSE,"RED Tables"}</definedName>
    <definedName name="wrn.a12._.Federal._.Government." localSheetId="56" hidden="1">{"a12 Federal Government",#N/A,FALSE,"RED Tables"}</definedName>
    <definedName name="wrn.a12._.Federal._.Government." localSheetId="57" hidden="1">{"a12 Federal Government",#N/A,FALSE,"RED Tables"}</definedName>
    <definedName name="wrn.a12._.Federal._.Government." localSheetId="58" hidden="1">{"a12 Federal Government",#N/A,FALSE,"RED Tables"}</definedName>
    <definedName name="wrn.a12._.Federal._.Government." localSheetId="59" hidden="1">{"a12 Federal Government",#N/A,FALSE,"RED Tables"}</definedName>
    <definedName name="wrn.a12._.Federal._.Government." localSheetId="62" hidden="1">{"a12 Federal Government",#N/A,FALSE,"RED Tables"}</definedName>
    <definedName name="wrn.a12._.Federal._.Government." localSheetId="70" hidden="1">{"a12 Federal Government",#N/A,FALSE,"RED Tables"}</definedName>
    <definedName name="wrn.a12._.Federal._.Government." localSheetId="71" hidden="1">{"a12 Federal Government",#N/A,FALSE,"RED Tables"}</definedName>
    <definedName name="wrn.a12._.Federal._.Government." localSheetId="72" hidden="1">{"a12 Federal Government",#N/A,FALSE,"RED Tables"}</definedName>
    <definedName name="wrn.a12._.Federal._.Government." localSheetId="73" hidden="1">{"a12 Federal Government",#N/A,FALSE,"RED Tables"}</definedName>
    <definedName name="wrn.a12._.Federal._.Government." localSheetId="74" hidden="1">{"a12 Federal Government",#N/A,FALSE,"RED Tables"}</definedName>
    <definedName name="wrn.a12._.Federal._.Government." localSheetId="75" hidden="1">{"a12 Federal Government",#N/A,FALSE,"RED Tables"}</definedName>
    <definedName name="wrn.a12._.Federal._.Government." localSheetId="76" hidden="1">{"a12 Federal Government",#N/A,FALSE,"RED Tables"}</definedName>
    <definedName name="wrn.a12._.Federal._.Government." localSheetId="79" hidden="1">{"a12 Federal Government",#N/A,FALSE,"RED Tables"}</definedName>
    <definedName name="wrn.a12._.Federal._.Government." localSheetId="80" hidden="1">{"a12 Federal Government",#N/A,FALSE,"RED Tables"}</definedName>
    <definedName name="wrn.a12._.Federal._.Government." localSheetId="81" hidden="1">{"a12 Federal Government",#N/A,FALSE,"RED Tables"}</definedName>
    <definedName name="wrn.a12._.Federal._.Government." localSheetId="83" hidden="1">{"a12 Federal Government",#N/A,FALSE,"RED Tables"}</definedName>
    <definedName name="wrn.a12._.Federal._.Government." localSheetId="97" hidden="1">{"a12 Federal Government",#N/A,FALSE,"RED Tables"}</definedName>
    <definedName name="wrn.a12._.Federal._.Government." localSheetId="98" hidden="1">{"a12 Federal Government",#N/A,FALSE,"RED Tables"}</definedName>
    <definedName name="wrn.a12._.Federal._.Government." localSheetId="99" hidden="1">{"a12 Federal Government",#N/A,FALSE,"RED Tables"}</definedName>
    <definedName name="wrn.a12._.Federal._.Government." localSheetId="100" hidden="1">{"a12 Federal Government",#N/A,FALSE,"RED Tables"}</definedName>
    <definedName name="wrn.a12._.Federal._.Government." localSheetId="101" hidden="1">{"a12 Federal Government",#N/A,FALSE,"RED Tables"}</definedName>
    <definedName name="wrn.a12._.Federal._.Government." localSheetId="108" hidden="1">{"a12 Federal Government",#N/A,FALSE,"RED Tables"}</definedName>
    <definedName name="wrn.a12._.Federal._.Government." localSheetId="115" hidden="1">{"a12 Federal Government",#N/A,FALSE,"RED Tables"}</definedName>
    <definedName name="wrn.a12._.Federal._.Government." localSheetId="5" hidden="1">{"a12 Federal Government",#N/A,FALSE,"RED Tables"}</definedName>
    <definedName name="wrn.a12._.Federal._.Government." localSheetId="7" hidden="1">{"a12 Federal Government",#N/A,FALSE,"RED Tables"}</definedName>
    <definedName name="wrn.a12._.Federal._.Government." localSheetId="8" hidden="1">{"a12 Federal Government",#N/A,FALSE,"RED Tables"}</definedName>
    <definedName name="wrn.a12._.Federal._.Government." localSheetId="9" hidden="1">{"a12 Federal Government",#N/A,FALSE,"RED Tables"}</definedName>
    <definedName name="wrn.a12._.Federal._.Government." localSheetId="10" hidden="1">{"a12 Federal Government",#N/A,FALSE,"RED Tables"}</definedName>
    <definedName name="wrn.a12._.Federal._.Government." localSheetId="14" hidden="1">{"a12 Federal Government",#N/A,FALSE,"RED Tables"}</definedName>
    <definedName name="wrn.a12._.Federal._.Government." localSheetId="19" hidden="1">{"a12 Federal Government",#N/A,FALSE,"RED Tables"}</definedName>
    <definedName name="wrn.a12._.Federal._.Government." localSheetId="21" hidden="1">{"a12 Federal Government",#N/A,FALSE,"RED Tables"}</definedName>
    <definedName name="wrn.a12._.Federal._.Government." localSheetId="23" hidden="1">{"a12 Federal Government",#N/A,FALSE,"RED Tables"}</definedName>
    <definedName name="wrn.a12._.Federal._.Government." localSheetId="24" hidden="1">{"a12 Federal Government",#N/A,FALSE,"RED Tables"}</definedName>
    <definedName name="wrn.a12._.Federal._.Government." localSheetId="25" hidden="1">{"a12 Federal Government",#N/A,FALSE,"RED Tables"}</definedName>
    <definedName name="wrn.a12._.Federal._.Government." localSheetId="27" hidden="1">{"a12 Federal Government",#N/A,FALSE,"RED Tables"}</definedName>
    <definedName name="wrn.a12._.Federal._.Government." localSheetId="30" hidden="1">{"a12 Federal Government",#N/A,FALSE,"RED Tables"}</definedName>
    <definedName name="wrn.a12._.Federal._.Government." localSheetId="33" hidden="1">{"a12 Federal Government",#N/A,FALSE,"RED Tables"}</definedName>
    <definedName name="wrn.a12._.Federal._.Government." localSheetId="34" hidden="1">{"a12 Federal Government",#N/A,FALSE,"RED Tables"}</definedName>
    <definedName name="wrn.a12._.Federal._.Government." localSheetId="35" hidden="1">{"a12 Federal Government",#N/A,FALSE,"RED Tables"}</definedName>
    <definedName name="wrn.a12._.Federal._.Government." localSheetId="36" hidden="1">{"a12 Federal Government",#N/A,FALSE,"RED Tables"}</definedName>
    <definedName name="wrn.a12._.Federal._.Government." localSheetId="37" hidden="1">{"a12 Federal Government",#N/A,FALSE,"RED Tables"}</definedName>
    <definedName name="wrn.a12._.Federal._.Government." localSheetId="38" hidden="1">{"a12 Federal Government",#N/A,FALSE,"RED Tables"}</definedName>
    <definedName name="wrn.a12._.Federal._.Government." localSheetId="39" hidden="1">{"a12 Federal Government",#N/A,FALSE,"RED Tables"}</definedName>
    <definedName name="wrn.a12._.Federal._.Government." localSheetId="40" hidden="1">{"a12 Federal Government",#N/A,FALSE,"RED Tables"}</definedName>
    <definedName name="wrn.a12._.Federal._.Government." hidden="1">{"a12 Federal Government",#N/A,FALSE,"RED Tables"}</definedName>
    <definedName name="wrn.a13._.social._.security." localSheetId="50" hidden="1">{"a13 social security",#N/A,FALSE,"RED Tables"}</definedName>
    <definedName name="wrn.a13._.social._.security." localSheetId="55" hidden="1">{"a13 social security",#N/A,FALSE,"RED Tables"}</definedName>
    <definedName name="wrn.a13._.social._.security." localSheetId="56" hidden="1">{"a13 social security",#N/A,FALSE,"RED Tables"}</definedName>
    <definedName name="wrn.a13._.social._.security." localSheetId="57" hidden="1">{"a13 social security",#N/A,FALSE,"RED Tables"}</definedName>
    <definedName name="wrn.a13._.social._.security." localSheetId="58" hidden="1">{"a13 social security",#N/A,FALSE,"RED Tables"}</definedName>
    <definedName name="wrn.a13._.social._.security." localSheetId="59" hidden="1">{"a13 social security",#N/A,FALSE,"RED Tables"}</definedName>
    <definedName name="wrn.a13._.social._.security." localSheetId="62" hidden="1">{"a13 social security",#N/A,FALSE,"RED Tables"}</definedName>
    <definedName name="wrn.a13._.social._.security." localSheetId="70" hidden="1">{"a13 social security",#N/A,FALSE,"RED Tables"}</definedName>
    <definedName name="wrn.a13._.social._.security." localSheetId="71" hidden="1">{"a13 social security",#N/A,FALSE,"RED Tables"}</definedName>
    <definedName name="wrn.a13._.social._.security." localSheetId="72" hidden="1">{"a13 social security",#N/A,FALSE,"RED Tables"}</definedName>
    <definedName name="wrn.a13._.social._.security." localSheetId="73" hidden="1">{"a13 social security",#N/A,FALSE,"RED Tables"}</definedName>
    <definedName name="wrn.a13._.social._.security." localSheetId="74" hidden="1">{"a13 social security",#N/A,FALSE,"RED Tables"}</definedName>
    <definedName name="wrn.a13._.social._.security." localSheetId="75" hidden="1">{"a13 social security",#N/A,FALSE,"RED Tables"}</definedName>
    <definedName name="wrn.a13._.social._.security." localSheetId="76" hidden="1">{"a13 social security",#N/A,FALSE,"RED Tables"}</definedName>
    <definedName name="wrn.a13._.social._.security." localSheetId="79" hidden="1">{"a13 social security",#N/A,FALSE,"RED Tables"}</definedName>
    <definedName name="wrn.a13._.social._.security." localSheetId="80" hidden="1">{"a13 social security",#N/A,FALSE,"RED Tables"}</definedName>
    <definedName name="wrn.a13._.social._.security." localSheetId="81" hidden="1">{"a13 social security",#N/A,FALSE,"RED Tables"}</definedName>
    <definedName name="wrn.a13._.social._.security." localSheetId="83" hidden="1">{"a13 social security",#N/A,FALSE,"RED Tables"}</definedName>
    <definedName name="wrn.a13._.social._.security." localSheetId="97" hidden="1">{"a13 social security",#N/A,FALSE,"RED Tables"}</definedName>
    <definedName name="wrn.a13._.social._.security." localSheetId="98" hidden="1">{"a13 social security",#N/A,FALSE,"RED Tables"}</definedName>
    <definedName name="wrn.a13._.social._.security." localSheetId="99" hidden="1">{"a13 social security",#N/A,FALSE,"RED Tables"}</definedName>
    <definedName name="wrn.a13._.social._.security." localSheetId="100" hidden="1">{"a13 social security",#N/A,FALSE,"RED Tables"}</definedName>
    <definedName name="wrn.a13._.social._.security." localSheetId="101" hidden="1">{"a13 social security",#N/A,FALSE,"RED Tables"}</definedName>
    <definedName name="wrn.a13._.social._.security." localSheetId="108" hidden="1">{"a13 social security",#N/A,FALSE,"RED Tables"}</definedName>
    <definedName name="wrn.a13._.social._.security." localSheetId="115" hidden="1">{"a13 social security",#N/A,FALSE,"RED Tables"}</definedName>
    <definedName name="wrn.a13._.social._.security." localSheetId="5" hidden="1">{"a13 social security",#N/A,FALSE,"RED Tables"}</definedName>
    <definedName name="wrn.a13._.social._.security." localSheetId="7" hidden="1">{"a13 social security",#N/A,FALSE,"RED Tables"}</definedName>
    <definedName name="wrn.a13._.social._.security." localSheetId="8" hidden="1">{"a13 social security",#N/A,FALSE,"RED Tables"}</definedName>
    <definedName name="wrn.a13._.social._.security." localSheetId="9" hidden="1">{"a13 social security",#N/A,FALSE,"RED Tables"}</definedName>
    <definedName name="wrn.a13._.social._.security." localSheetId="10" hidden="1">{"a13 social security",#N/A,FALSE,"RED Tables"}</definedName>
    <definedName name="wrn.a13._.social._.security." localSheetId="14" hidden="1">{"a13 social security",#N/A,FALSE,"RED Tables"}</definedName>
    <definedName name="wrn.a13._.social._.security." localSheetId="19" hidden="1">{"a13 social security",#N/A,FALSE,"RED Tables"}</definedName>
    <definedName name="wrn.a13._.social._.security." localSheetId="21" hidden="1">{"a13 social security",#N/A,FALSE,"RED Tables"}</definedName>
    <definedName name="wrn.a13._.social._.security." localSheetId="23" hidden="1">{"a13 social security",#N/A,FALSE,"RED Tables"}</definedName>
    <definedName name="wrn.a13._.social._.security." localSheetId="24" hidden="1">{"a13 social security",#N/A,FALSE,"RED Tables"}</definedName>
    <definedName name="wrn.a13._.social._.security." localSheetId="25" hidden="1">{"a13 social security",#N/A,FALSE,"RED Tables"}</definedName>
    <definedName name="wrn.a13._.social._.security." localSheetId="27" hidden="1">{"a13 social security",#N/A,FALSE,"RED Tables"}</definedName>
    <definedName name="wrn.a13._.social._.security." localSheetId="30" hidden="1">{"a13 social security",#N/A,FALSE,"RED Tables"}</definedName>
    <definedName name="wrn.a13._.social._.security." localSheetId="33" hidden="1">{"a13 social security",#N/A,FALSE,"RED Tables"}</definedName>
    <definedName name="wrn.a13._.social._.security." localSheetId="34" hidden="1">{"a13 social security",#N/A,FALSE,"RED Tables"}</definedName>
    <definedName name="wrn.a13._.social._.security." localSheetId="35" hidden="1">{"a13 social security",#N/A,FALSE,"RED Tables"}</definedName>
    <definedName name="wrn.a13._.social._.security." localSheetId="36" hidden="1">{"a13 social security",#N/A,FALSE,"RED Tables"}</definedName>
    <definedName name="wrn.a13._.social._.security." localSheetId="37" hidden="1">{"a13 social security",#N/A,FALSE,"RED Tables"}</definedName>
    <definedName name="wrn.a13._.social._.security." localSheetId="38" hidden="1">{"a13 social security",#N/A,FALSE,"RED Tables"}</definedName>
    <definedName name="wrn.a13._.social._.security." localSheetId="39" hidden="1">{"a13 social security",#N/A,FALSE,"RED Tables"}</definedName>
    <definedName name="wrn.a13._.social._.security." localSheetId="40" hidden="1">{"a13 social security",#N/A,FALSE,"RED Tables"}</definedName>
    <definedName name="wrn.a13._.social._.security." hidden="1">{"a13 social security",#N/A,FALSE,"RED Tables"}</definedName>
    <definedName name="wrn.a14._.regions._.and._.communities." localSheetId="50" hidden="1">{"a14 regions and communities",#N/A,FALSE,"RED Tables"}</definedName>
    <definedName name="wrn.a14._.regions._.and._.communities." localSheetId="55" hidden="1">{"a14 regions and communities",#N/A,FALSE,"RED Tables"}</definedName>
    <definedName name="wrn.a14._.regions._.and._.communities." localSheetId="56" hidden="1">{"a14 regions and communities",#N/A,FALSE,"RED Tables"}</definedName>
    <definedName name="wrn.a14._.regions._.and._.communities." localSheetId="57" hidden="1">{"a14 regions and communities",#N/A,FALSE,"RED Tables"}</definedName>
    <definedName name="wrn.a14._.regions._.and._.communities." localSheetId="58" hidden="1">{"a14 regions and communities",#N/A,FALSE,"RED Tables"}</definedName>
    <definedName name="wrn.a14._.regions._.and._.communities." localSheetId="59" hidden="1">{"a14 regions and communities",#N/A,FALSE,"RED Tables"}</definedName>
    <definedName name="wrn.a14._.regions._.and._.communities." localSheetId="62" hidden="1">{"a14 regions and communities",#N/A,FALSE,"RED Tables"}</definedName>
    <definedName name="wrn.a14._.regions._.and._.communities." localSheetId="70" hidden="1">{"a14 regions and communities",#N/A,FALSE,"RED Tables"}</definedName>
    <definedName name="wrn.a14._.regions._.and._.communities." localSheetId="71" hidden="1">{"a14 regions and communities",#N/A,FALSE,"RED Tables"}</definedName>
    <definedName name="wrn.a14._.regions._.and._.communities." localSheetId="72" hidden="1">{"a14 regions and communities",#N/A,FALSE,"RED Tables"}</definedName>
    <definedName name="wrn.a14._.regions._.and._.communities." localSheetId="73" hidden="1">{"a14 regions and communities",#N/A,FALSE,"RED Tables"}</definedName>
    <definedName name="wrn.a14._.regions._.and._.communities." localSheetId="74" hidden="1">{"a14 regions and communities",#N/A,FALSE,"RED Tables"}</definedName>
    <definedName name="wrn.a14._.regions._.and._.communities." localSheetId="75" hidden="1">{"a14 regions and communities",#N/A,FALSE,"RED Tables"}</definedName>
    <definedName name="wrn.a14._.regions._.and._.communities." localSheetId="76" hidden="1">{"a14 regions and communities",#N/A,FALSE,"RED Tables"}</definedName>
    <definedName name="wrn.a14._.regions._.and._.communities." localSheetId="79" hidden="1">{"a14 regions and communities",#N/A,FALSE,"RED Tables"}</definedName>
    <definedName name="wrn.a14._.regions._.and._.communities." localSheetId="80" hidden="1">{"a14 regions and communities",#N/A,FALSE,"RED Tables"}</definedName>
    <definedName name="wrn.a14._.regions._.and._.communities." localSheetId="81" hidden="1">{"a14 regions and communities",#N/A,FALSE,"RED Tables"}</definedName>
    <definedName name="wrn.a14._.regions._.and._.communities." localSheetId="83" hidden="1">{"a14 regions and communities",#N/A,FALSE,"RED Tables"}</definedName>
    <definedName name="wrn.a14._.regions._.and._.communities." localSheetId="97" hidden="1">{"a14 regions and communities",#N/A,FALSE,"RED Tables"}</definedName>
    <definedName name="wrn.a14._.regions._.and._.communities." localSheetId="98" hidden="1">{"a14 regions and communities",#N/A,FALSE,"RED Tables"}</definedName>
    <definedName name="wrn.a14._.regions._.and._.communities." localSheetId="99" hidden="1">{"a14 regions and communities",#N/A,FALSE,"RED Tables"}</definedName>
    <definedName name="wrn.a14._.regions._.and._.communities." localSheetId="100" hidden="1">{"a14 regions and communities",#N/A,FALSE,"RED Tables"}</definedName>
    <definedName name="wrn.a14._.regions._.and._.communities." localSheetId="101" hidden="1">{"a14 regions and communities",#N/A,FALSE,"RED Tables"}</definedName>
    <definedName name="wrn.a14._.regions._.and._.communities." localSheetId="108" hidden="1">{"a14 regions and communities",#N/A,FALSE,"RED Tables"}</definedName>
    <definedName name="wrn.a14._.regions._.and._.communities." localSheetId="115" hidden="1">{"a14 regions and communities",#N/A,FALSE,"RED Tables"}</definedName>
    <definedName name="wrn.a14._.regions._.and._.communities." localSheetId="5" hidden="1">{"a14 regions and communities",#N/A,FALSE,"RED Tables"}</definedName>
    <definedName name="wrn.a14._.regions._.and._.communities." localSheetId="7" hidden="1">{"a14 regions and communities",#N/A,FALSE,"RED Tables"}</definedName>
    <definedName name="wrn.a14._.regions._.and._.communities." localSheetId="8" hidden="1">{"a14 regions and communities",#N/A,FALSE,"RED Tables"}</definedName>
    <definedName name="wrn.a14._.regions._.and._.communities." localSheetId="9" hidden="1">{"a14 regions and communities",#N/A,FALSE,"RED Tables"}</definedName>
    <definedName name="wrn.a14._.regions._.and._.communities." localSheetId="10" hidden="1">{"a14 regions and communities",#N/A,FALSE,"RED Tables"}</definedName>
    <definedName name="wrn.a14._.regions._.and._.communities." localSheetId="14" hidden="1">{"a14 regions and communities",#N/A,FALSE,"RED Tables"}</definedName>
    <definedName name="wrn.a14._.regions._.and._.communities." localSheetId="19" hidden="1">{"a14 regions and communities",#N/A,FALSE,"RED Tables"}</definedName>
    <definedName name="wrn.a14._.regions._.and._.communities." localSheetId="21" hidden="1">{"a14 regions and communities",#N/A,FALSE,"RED Tables"}</definedName>
    <definedName name="wrn.a14._.regions._.and._.communities." localSheetId="23" hidden="1">{"a14 regions and communities",#N/A,FALSE,"RED Tables"}</definedName>
    <definedName name="wrn.a14._.regions._.and._.communities." localSheetId="24" hidden="1">{"a14 regions and communities",#N/A,FALSE,"RED Tables"}</definedName>
    <definedName name="wrn.a14._.regions._.and._.communities." localSheetId="25" hidden="1">{"a14 regions and communities",#N/A,FALSE,"RED Tables"}</definedName>
    <definedName name="wrn.a14._.regions._.and._.communities." localSheetId="27" hidden="1">{"a14 regions and communities",#N/A,FALSE,"RED Tables"}</definedName>
    <definedName name="wrn.a14._.regions._.and._.communities." localSheetId="30" hidden="1">{"a14 regions and communities",#N/A,FALSE,"RED Tables"}</definedName>
    <definedName name="wrn.a14._.regions._.and._.communities." localSheetId="33" hidden="1">{"a14 regions and communities",#N/A,FALSE,"RED Tables"}</definedName>
    <definedName name="wrn.a14._.regions._.and._.communities." localSheetId="34" hidden="1">{"a14 regions and communities",#N/A,FALSE,"RED Tables"}</definedName>
    <definedName name="wrn.a14._.regions._.and._.communities." localSheetId="35" hidden="1">{"a14 regions and communities",#N/A,FALSE,"RED Tables"}</definedName>
    <definedName name="wrn.a14._.regions._.and._.communities." localSheetId="36" hidden="1">{"a14 regions and communities",#N/A,FALSE,"RED Tables"}</definedName>
    <definedName name="wrn.a14._.regions._.and._.communities." localSheetId="37" hidden="1">{"a14 regions and communities",#N/A,FALSE,"RED Tables"}</definedName>
    <definedName name="wrn.a14._.regions._.and._.communities." localSheetId="38" hidden="1">{"a14 regions and communities",#N/A,FALSE,"RED Tables"}</definedName>
    <definedName name="wrn.a14._.regions._.and._.communities." localSheetId="39" hidden="1">{"a14 regions and communities",#N/A,FALSE,"RED Tables"}</definedName>
    <definedName name="wrn.a14._.regions._.and._.communities." localSheetId="40" hidden="1">{"a14 regions and communities",#N/A,FALSE,"RED Tables"}</definedName>
    <definedName name="wrn.a14._.regions._.and._.communities." hidden="1">{"a14 regions and communities",#N/A,FALSE,"RED Tables"}</definedName>
    <definedName name="wrn.a15._.local._.governments." localSheetId="50" hidden="1">{"a15 local governments",#N/A,FALSE,"RED Tables"}</definedName>
    <definedName name="wrn.a15._.local._.governments." localSheetId="55" hidden="1">{"a15 local governments",#N/A,FALSE,"RED Tables"}</definedName>
    <definedName name="wrn.a15._.local._.governments." localSheetId="56" hidden="1">{"a15 local governments",#N/A,FALSE,"RED Tables"}</definedName>
    <definedName name="wrn.a15._.local._.governments." localSheetId="57" hidden="1">{"a15 local governments",#N/A,FALSE,"RED Tables"}</definedName>
    <definedName name="wrn.a15._.local._.governments." localSheetId="58" hidden="1">{"a15 local governments",#N/A,FALSE,"RED Tables"}</definedName>
    <definedName name="wrn.a15._.local._.governments." localSheetId="59" hidden="1">{"a15 local governments",#N/A,FALSE,"RED Tables"}</definedName>
    <definedName name="wrn.a15._.local._.governments." localSheetId="62" hidden="1">{"a15 local governments",#N/A,FALSE,"RED Tables"}</definedName>
    <definedName name="wrn.a15._.local._.governments." localSheetId="70" hidden="1">{"a15 local governments",#N/A,FALSE,"RED Tables"}</definedName>
    <definedName name="wrn.a15._.local._.governments." localSheetId="71" hidden="1">{"a15 local governments",#N/A,FALSE,"RED Tables"}</definedName>
    <definedName name="wrn.a15._.local._.governments." localSheetId="72" hidden="1">{"a15 local governments",#N/A,FALSE,"RED Tables"}</definedName>
    <definedName name="wrn.a15._.local._.governments." localSheetId="73" hidden="1">{"a15 local governments",#N/A,FALSE,"RED Tables"}</definedName>
    <definedName name="wrn.a15._.local._.governments." localSheetId="74" hidden="1">{"a15 local governments",#N/A,FALSE,"RED Tables"}</definedName>
    <definedName name="wrn.a15._.local._.governments." localSheetId="75" hidden="1">{"a15 local governments",#N/A,FALSE,"RED Tables"}</definedName>
    <definedName name="wrn.a15._.local._.governments." localSheetId="76" hidden="1">{"a15 local governments",#N/A,FALSE,"RED Tables"}</definedName>
    <definedName name="wrn.a15._.local._.governments." localSheetId="79" hidden="1">{"a15 local governments",#N/A,FALSE,"RED Tables"}</definedName>
    <definedName name="wrn.a15._.local._.governments." localSheetId="80" hidden="1">{"a15 local governments",#N/A,FALSE,"RED Tables"}</definedName>
    <definedName name="wrn.a15._.local._.governments." localSheetId="81" hidden="1">{"a15 local governments",#N/A,FALSE,"RED Tables"}</definedName>
    <definedName name="wrn.a15._.local._.governments." localSheetId="83" hidden="1">{"a15 local governments",#N/A,FALSE,"RED Tables"}</definedName>
    <definedName name="wrn.a15._.local._.governments." localSheetId="97" hidden="1">{"a15 local governments",#N/A,FALSE,"RED Tables"}</definedName>
    <definedName name="wrn.a15._.local._.governments." localSheetId="98" hidden="1">{"a15 local governments",#N/A,FALSE,"RED Tables"}</definedName>
    <definedName name="wrn.a15._.local._.governments." localSheetId="99" hidden="1">{"a15 local governments",#N/A,FALSE,"RED Tables"}</definedName>
    <definedName name="wrn.a15._.local._.governments." localSheetId="100" hidden="1">{"a15 local governments",#N/A,FALSE,"RED Tables"}</definedName>
    <definedName name="wrn.a15._.local._.governments." localSheetId="101" hidden="1">{"a15 local governments",#N/A,FALSE,"RED Tables"}</definedName>
    <definedName name="wrn.a15._.local._.governments." localSheetId="108" hidden="1">{"a15 local governments",#N/A,FALSE,"RED Tables"}</definedName>
    <definedName name="wrn.a15._.local._.governments." localSheetId="115" hidden="1">{"a15 local governments",#N/A,FALSE,"RED Tables"}</definedName>
    <definedName name="wrn.a15._.local._.governments." localSheetId="5" hidden="1">{"a15 local governments",#N/A,FALSE,"RED Tables"}</definedName>
    <definedName name="wrn.a15._.local._.governments." localSheetId="7" hidden="1">{"a15 local governments",#N/A,FALSE,"RED Tables"}</definedName>
    <definedName name="wrn.a15._.local._.governments." localSheetId="8" hidden="1">{"a15 local governments",#N/A,FALSE,"RED Tables"}</definedName>
    <definedName name="wrn.a15._.local._.governments." localSheetId="9" hidden="1">{"a15 local governments",#N/A,FALSE,"RED Tables"}</definedName>
    <definedName name="wrn.a15._.local._.governments." localSheetId="10" hidden="1">{"a15 local governments",#N/A,FALSE,"RED Tables"}</definedName>
    <definedName name="wrn.a15._.local._.governments." localSheetId="14" hidden="1">{"a15 local governments",#N/A,FALSE,"RED Tables"}</definedName>
    <definedName name="wrn.a15._.local._.governments." localSheetId="19" hidden="1">{"a15 local governments",#N/A,FALSE,"RED Tables"}</definedName>
    <definedName name="wrn.a15._.local._.governments." localSheetId="21" hidden="1">{"a15 local governments",#N/A,FALSE,"RED Tables"}</definedName>
    <definedName name="wrn.a15._.local._.governments." localSheetId="23" hidden="1">{"a15 local governments",#N/A,FALSE,"RED Tables"}</definedName>
    <definedName name="wrn.a15._.local._.governments." localSheetId="24" hidden="1">{"a15 local governments",#N/A,FALSE,"RED Tables"}</definedName>
    <definedName name="wrn.a15._.local._.governments." localSheetId="25" hidden="1">{"a15 local governments",#N/A,FALSE,"RED Tables"}</definedName>
    <definedName name="wrn.a15._.local._.governments." localSheetId="27" hidden="1">{"a15 local governments",#N/A,FALSE,"RED Tables"}</definedName>
    <definedName name="wrn.a15._.local._.governments." localSheetId="30" hidden="1">{"a15 local governments",#N/A,FALSE,"RED Tables"}</definedName>
    <definedName name="wrn.a15._.local._.governments." localSheetId="33" hidden="1">{"a15 local governments",#N/A,FALSE,"RED Tables"}</definedName>
    <definedName name="wrn.a15._.local._.governments." localSheetId="34" hidden="1">{"a15 local governments",#N/A,FALSE,"RED Tables"}</definedName>
    <definedName name="wrn.a15._.local._.governments." localSheetId="35" hidden="1">{"a15 local governments",#N/A,FALSE,"RED Tables"}</definedName>
    <definedName name="wrn.a15._.local._.governments." localSheetId="36" hidden="1">{"a15 local governments",#N/A,FALSE,"RED Tables"}</definedName>
    <definedName name="wrn.a15._.local._.governments." localSheetId="37" hidden="1">{"a15 local governments",#N/A,FALSE,"RED Tables"}</definedName>
    <definedName name="wrn.a15._.local._.governments." localSheetId="38" hidden="1">{"a15 local governments",#N/A,FALSE,"RED Tables"}</definedName>
    <definedName name="wrn.a15._.local._.governments." localSheetId="39" hidden="1">{"a15 local governments",#N/A,FALSE,"RED Tables"}</definedName>
    <definedName name="wrn.a15._.local._.governments." localSheetId="40" hidden="1">{"a15 local governments",#N/A,FALSE,"RED Tables"}</definedName>
    <definedName name="wrn.a15._.local._.governments." hidden="1">{"a15 local governments",#N/A,FALSE,"RED Tables"}</definedName>
    <definedName name="wrn.BOP_MIDTERM." localSheetId="50" hidden="1">{"BOP_TAB",#N/A,FALSE,"N";"MIDTERM_TAB",#N/A,FALSE,"O"}</definedName>
    <definedName name="wrn.BOP_MIDTERM." localSheetId="55" hidden="1">{"BOP_TAB",#N/A,FALSE,"N";"MIDTERM_TAB",#N/A,FALSE,"O"}</definedName>
    <definedName name="wrn.BOP_MIDTERM." localSheetId="56" hidden="1">{"BOP_TAB",#N/A,FALSE,"N";"MIDTERM_TAB",#N/A,FALSE,"O"}</definedName>
    <definedName name="wrn.BOP_MIDTERM." localSheetId="57" hidden="1">{"BOP_TAB",#N/A,FALSE,"N";"MIDTERM_TAB",#N/A,FALSE,"O"}</definedName>
    <definedName name="wrn.BOP_MIDTERM." localSheetId="58" hidden="1">{"BOP_TAB",#N/A,FALSE,"N";"MIDTERM_TAB",#N/A,FALSE,"O"}</definedName>
    <definedName name="wrn.BOP_MIDTERM." localSheetId="59" hidden="1">{"BOP_TAB",#N/A,FALSE,"N";"MIDTERM_TAB",#N/A,FALSE,"O"}</definedName>
    <definedName name="wrn.BOP_MIDTERM." localSheetId="62" hidden="1">{"BOP_TAB",#N/A,FALSE,"N";"MIDTERM_TAB",#N/A,FALSE,"O"}</definedName>
    <definedName name="wrn.BOP_MIDTERM." localSheetId="70" hidden="1">{"BOP_TAB",#N/A,FALSE,"N";"MIDTERM_TAB",#N/A,FALSE,"O"}</definedName>
    <definedName name="wrn.BOP_MIDTERM." localSheetId="71" hidden="1">{"BOP_TAB",#N/A,FALSE,"N";"MIDTERM_TAB",#N/A,FALSE,"O"}</definedName>
    <definedName name="wrn.BOP_MIDTERM." localSheetId="72" hidden="1">{"BOP_TAB",#N/A,FALSE,"N";"MIDTERM_TAB",#N/A,FALSE,"O"}</definedName>
    <definedName name="wrn.BOP_MIDTERM." localSheetId="73" hidden="1">{"BOP_TAB",#N/A,FALSE,"N";"MIDTERM_TAB",#N/A,FALSE,"O"}</definedName>
    <definedName name="wrn.BOP_MIDTERM." localSheetId="74" hidden="1">{"BOP_TAB",#N/A,FALSE,"N";"MIDTERM_TAB",#N/A,FALSE,"O"}</definedName>
    <definedName name="wrn.BOP_MIDTERM." localSheetId="75" hidden="1">{"BOP_TAB",#N/A,FALSE,"N";"MIDTERM_TAB",#N/A,FALSE,"O"}</definedName>
    <definedName name="wrn.BOP_MIDTERM." localSheetId="76" hidden="1">{"BOP_TAB",#N/A,FALSE,"N";"MIDTERM_TAB",#N/A,FALSE,"O"}</definedName>
    <definedName name="wrn.BOP_MIDTERM." localSheetId="79" hidden="1">{"BOP_TAB",#N/A,FALSE,"N";"MIDTERM_TAB",#N/A,FALSE,"O"}</definedName>
    <definedName name="wrn.BOP_MIDTERM." localSheetId="80" hidden="1">{"BOP_TAB",#N/A,FALSE,"N";"MIDTERM_TAB",#N/A,FALSE,"O"}</definedName>
    <definedName name="wrn.BOP_MIDTERM." localSheetId="81" hidden="1">{"BOP_TAB",#N/A,FALSE,"N";"MIDTERM_TAB",#N/A,FALSE,"O"}</definedName>
    <definedName name="wrn.BOP_MIDTERM." localSheetId="83" hidden="1">{"BOP_TAB",#N/A,FALSE,"N";"MIDTERM_TAB",#N/A,FALSE,"O"}</definedName>
    <definedName name="wrn.BOP_MIDTERM." localSheetId="97" hidden="1">{"BOP_TAB",#N/A,FALSE,"N";"MIDTERM_TAB",#N/A,FALSE,"O"}</definedName>
    <definedName name="wrn.BOP_MIDTERM." localSheetId="98" hidden="1">{"BOP_TAB",#N/A,FALSE,"N";"MIDTERM_TAB",#N/A,FALSE,"O"}</definedName>
    <definedName name="wrn.BOP_MIDTERM." localSheetId="99" hidden="1">{"BOP_TAB",#N/A,FALSE,"N";"MIDTERM_TAB",#N/A,FALSE,"O"}</definedName>
    <definedName name="wrn.BOP_MIDTERM." localSheetId="100" hidden="1">{"BOP_TAB",#N/A,FALSE,"N";"MIDTERM_TAB",#N/A,FALSE,"O"}</definedName>
    <definedName name="wrn.BOP_MIDTERM." localSheetId="101" hidden="1">{"BOP_TAB",#N/A,FALSE,"N";"MIDTERM_TAB",#N/A,FALSE,"O"}</definedName>
    <definedName name="wrn.BOP_MIDTERM." localSheetId="108" hidden="1">{"BOP_TAB",#N/A,FALSE,"N";"MIDTERM_TAB",#N/A,FALSE,"O"}</definedName>
    <definedName name="wrn.BOP_MIDTERM." localSheetId="115" hidden="1">{"BOP_TAB",#N/A,FALSE,"N";"MIDTERM_TAB",#N/A,FALSE,"O"}</definedName>
    <definedName name="wrn.BOP_MIDTERM." localSheetId="5" hidden="1">{"BOP_TAB",#N/A,FALSE,"N";"MIDTERM_TAB",#N/A,FALSE,"O"}</definedName>
    <definedName name="wrn.BOP_MIDTERM." localSheetId="7" hidden="1">{"BOP_TAB",#N/A,FALSE,"N";"MIDTERM_TAB",#N/A,FALSE,"O"}</definedName>
    <definedName name="wrn.BOP_MIDTERM." localSheetId="8" hidden="1">{"BOP_TAB",#N/A,FALSE,"N";"MIDTERM_TAB",#N/A,FALSE,"O"}</definedName>
    <definedName name="wrn.BOP_MIDTERM." localSheetId="9" hidden="1">{"BOP_TAB",#N/A,FALSE,"N";"MIDTERM_TAB",#N/A,FALSE,"O"}</definedName>
    <definedName name="wrn.BOP_MIDTERM." localSheetId="10" hidden="1">{"BOP_TAB",#N/A,FALSE,"N";"MIDTERM_TAB",#N/A,FALSE,"O"}</definedName>
    <definedName name="wrn.BOP_MIDTERM." localSheetId="14" hidden="1">{"BOP_TAB",#N/A,FALSE,"N";"MIDTERM_TAB",#N/A,FALSE,"O"}</definedName>
    <definedName name="wrn.BOP_MIDTERM." localSheetId="19" hidden="1">{"BOP_TAB",#N/A,FALSE,"N";"MIDTERM_TAB",#N/A,FALSE,"O"}</definedName>
    <definedName name="wrn.BOP_MIDTERM." localSheetId="21" hidden="1">{"BOP_TAB",#N/A,FALSE,"N";"MIDTERM_TAB",#N/A,FALSE,"O"}</definedName>
    <definedName name="wrn.BOP_MIDTERM." localSheetId="23" hidden="1">{"BOP_TAB",#N/A,FALSE,"N";"MIDTERM_TAB",#N/A,FALSE,"O"}</definedName>
    <definedName name="wrn.BOP_MIDTERM." localSheetId="24" hidden="1">{"BOP_TAB",#N/A,FALSE,"N";"MIDTERM_TAB",#N/A,FALSE,"O"}</definedName>
    <definedName name="wrn.BOP_MIDTERM." localSheetId="25" hidden="1">{"BOP_TAB",#N/A,FALSE,"N";"MIDTERM_TAB",#N/A,FALSE,"O"}</definedName>
    <definedName name="wrn.BOP_MIDTERM." localSheetId="27" hidden="1">{"BOP_TAB",#N/A,FALSE,"N";"MIDTERM_TAB",#N/A,FALSE,"O"}</definedName>
    <definedName name="wrn.BOP_MIDTERM." localSheetId="30" hidden="1">{"BOP_TAB",#N/A,FALSE,"N";"MIDTERM_TAB",#N/A,FALSE,"O"}</definedName>
    <definedName name="wrn.BOP_MIDTERM." localSheetId="33" hidden="1">{"BOP_TAB",#N/A,FALSE,"N";"MIDTERM_TAB",#N/A,FALSE,"O"}</definedName>
    <definedName name="wrn.BOP_MIDTERM." localSheetId="34" hidden="1">{"BOP_TAB",#N/A,FALSE,"N";"MIDTERM_TAB",#N/A,FALSE,"O"}</definedName>
    <definedName name="wrn.BOP_MIDTERM." localSheetId="35" hidden="1">{"BOP_TAB",#N/A,FALSE,"N";"MIDTERM_TAB",#N/A,FALSE,"O"}</definedName>
    <definedName name="wrn.BOP_MIDTERM." localSheetId="36" hidden="1">{"BOP_TAB",#N/A,FALSE,"N";"MIDTERM_TAB",#N/A,FALSE,"O"}</definedName>
    <definedName name="wrn.BOP_MIDTERM." localSheetId="37" hidden="1">{"BOP_TAB",#N/A,FALSE,"N";"MIDTERM_TAB",#N/A,FALSE,"O"}</definedName>
    <definedName name="wrn.BOP_MIDTERM." localSheetId="38" hidden="1">{"BOP_TAB",#N/A,FALSE,"N";"MIDTERM_TAB",#N/A,FALSE,"O"}</definedName>
    <definedName name="wrn.BOP_MIDTERM." localSheetId="39" hidden="1">{"BOP_TAB",#N/A,FALSE,"N";"MIDTERM_TAB",#N/A,FALSE,"O"}</definedName>
    <definedName name="wrn.BOP_MIDTERM." localSheetId="40" hidden="1">{"BOP_TAB",#N/A,FALSE,"N";"MIDTERM_TAB",#N/A,FALSE,"O"}</definedName>
    <definedName name="wrn.BOP_MIDTERM." hidden="1">{"BOP_TAB",#N/A,FALSE,"N";"MIDTERM_TAB",#N/A,FALSE,"O"}</definedName>
    <definedName name="wrn.Input._.and._.output._.tables." localSheetId="50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55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56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57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58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59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62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70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71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72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73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74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75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76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79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80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81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83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97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98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99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00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01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08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15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5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7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8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9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0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4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9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21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23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24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25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27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30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33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34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35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36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37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38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39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40" hidden="1">{#N/A,#N/A,FALSE,"SimInp1";#N/A,#N/A,FALSE,"SimInp2";#N/A,#N/A,FALSE,"SimOut1";#N/A,#N/A,FALSE,"SimOut2";#N/A,#N/A,FALSE,"SimOut3";#N/A,#N/A,FALSE,"SimOut4";#N/A,#N/A,FALSE,"SimOut5"}</definedName>
    <definedName name="wrn.Input._.and._.output._.tables." hidden="1">{#N/A,#N/A,FALSE,"SimInp1";#N/A,#N/A,FALSE,"SimInp2";#N/A,#N/A,FALSE,"SimOut1";#N/A,#N/A,FALSE,"SimOut2";#N/A,#N/A,FALSE,"SimOut3";#N/A,#N/A,FALSE,"SimOut4";#N/A,#N/A,FALSE,"SimOut5"}</definedName>
    <definedName name="wrn.MAIN." localSheetId="50" hidden="1">{#N/A,#N/A,FALSE,"CB";#N/A,#N/A,FALSE,"CMB";#N/A,#N/A,FALSE,"BSYS";#N/A,#N/A,FALSE,"NBFI";#N/A,#N/A,FALSE,"FSYS"}</definedName>
    <definedName name="wrn.MAIN." localSheetId="55" hidden="1">{#N/A,#N/A,FALSE,"CB";#N/A,#N/A,FALSE,"CMB";#N/A,#N/A,FALSE,"BSYS";#N/A,#N/A,FALSE,"NBFI";#N/A,#N/A,FALSE,"FSYS"}</definedName>
    <definedName name="wrn.MAIN." localSheetId="56" hidden="1">{#N/A,#N/A,FALSE,"CB";#N/A,#N/A,FALSE,"CMB";#N/A,#N/A,FALSE,"BSYS";#N/A,#N/A,FALSE,"NBFI";#N/A,#N/A,FALSE,"FSYS"}</definedName>
    <definedName name="wrn.MAIN." localSheetId="57" hidden="1">{#N/A,#N/A,FALSE,"CB";#N/A,#N/A,FALSE,"CMB";#N/A,#N/A,FALSE,"BSYS";#N/A,#N/A,FALSE,"NBFI";#N/A,#N/A,FALSE,"FSYS"}</definedName>
    <definedName name="wrn.MAIN." localSheetId="58" hidden="1">{#N/A,#N/A,FALSE,"CB";#N/A,#N/A,FALSE,"CMB";#N/A,#N/A,FALSE,"BSYS";#N/A,#N/A,FALSE,"NBFI";#N/A,#N/A,FALSE,"FSYS"}</definedName>
    <definedName name="wrn.MAIN." localSheetId="59" hidden="1">{#N/A,#N/A,FALSE,"CB";#N/A,#N/A,FALSE,"CMB";#N/A,#N/A,FALSE,"BSYS";#N/A,#N/A,FALSE,"NBFI";#N/A,#N/A,FALSE,"FSYS"}</definedName>
    <definedName name="wrn.MAIN." localSheetId="62" hidden="1">{#N/A,#N/A,FALSE,"CB";#N/A,#N/A,FALSE,"CMB";#N/A,#N/A,FALSE,"BSYS";#N/A,#N/A,FALSE,"NBFI";#N/A,#N/A,FALSE,"FSYS"}</definedName>
    <definedName name="wrn.MAIN." localSheetId="70" hidden="1">{#N/A,#N/A,FALSE,"CB";#N/A,#N/A,FALSE,"CMB";#N/A,#N/A,FALSE,"BSYS";#N/A,#N/A,FALSE,"NBFI";#N/A,#N/A,FALSE,"FSYS"}</definedName>
    <definedName name="wrn.MAIN." localSheetId="71" hidden="1">{#N/A,#N/A,FALSE,"CB";#N/A,#N/A,FALSE,"CMB";#N/A,#N/A,FALSE,"BSYS";#N/A,#N/A,FALSE,"NBFI";#N/A,#N/A,FALSE,"FSYS"}</definedName>
    <definedName name="wrn.MAIN." localSheetId="72" hidden="1">{#N/A,#N/A,FALSE,"CB";#N/A,#N/A,FALSE,"CMB";#N/A,#N/A,FALSE,"BSYS";#N/A,#N/A,FALSE,"NBFI";#N/A,#N/A,FALSE,"FSYS"}</definedName>
    <definedName name="wrn.MAIN." localSheetId="73" hidden="1">{#N/A,#N/A,FALSE,"CB";#N/A,#N/A,FALSE,"CMB";#N/A,#N/A,FALSE,"BSYS";#N/A,#N/A,FALSE,"NBFI";#N/A,#N/A,FALSE,"FSYS"}</definedName>
    <definedName name="wrn.MAIN." localSheetId="74" hidden="1">{#N/A,#N/A,FALSE,"CB";#N/A,#N/A,FALSE,"CMB";#N/A,#N/A,FALSE,"BSYS";#N/A,#N/A,FALSE,"NBFI";#N/A,#N/A,FALSE,"FSYS"}</definedName>
    <definedName name="wrn.MAIN." localSheetId="75" hidden="1">{#N/A,#N/A,FALSE,"CB";#N/A,#N/A,FALSE,"CMB";#N/A,#N/A,FALSE,"BSYS";#N/A,#N/A,FALSE,"NBFI";#N/A,#N/A,FALSE,"FSYS"}</definedName>
    <definedName name="wrn.MAIN." localSheetId="76" hidden="1">{#N/A,#N/A,FALSE,"CB";#N/A,#N/A,FALSE,"CMB";#N/A,#N/A,FALSE,"BSYS";#N/A,#N/A,FALSE,"NBFI";#N/A,#N/A,FALSE,"FSYS"}</definedName>
    <definedName name="wrn.MAIN." localSheetId="79" hidden="1">{#N/A,#N/A,FALSE,"CB";#N/A,#N/A,FALSE,"CMB";#N/A,#N/A,FALSE,"BSYS";#N/A,#N/A,FALSE,"NBFI";#N/A,#N/A,FALSE,"FSYS"}</definedName>
    <definedName name="wrn.MAIN." localSheetId="80" hidden="1">{#N/A,#N/A,FALSE,"CB";#N/A,#N/A,FALSE,"CMB";#N/A,#N/A,FALSE,"BSYS";#N/A,#N/A,FALSE,"NBFI";#N/A,#N/A,FALSE,"FSYS"}</definedName>
    <definedName name="wrn.MAIN." localSheetId="81" hidden="1">{#N/A,#N/A,FALSE,"CB";#N/A,#N/A,FALSE,"CMB";#N/A,#N/A,FALSE,"BSYS";#N/A,#N/A,FALSE,"NBFI";#N/A,#N/A,FALSE,"FSYS"}</definedName>
    <definedName name="wrn.MAIN." localSheetId="83" hidden="1">{#N/A,#N/A,FALSE,"CB";#N/A,#N/A,FALSE,"CMB";#N/A,#N/A,FALSE,"BSYS";#N/A,#N/A,FALSE,"NBFI";#N/A,#N/A,FALSE,"FSYS"}</definedName>
    <definedName name="wrn.MAIN." localSheetId="97" hidden="1">{#N/A,#N/A,FALSE,"CB";#N/A,#N/A,FALSE,"CMB";#N/A,#N/A,FALSE,"BSYS";#N/A,#N/A,FALSE,"NBFI";#N/A,#N/A,FALSE,"FSYS"}</definedName>
    <definedName name="wrn.MAIN." localSheetId="98" hidden="1">{#N/A,#N/A,FALSE,"CB";#N/A,#N/A,FALSE,"CMB";#N/A,#N/A,FALSE,"BSYS";#N/A,#N/A,FALSE,"NBFI";#N/A,#N/A,FALSE,"FSYS"}</definedName>
    <definedName name="wrn.MAIN." localSheetId="99" hidden="1">{#N/A,#N/A,FALSE,"CB";#N/A,#N/A,FALSE,"CMB";#N/A,#N/A,FALSE,"BSYS";#N/A,#N/A,FALSE,"NBFI";#N/A,#N/A,FALSE,"FSYS"}</definedName>
    <definedName name="wrn.MAIN." localSheetId="100" hidden="1">{#N/A,#N/A,FALSE,"CB";#N/A,#N/A,FALSE,"CMB";#N/A,#N/A,FALSE,"BSYS";#N/A,#N/A,FALSE,"NBFI";#N/A,#N/A,FALSE,"FSYS"}</definedName>
    <definedName name="wrn.MAIN." localSheetId="101" hidden="1">{#N/A,#N/A,FALSE,"CB";#N/A,#N/A,FALSE,"CMB";#N/A,#N/A,FALSE,"BSYS";#N/A,#N/A,FALSE,"NBFI";#N/A,#N/A,FALSE,"FSYS"}</definedName>
    <definedName name="wrn.MAIN." localSheetId="108" hidden="1">{#N/A,#N/A,FALSE,"CB";#N/A,#N/A,FALSE,"CMB";#N/A,#N/A,FALSE,"BSYS";#N/A,#N/A,FALSE,"NBFI";#N/A,#N/A,FALSE,"FSYS"}</definedName>
    <definedName name="wrn.MAIN." localSheetId="115" hidden="1">{#N/A,#N/A,FALSE,"CB";#N/A,#N/A,FALSE,"CMB";#N/A,#N/A,FALSE,"BSYS";#N/A,#N/A,FALSE,"NBFI";#N/A,#N/A,FALSE,"FSYS"}</definedName>
    <definedName name="wrn.MAIN." localSheetId="5" hidden="1">{#N/A,#N/A,FALSE,"CB";#N/A,#N/A,FALSE,"CMB";#N/A,#N/A,FALSE,"BSYS";#N/A,#N/A,FALSE,"NBFI";#N/A,#N/A,FALSE,"FSYS"}</definedName>
    <definedName name="wrn.MAIN." localSheetId="7" hidden="1">{#N/A,#N/A,FALSE,"CB";#N/A,#N/A,FALSE,"CMB";#N/A,#N/A,FALSE,"BSYS";#N/A,#N/A,FALSE,"NBFI";#N/A,#N/A,FALSE,"FSYS"}</definedName>
    <definedName name="wrn.MAIN." localSheetId="8" hidden="1">{#N/A,#N/A,FALSE,"CB";#N/A,#N/A,FALSE,"CMB";#N/A,#N/A,FALSE,"BSYS";#N/A,#N/A,FALSE,"NBFI";#N/A,#N/A,FALSE,"FSYS"}</definedName>
    <definedName name="wrn.MAIN." localSheetId="9" hidden="1">{#N/A,#N/A,FALSE,"CB";#N/A,#N/A,FALSE,"CMB";#N/A,#N/A,FALSE,"BSYS";#N/A,#N/A,FALSE,"NBFI";#N/A,#N/A,FALSE,"FSYS"}</definedName>
    <definedName name="wrn.MAIN." localSheetId="10" hidden="1">{#N/A,#N/A,FALSE,"CB";#N/A,#N/A,FALSE,"CMB";#N/A,#N/A,FALSE,"BSYS";#N/A,#N/A,FALSE,"NBFI";#N/A,#N/A,FALSE,"FSYS"}</definedName>
    <definedName name="wrn.MAIN." localSheetId="14" hidden="1">{#N/A,#N/A,FALSE,"CB";#N/A,#N/A,FALSE,"CMB";#N/A,#N/A,FALSE,"BSYS";#N/A,#N/A,FALSE,"NBFI";#N/A,#N/A,FALSE,"FSYS"}</definedName>
    <definedName name="wrn.MAIN." localSheetId="19" hidden="1">{#N/A,#N/A,FALSE,"CB";#N/A,#N/A,FALSE,"CMB";#N/A,#N/A,FALSE,"BSYS";#N/A,#N/A,FALSE,"NBFI";#N/A,#N/A,FALSE,"FSYS"}</definedName>
    <definedName name="wrn.MAIN." localSheetId="21" hidden="1">{#N/A,#N/A,FALSE,"CB";#N/A,#N/A,FALSE,"CMB";#N/A,#N/A,FALSE,"BSYS";#N/A,#N/A,FALSE,"NBFI";#N/A,#N/A,FALSE,"FSYS"}</definedName>
    <definedName name="wrn.MAIN." localSheetId="23" hidden="1">{#N/A,#N/A,FALSE,"CB";#N/A,#N/A,FALSE,"CMB";#N/A,#N/A,FALSE,"BSYS";#N/A,#N/A,FALSE,"NBFI";#N/A,#N/A,FALSE,"FSYS"}</definedName>
    <definedName name="wrn.MAIN." localSheetId="24" hidden="1">{#N/A,#N/A,FALSE,"CB";#N/A,#N/A,FALSE,"CMB";#N/A,#N/A,FALSE,"BSYS";#N/A,#N/A,FALSE,"NBFI";#N/A,#N/A,FALSE,"FSYS"}</definedName>
    <definedName name="wrn.MAIN." localSheetId="25" hidden="1">{#N/A,#N/A,FALSE,"CB";#N/A,#N/A,FALSE,"CMB";#N/A,#N/A,FALSE,"BSYS";#N/A,#N/A,FALSE,"NBFI";#N/A,#N/A,FALSE,"FSYS"}</definedName>
    <definedName name="wrn.MAIN." localSheetId="27" hidden="1">{#N/A,#N/A,FALSE,"CB";#N/A,#N/A,FALSE,"CMB";#N/A,#N/A,FALSE,"BSYS";#N/A,#N/A,FALSE,"NBFI";#N/A,#N/A,FALSE,"FSYS"}</definedName>
    <definedName name="wrn.MAIN." localSheetId="30" hidden="1">{#N/A,#N/A,FALSE,"CB";#N/A,#N/A,FALSE,"CMB";#N/A,#N/A,FALSE,"BSYS";#N/A,#N/A,FALSE,"NBFI";#N/A,#N/A,FALSE,"FSYS"}</definedName>
    <definedName name="wrn.MAIN." localSheetId="33" hidden="1">{#N/A,#N/A,FALSE,"CB";#N/A,#N/A,FALSE,"CMB";#N/A,#N/A,FALSE,"BSYS";#N/A,#N/A,FALSE,"NBFI";#N/A,#N/A,FALSE,"FSYS"}</definedName>
    <definedName name="wrn.MAIN." localSheetId="34" hidden="1">{#N/A,#N/A,FALSE,"CB";#N/A,#N/A,FALSE,"CMB";#N/A,#N/A,FALSE,"BSYS";#N/A,#N/A,FALSE,"NBFI";#N/A,#N/A,FALSE,"FSYS"}</definedName>
    <definedName name="wrn.MAIN." localSheetId="35" hidden="1">{#N/A,#N/A,FALSE,"CB";#N/A,#N/A,FALSE,"CMB";#N/A,#N/A,FALSE,"BSYS";#N/A,#N/A,FALSE,"NBFI";#N/A,#N/A,FALSE,"FSYS"}</definedName>
    <definedName name="wrn.MAIN." localSheetId="36" hidden="1">{#N/A,#N/A,FALSE,"CB";#N/A,#N/A,FALSE,"CMB";#N/A,#N/A,FALSE,"BSYS";#N/A,#N/A,FALSE,"NBFI";#N/A,#N/A,FALSE,"FSYS"}</definedName>
    <definedName name="wrn.MAIN." localSheetId="37" hidden="1">{#N/A,#N/A,FALSE,"CB";#N/A,#N/A,FALSE,"CMB";#N/A,#N/A,FALSE,"BSYS";#N/A,#N/A,FALSE,"NBFI";#N/A,#N/A,FALSE,"FSYS"}</definedName>
    <definedName name="wrn.MAIN." localSheetId="38" hidden="1">{#N/A,#N/A,FALSE,"CB";#N/A,#N/A,FALSE,"CMB";#N/A,#N/A,FALSE,"BSYS";#N/A,#N/A,FALSE,"NBFI";#N/A,#N/A,FALSE,"FSYS"}</definedName>
    <definedName name="wrn.MAIN." localSheetId="39" hidden="1">{#N/A,#N/A,FALSE,"CB";#N/A,#N/A,FALSE,"CMB";#N/A,#N/A,FALSE,"BSYS";#N/A,#N/A,FALSE,"NBFI";#N/A,#N/A,FALSE,"FSYS"}</definedName>
    <definedName name="wrn.MAIN." localSheetId="40" hidden="1">{#N/A,#N/A,FALSE,"CB";#N/A,#N/A,FALSE,"CMB";#N/A,#N/A,FALSE,"BSYS";#N/A,#N/A,FALSE,"NBFI";#N/A,#N/A,FALSE,"FSYS"}</definedName>
    <definedName name="wrn.MAIN." hidden="1">{#N/A,#N/A,FALSE,"CB";#N/A,#N/A,FALSE,"CMB";#N/A,#N/A,FALSE,"BSYS";#N/A,#N/A,FALSE,"NBFI";#N/A,#N/A,FALSE,"FSYS"}</definedName>
    <definedName name="wrn.MDABOP." localSheetId="50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55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56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57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58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59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62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70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71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72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73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74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75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76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79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80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81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83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97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98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99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00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01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08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15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5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7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8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9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0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4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9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21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23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24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25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27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30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33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34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35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36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37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38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39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40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hidden="1">{"BOP_TAB",#N/A,FALSE,"N";"MIDTERM_TAB",#N/A,FALSE,"O";"FUND_CRED",#N/A,FALSE,"P";"DEBT_TAB1",#N/A,FALSE,"Q";"DEBT_TAB2",#N/A,FALSE,"Q";"FORFIN_TAB1",#N/A,FALSE,"R";"FORFIN_TAB2",#N/A,FALSE,"R";"BOP_ANALY",#N/A,FALSE,"U"}</definedName>
    <definedName name="wrn.MIT." localSheetId="50" hidden="1">{#N/A,#N/A,FALSE,"CB";#N/A,#N/A,FALSE,"CMB";#N/A,#N/A,FALSE,"NBFI"}</definedName>
    <definedName name="wrn.MIT." localSheetId="55" hidden="1">{#N/A,#N/A,FALSE,"CB";#N/A,#N/A,FALSE,"CMB";#N/A,#N/A,FALSE,"NBFI"}</definedName>
    <definedName name="wrn.MIT." localSheetId="56" hidden="1">{#N/A,#N/A,FALSE,"CB";#N/A,#N/A,FALSE,"CMB";#N/A,#N/A,FALSE,"NBFI"}</definedName>
    <definedName name="wrn.MIT." localSheetId="57" hidden="1">{#N/A,#N/A,FALSE,"CB";#N/A,#N/A,FALSE,"CMB";#N/A,#N/A,FALSE,"NBFI"}</definedName>
    <definedName name="wrn.MIT." localSheetId="58" hidden="1">{#N/A,#N/A,FALSE,"CB";#N/A,#N/A,FALSE,"CMB";#N/A,#N/A,FALSE,"NBFI"}</definedName>
    <definedName name="wrn.MIT." localSheetId="59" hidden="1">{#N/A,#N/A,FALSE,"CB";#N/A,#N/A,FALSE,"CMB";#N/A,#N/A,FALSE,"NBFI"}</definedName>
    <definedName name="wrn.MIT." localSheetId="62" hidden="1">{#N/A,#N/A,FALSE,"CB";#N/A,#N/A,FALSE,"CMB";#N/A,#N/A,FALSE,"NBFI"}</definedName>
    <definedName name="wrn.MIT." localSheetId="70" hidden="1">{#N/A,#N/A,FALSE,"CB";#N/A,#N/A,FALSE,"CMB";#N/A,#N/A,FALSE,"NBFI"}</definedName>
    <definedName name="wrn.MIT." localSheetId="71" hidden="1">{#N/A,#N/A,FALSE,"CB";#N/A,#N/A,FALSE,"CMB";#N/A,#N/A,FALSE,"NBFI"}</definedName>
    <definedName name="wrn.MIT." localSheetId="72" hidden="1">{#N/A,#N/A,FALSE,"CB";#N/A,#N/A,FALSE,"CMB";#N/A,#N/A,FALSE,"NBFI"}</definedName>
    <definedName name="wrn.MIT." localSheetId="73" hidden="1">{#N/A,#N/A,FALSE,"CB";#N/A,#N/A,FALSE,"CMB";#N/A,#N/A,FALSE,"NBFI"}</definedName>
    <definedName name="wrn.MIT." localSheetId="74" hidden="1">{#N/A,#N/A,FALSE,"CB";#N/A,#N/A,FALSE,"CMB";#N/A,#N/A,FALSE,"NBFI"}</definedName>
    <definedName name="wrn.MIT." localSheetId="75" hidden="1">{#N/A,#N/A,FALSE,"CB";#N/A,#N/A,FALSE,"CMB";#N/A,#N/A,FALSE,"NBFI"}</definedName>
    <definedName name="wrn.MIT." localSheetId="76" hidden="1">{#N/A,#N/A,FALSE,"CB";#N/A,#N/A,FALSE,"CMB";#N/A,#N/A,FALSE,"NBFI"}</definedName>
    <definedName name="wrn.MIT." localSheetId="79" hidden="1">{#N/A,#N/A,FALSE,"CB";#N/A,#N/A,FALSE,"CMB";#N/A,#N/A,FALSE,"NBFI"}</definedName>
    <definedName name="wrn.MIT." localSheetId="80" hidden="1">{#N/A,#N/A,FALSE,"CB";#N/A,#N/A,FALSE,"CMB";#N/A,#N/A,FALSE,"NBFI"}</definedName>
    <definedName name="wrn.MIT." localSheetId="81" hidden="1">{#N/A,#N/A,FALSE,"CB";#N/A,#N/A,FALSE,"CMB";#N/A,#N/A,FALSE,"NBFI"}</definedName>
    <definedName name="wrn.MIT." localSheetId="83" hidden="1">{#N/A,#N/A,FALSE,"CB";#N/A,#N/A,FALSE,"CMB";#N/A,#N/A,FALSE,"NBFI"}</definedName>
    <definedName name="wrn.MIT." localSheetId="97" hidden="1">{#N/A,#N/A,FALSE,"CB";#N/A,#N/A,FALSE,"CMB";#N/A,#N/A,FALSE,"NBFI"}</definedName>
    <definedName name="wrn.MIT." localSheetId="98" hidden="1">{#N/A,#N/A,FALSE,"CB";#N/A,#N/A,FALSE,"CMB";#N/A,#N/A,FALSE,"NBFI"}</definedName>
    <definedName name="wrn.MIT." localSheetId="99" hidden="1">{#N/A,#N/A,FALSE,"CB";#N/A,#N/A,FALSE,"CMB";#N/A,#N/A,FALSE,"NBFI"}</definedName>
    <definedName name="wrn.MIT." localSheetId="100" hidden="1">{#N/A,#N/A,FALSE,"CB";#N/A,#N/A,FALSE,"CMB";#N/A,#N/A,FALSE,"NBFI"}</definedName>
    <definedName name="wrn.MIT." localSheetId="101" hidden="1">{#N/A,#N/A,FALSE,"CB";#N/A,#N/A,FALSE,"CMB";#N/A,#N/A,FALSE,"NBFI"}</definedName>
    <definedName name="wrn.MIT." localSheetId="108" hidden="1">{#N/A,#N/A,FALSE,"CB";#N/A,#N/A,FALSE,"CMB";#N/A,#N/A,FALSE,"NBFI"}</definedName>
    <definedName name="wrn.MIT." localSheetId="115" hidden="1">{#N/A,#N/A,FALSE,"CB";#N/A,#N/A,FALSE,"CMB";#N/A,#N/A,FALSE,"NBFI"}</definedName>
    <definedName name="wrn.MIT." localSheetId="5" hidden="1">{#N/A,#N/A,FALSE,"CB";#N/A,#N/A,FALSE,"CMB";#N/A,#N/A,FALSE,"NBFI"}</definedName>
    <definedName name="wrn.MIT." localSheetId="7" hidden="1">{#N/A,#N/A,FALSE,"CB";#N/A,#N/A,FALSE,"CMB";#N/A,#N/A,FALSE,"NBFI"}</definedName>
    <definedName name="wrn.MIT." localSheetId="8" hidden="1">{#N/A,#N/A,FALSE,"CB";#N/A,#N/A,FALSE,"CMB";#N/A,#N/A,FALSE,"NBFI"}</definedName>
    <definedName name="wrn.MIT." localSheetId="9" hidden="1">{#N/A,#N/A,FALSE,"CB";#N/A,#N/A,FALSE,"CMB";#N/A,#N/A,FALSE,"NBFI"}</definedName>
    <definedName name="wrn.MIT." localSheetId="10" hidden="1">{#N/A,#N/A,FALSE,"CB";#N/A,#N/A,FALSE,"CMB";#N/A,#N/A,FALSE,"NBFI"}</definedName>
    <definedName name="wrn.MIT." localSheetId="14" hidden="1">{#N/A,#N/A,FALSE,"CB";#N/A,#N/A,FALSE,"CMB";#N/A,#N/A,FALSE,"NBFI"}</definedName>
    <definedName name="wrn.MIT." localSheetId="19" hidden="1">{#N/A,#N/A,FALSE,"CB";#N/A,#N/A,FALSE,"CMB";#N/A,#N/A,FALSE,"NBFI"}</definedName>
    <definedName name="wrn.MIT." localSheetId="21" hidden="1">{#N/A,#N/A,FALSE,"CB";#N/A,#N/A,FALSE,"CMB";#N/A,#N/A,FALSE,"NBFI"}</definedName>
    <definedName name="wrn.MIT." localSheetId="23" hidden="1">{#N/A,#N/A,FALSE,"CB";#N/A,#N/A,FALSE,"CMB";#N/A,#N/A,FALSE,"NBFI"}</definedName>
    <definedName name="wrn.MIT." localSheetId="24" hidden="1">{#N/A,#N/A,FALSE,"CB";#N/A,#N/A,FALSE,"CMB";#N/A,#N/A,FALSE,"NBFI"}</definedName>
    <definedName name="wrn.MIT." localSheetId="25" hidden="1">{#N/A,#N/A,FALSE,"CB";#N/A,#N/A,FALSE,"CMB";#N/A,#N/A,FALSE,"NBFI"}</definedName>
    <definedName name="wrn.MIT." localSheetId="27" hidden="1">{#N/A,#N/A,FALSE,"CB";#N/A,#N/A,FALSE,"CMB";#N/A,#N/A,FALSE,"NBFI"}</definedName>
    <definedName name="wrn.MIT." localSheetId="30" hidden="1">{#N/A,#N/A,FALSE,"CB";#N/A,#N/A,FALSE,"CMB";#N/A,#N/A,FALSE,"NBFI"}</definedName>
    <definedName name="wrn.MIT." localSheetId="33" hidden="1">{#N/A,#N/A,FALSE,"CB";#N/A,#N/A,FALSE,"CMB";#N/A,#N/A,FALSE,"NBFI"}</definedName>
    <definedName name="wrn.MIT." localSheetId="34" hidden="1">{#N/A,#N/A,FALSE,"CB";#N/A,#N/A,FALSE,"CMB";#N/A,#N/A,FALSE,"NBFI"}</definedName>
    <definedName name="wrn.MIT." localSheetId="35" hidden="1">{#N/A,#N/A,FALSE,"CB";#N/A,#N/A,FALSE,"CMB";#N/A,#N/A,FALSE,"NBFI"}</definedName>
    <definedName name="wrn.MIT." localSheetId="36" hidden="1">{#N/A,#N/A,FALSE,"CB";#N/A,#N/A,FALSE,"CMB";#N/A,#N/A,FALSE,"NBFI"}</definedName>
    <definedName name="wrn.MIT." localSheetId="37" hidden="1">{#N/A,#N/A,FALSE,"CB";#N/A,#N/A,FALSE,"CMB";#N/A,#N/A,FALSE,"NBFI"}</definedName>
    <definedName name="wrn.MIT." localSheetId="38" hidden="1">{#N/A,#N/A,FALSE,"CB";#N/A,#N/A,FALSE,"CMB";#N/A,#N/A,FALSE,"NBFI"}</definedName>
    <definedName name="wrn.MIT." localSheetId="39" hidden="1">{#N/A,#N/A,FALSE,"CB";#N/A,#N/A,FALSE,"CMB";#N/A,#N/A,FALSE,"NBFI"}</definedName>
    <definedName name="wrn.MIT." localSheetId="40" hidden="1">{#N/A,#N/A,FALSE,"CB";#N/A,#N/A,FALSE,"CMB";#N/A,#N/A,FALSE,"NBFI"}</definedName>
    <definedName name="wrn.MIT." hidden="1">{#N/A,#N/A,FALSE,"CB";#N/A,#N/A,FALSE,"CMB";#N/A,#N/A,FALSE,"NBFI"}</definedName>
    <definedName name="wrn.MONA." localSheetId="50" hidden="1">{"MONA",#N/A,FALSE,"S"}</definedName>
    <definedName name="wrn.MONA." localSheetId="55" hidden="1">{"MONA",#N/A,FALSE,"S"}</definedName>
    <definedName name="wrn.MONA." localSheetId="56" hidden="1">{"MONA",#N/A,FALSE,"S"}</definedName>
    <definedName name="wrn.MONA." localSheetId="57" hidden="1">{"MONA",#N/A,FALSE,"S"}</definedName>
    <definedName name="wrn.MONA." localSheetId="58" hidden="1">{"MONA",#N/A,FALSE,"S"}</definedName>
    <definedName name="wrn.MONA." localSheetId="59" hidden="1">{"MONA",#N/A,FALSE,"S"}</definedName>
    <definedName name="wrn.MONA." localSheetId="62" hidden="1">{"MONA",#N/A,FALSE,"S"}</definedName>
    <definedName name="wrn.MONA." localSheetId="70" hidden="1">{"MONA",#N/A,FALSE,"S"}</definedName>
    <definedName name="wrn.MONA." localSheetId="71" hidden="1">{"MONA",#N/A,FALSE,"S"}</definedName>
    <definedName name="wrn.MONA." localSheetId="72" hidden="1">{"MONA",#N/A,FALSE,"S"}</definedName>
    <definedName name="wrn.MONA." localSheetId="73" hidden="1">{"MONA",#N/A,FALSE,"S"}</definedName>
    <definedName name="wrn.MONA." localSheetId="74" hidden="1">{"MONA",#N/A,FALSE,"S"}</definedName>
    <definedName name="wrn.MONA." localSheetId="75" hidden="1">{"MONA",#N/A,FALSE,"S"}</definedName>
    <definedName name="wrn.MONA." localSheetId="76" hidden="1">{"MONA",#N/A,FALSE,"S"}</definedName>
    <definedName name="wrn.MONA." localSheetId="79" hidden="1">{"MONA",#N/A,FALSE,"S"}</definedName>
    <definedName name="wrn.MONA." localSheetId="80" hidden="1">{"MONA",#N/A,FALSE,"S"}</definedName>
    <definedName name="wrn.MONA." localSheetId="81" hidden="1">{"MONA",#N/A,FALSE,"S"}</definedName>
    <definedName name="wrn.MONA." localSheetId="83" hidden="1">{"MONA",#N/A,FALSE,"S"}</definedName>
    <definedName name="wrn.MONA." localSheetId="97" hidden="1">{"MONA",#N/A,FALSE,"S"}</definedName>
    <definedName name="wrn.MONA." localSheetId="98" hidden="1">{"MONA",#N/A,FALSE,"S"}</definedName>
    <definedName name="wrn.MONA." localSheetId="99" hidden="1">{"MONA",#N/A,FALSE,"S"}</definedName>
    <definedName name="wrn.MONA." localSheetId="100" hidden="1">{"MONA",#N/A,FALSE,"S"}</definedName>
    <definedName name="wrn.MONA." localSheetId="101" hidden="1">{"MONA",#N/A,FALSE,"S"}</definedName>
    <definedName name="wrn.MONA." localSheetId="108" hidden="1">{"MONA",#N/A,FALSE,"S"}</definedName>
    <definedName name="wrn.MONA." localSheetId="115" hidden="1">{"MONA",#N/A,FALSE,"S"}</definedName>
    <definedName name="wrn.MONA." localSheetId="5" hidden="1">{"MONA",#N/A,FALSE,"S"}</definedName>
    <definedName name="wrn.MONA." localSheetId="7" hidden="1">{"MONA",#N/A,FALSE,"S"}</definedName>
    <definedName name="wrn.MONA." localSheetId="8" hidden="1">{"MONA",#N/A,FALSE,"S"}</definedName>
    <definedName name="wrn.MONA." localSheetId="9" hidden="1">{"MONA",#N/A,FALSE,"S"}</definedName>
    <definedName name="wrn.MONA." localSheetId="10" hidden="1">{"MONA",#N/A,FALSE,"S"}</definedName>
    <definedName name="wrn.MONA." localSheetId="14" hidden="1">{"MONA",#N/A,FALSE,"S"}</definedName>
    <definedName name="wrn.MONA." localSheetId="19" hidden="1">{"MONA",#N/A,FALSE,"S"}</definedName>
    <definedName name="wrn.MONA." localSheetId="21" hidden="1">{"MONA",#N/A,FALSE,"S"}</definedName>
    <definedName name="wrn.MONA." localSheetId="23" hidden="1">{"MONA",#N/A,FALSE,"S"}</definedName>
    <definedName name="wrn.MONA." localSheetId="24" hidden="1">{"MONA",#N/A,FALSE,"S"}</definedName>
    <definedName name="wrn.MONA." localSheetId="25" hidden="1">{"MONA",#N/A,FALSE,"S"}</definedName>
    <definedName name="wrn.MONA." localSheetId="27" hidden="1">{"MONA",#N/A,FALSE,"S"}</definedName>
    <definedName name="wrn.MONA." localSheetId="30" hidden="1">{"MONA",#N/A,FALSE,"S"}</definedName>
    <definedName name="wrn.MONA." localSheetId="33" hidden="1">{"MONA",#N/A,FALSE,"S"}</definedName>
    <definedName name="wrn.MONA." localSheetId="34" hidden="1">{"MONA",#N/A,FALSE,"S"}</definedName>
    <definedName name="wrn.MONA." localSheetId="35" hidden="1">{"MONA",#N/A,FALSE,"S"}</definedName>
    <definedName name="wrn.MONA." localSheetId="36" hidden="1">{"MONA",#N/A,FALSE,"S"}</definedName>
    <definedName name="wrn.MONA." localSheetId="37" hidden="1">{"MONA",#N/A,FALSE,"S"}</definedName>
    <definedName name="wrn.MONA." localSheetId="38" hidden="1">{"MONA",#N/A,FALSE,"S"}</definedName>
    <definedName name="wrn.MONA." localSheetId="39" hidden="1">{"MONA",#N/A,FALSE,"S"}</definedName>
    <definedName name="wrn.MONA." localSheetId="40" hidden="1">{"MONA",#N/A,FALSE,"S"}</definedName>
    <definedName name="wrn.MONA." hidden="1">{"MONA",#N/A,FALSE,"S"}</definedName>
    <definedName name="wrn.Output._.tables." localSheetId="50" hidden="1">{#N/A,#N/A,FALSE,"I";#N/A,#N/A,FALSE,"J";#N/A,#N/A,FALSE,"K";#N/A,#N/A,FALSE,"L";#N/A,#N/A,FALSE,"M";#N/A,#N/A,FALSE,"N";#N/A,#N/A,FALSE,"O"}</definedName>
    <definedName name="wrn.Output._.tables." localSheetId="55" hidden="1">{#N/A,#N/A,FALSE,"I";#N/A,#N/A,FALSE,"J";#N/A,#N/A,FALSE,"K";#N/A,#N/A,FALSE,"L";#N/A,#N/A,FALSE,"M";#N/A,#N/A,FALSE,"N";#N/A,#N/A,FALSE,"O"}</definedName>
    <definedName name="wrn.Output._.tables." localSheetId="56" hidden="1">{#N/A,#N/A,FALSE,"I";#N/A,#N/A,FALSE,"J";#N/A,#N/A,FALSE,"K";#N/A,#N/A,FALSE,"L";#N/A,#N/A,FALSE,"M";#N/A,#N/A,FALSE,"N";#N/A,#N/A,FALSE,"O"}</definedName>
    <definedName name="wrn.Output._.tables." localSheetId="57" hidden="1">{#N/A,#N/A,FALSE,"I";#N/A,#N/A,FALSE,"J";#N/A,#N/A,FALSE,"K";#N/A,#N/A,FALSE,"L";#N/A,#N/A,FALSE,"M";#N/A,#N/A,FALSE,"N";#N/A,#N/A,FALSE,"O"}</definedName>
    <definedName name="wrn.Output._.tables." localSheetId="58" hidden="1">{#N/A,#N/A,FALSE,"I";#N/A,#N/A,FALSE,"J";#N/A,#N/A,FALSE,"K";#N/A,#N/A,FALSE,"L";#N/A,#N/A,FALSE,"M";#N/A,#N/A,FALSE,"N";#N/A,#N/A,FALSE,"O"}</definedName>
    <definedName name="wrn.Output._.tables." localSheetId="59" hidden="1">{#N/A,#N/A,FALSE,"I";#N/A,#N/A,FALSE,"J";#N/A,#N/A,FALSE,"K";#N/A,#N/A,FALSE,"L";#N/A,#N/A,FALSE,"M";#N/A,#N/A,FALSE,"N";#N/A,#N/A,FALSE,"O"}</definedName>
    <definedName name="wrn.Output._.tables." localSheetId="62" hidden="1">{#N/A,#N/A,FALSE,"I";#N/A,#N/A,FALSE,"J";#N/A,#N/A,FALSE,"K";#N/A,#N/A,FALSE,"L";#N/A,#N/A,FALSE,"M";#N/A,#N/A,FALSE,"N";#N/A,#N/A,FALSE,"O"}</definedName>
    <definedName name="wrn.Output._.tables." localSheetId="70" hidden="1">{#N/A,#N/A,FALSE,"I";#N/A,#N/A,FALSE,"J";#N/A,#N/A,FALSE,"K";#N/A,#N/A,FALSE,"L";#N/A,#N/A,FALSE,"M";#N/A,#N/A,FALSE,"N";#N/A,#N/A,FALSE,"O"}</definedName>
    <definedName name="wrn.Output._.tables." localSheetId="71" hidden="1">{#N/A,#N/A,FALSE,"I";#N/A,#N/A,FALSE,"J";#N/A,#N/A,FALSE,"K";#N/A,#N/A,FALSE,"L";#N/A,#N/A,FALSE,"M";#N/A,#N/A,FALSE,"N";#N/A,#N/A,FALSE,"O"}</definedName>
    <definedName name="wrn.Output._.tables." localSheetId="72" hidden="1">{#N/A,#N/A,FALSE,"I";#N/A,#N/A,FALSE,"J";#N/A,#N/A,FALSE,"K";#N/A,#N/A,FALSE,"L";#N/A,#N/A,FALSE,"M";#N/A,#N/A,FALSE,"N";#N/A,#N/A,FALSE,"O"}</definedName>
    <definedName name="wrn.Output._.tables." localSheetId="73" hidden="1">{#N/A,#N/A,FALSE,"I";#N/A,#N/A,FALSE,"J";#N/A,#N/A,FALSE,"K";#N/A,#N/A,FALSE,"L";#N/A,#N/A,FALSE,"M";#N/A,#N/A,FALSE,"N";#N/A,#N/A,FALSE,"O"}</definedName>
    <definedName name="wrn.Output._.tables." localSheetId="74" hidden="1">{#N/A,#N/A,FALSE,"I";#N/A,#N/A,FALSE,"J";#N/A,#N/A,FALSE,"K";#N/A,#N/A,FALSE,"L";#N/A,#N/A,FALSE,"M";#N/A,#N/A,FALSE,"N";#N/A,#N/A,FALSE,"O"}</definedName>
    <definedName name="wrn.Output._.tables." localSheetId="75" hidden="1">{#N/A,#N/A,FALSE,"I";#N/A,#N/A,FALSE,"J";#N/A,#N/A,FALSE,"K";#N/A,#N/A,FALSE,"L";#N/A,#N/A,FALSE,"M";#N/A,#N/A,FALSE,"N";#N/A,#N/A,FALSE,"O"}</definedName>
    <definedName name="wrn.Output._.tables." localSheetId="76" hidden="1">{#N/A,#N/A,FALSE,"I";#N/A,#N/A,FALSE,"J";#N/A,#N/A,FALSE,"K";#N/A,#N/A,FALSE,"L";#N/A,#N/A,FALSE,"M";#N/A,#N/A,FALSE,"N";#N/A,#N/A,FALSE,"O"}</definedName>
    <definedName name="wrn.Output._.tables." localSheetId="79" hidden="1">{#N/A,#N/A,FALSE,"I";#N/A,#N/A,FALSE,"J";#N/A,#N/A,FALSE,"K";#N/A,#N/A,FALSE,"L";#N/A,#N/A,FALSE,"M";#N/A,#N/A,FALSE,"N";#N/A,#N/A,FALSE,"O"}</definedName>
    <definedName name="wrn.Output._.tables." localSheetId="80" hidden="1">{#N/A,#N/A,FALSE,"I";#N/A,#N/A,FALSE,"J";#N/A,#N/A,FALSE,"K";#N/A,#N/A,FALSE,"L";#N/A,#N/A,FALSE,"M";#N/A,#N/A,FALSE,"N";#N/A,#N/A,FALSE,"O"}</definedName>
    <definedName name="wrn.Output._.tables." localSheetId="81" hidden="1">{#N/A,#N/A,FALSE,"I";#N/A,#N/A,FALSE,"J";#N/A,#N/A,FALSE,"K";#N/A,#N/A,FALSE,"L";#N/A,#N/A,FALSE,"M";#N/A,#N/A,FALSE,"N";#N/A,#N/A,FALSE,"O"}</definedName>
    <definedName name="wrn.Output._.tables." localSheetId="83" hidden="1">{#N/A,#N/A,FALSE,"I";#N/A,#N/A,FALSE,"J";#N/A,#N/A,FALSE,"K";#N/A,#N/A,FALSE,"L";#N/A,#N/A,FALSE,"M";#N/A,#N/A,FALSE,"N";#N/A,#N/A,FALSE,"O"}</definedName>
    <definedName name="wrn.Output._.tables." localSheetId="97" hidden="1">{#N/A,#N/A,FALSE,"I";#N/A,#N/A,FALSE,"J";#N/A,#N/A,FALSE,"K";#N/A,#N/A,FALSE,"L";#N/A,#N/A,FALSE,"M";#N/A,#N/A,FALSE,"N";#N/A,#N/A,FALSE,"O"}</definedName>
    <definedName name="wrn.Output._.tables." localSheetId="98" hidden="1">{#N/A,#N/A,FALSE,"I";#N/A,#N/A,FALSE,"J";#N/A,#N/A,FALSE,"K";#N/A,#N/A,FALSE,"L";#N/A,#N/A,FALSE,"M";#N/A,#N/A,FALSE,"N";#N/A,#N/A,FALSE,"O"}</definedName>
    <definedName name="wrn.Output._.tables." localSheetId="99" hidden="1">{#N/A,#N/A,FALSE,"I";#N/A,#N/A,FALSE,"J";#N/A,#N/A,FALSE,"K";#N/A,#N/A,FALSE,"L";#N/A,#N/A,FALSE,"M";#N/A,#N/A,FALSE,"N";#N/A,#N/A,FALSE,"O"}</definedName>
    <definedName name="wrn.Output._.tables." localSheetId="100" hidden="1">{#N/A,#N/A,FALSE,"I";#N/A,#N/A,FALSE,"J";#N/A,#N/A,FALSE,"K";#N/A,#N/A,FALSE,"L";#N/A,#N/A,FALSE,"M";#N/A,#N/A,FALSE,"N";#N/A,#N/A,FALSE,"O"}</definedName>
    <definedName name="wrn.Output._.tables." localSheetId="101" hidden="1">{#N/A,#N/A,FALSE,"I";#N/A,#N/A,FALSE,"J";#N/A,#N/A,FALSE,"K";#N/A,#N/A,FALSE,"L";#N/A,#N/A,FALSE,"M";#N/A,#N/A,FALSE,"N";#N/A,#N/A,FALSE,"O"}</definedName>
    <definedName name="wrn.Output._.tables." localSheetId="108" hidden="1">{#N/A,#N/A,FALSE,"I";#N/A,#N/A,FALSE,"J";#N/A,#N/A,FALSE,"K";#N/A,#N/A,FALSE,"L";#N/A,#N/A,FALSE,"M";#N/A,#N/A,FALSE,"N";#N/A,#N/A,FALSE,"O"}</definedName>
    <definedName name="wrn.Output._.tables." localSheetId="115" hidden="1">{#N/A,#N/A,FALSE,"I";#N/A,#N/A,FALSE,"J";#N/A,#N/A,FALSE,"K";#N/A,#N/A,FALSE,"L";#N/A,#N/A,FALSE,"M";#N/A,#N/A,FALSE,"N";#N/A,#N/A,FALSE,"O"}</definedName>
    <definedName name="wrn.Output._.tables." localSheetId="5" hidden="1">{#N/A,#N/A,FALSE,"I";#N/A,#N/A,FALSE,"J";#N/A,#N/A,FALSE,"K";#N/A,#N/A,FALSE,"L";#N/A,#N/A,FALSE,"M";#N/A,#N/A,FALSE,"N";#N/A,#N/A,FALSE,"O"}</definedName>
    <definedName name="wrn.Output._.tables." localSheetId="7" hidden="1">{#N/A,#N/A,FALSE,"I";#N/A,#N/A,FALSE,"J";#N/A,#N/A,FALSE,"K";#N/A,#N/A,FALSE,"L";#N/A,#N/A,FALSE,"M";#N/A,#N/A,FALSE,"N";#N/A,#N/A,FALSE,"O"}</definedName>
    <definedName name="wrn.Output._.tables." localSheetId="8" hidden="1">{#N/A,#N/A,FALSE,"I";#N/A,#N/A,FALSE,"J";#N/A,#N/A,FALSE,"K";#N/A,#N/A,FALSE,"L";#N/A,#N/A,FALSE,"M";#N/A,#N/A,FALSE,"N";#N/A,#N/A,FALSE,"O"}</definedName>
    <definedName name="wrn.Output._.tables." localSheetId="9" hidden="1">{#N/A,#N/A,FALSE,"I";#N/A,#N/A,FALSE,"J";#N/A,#N/A,FALSE,"K";#N/A,#N/A,FALSE,"L";#N/A,#N/A,FALSE,"M";#N/A,#N/A,FALSE,"N";#N/A,#N/A,FALSE,"O"}</definedName>
    <definedName name="wrn.Output._.tables." localSheetId="10" hidden="1">{#N/A,#N/A,FALSE,"I";#N/A,#N/A,FALSE,"J";#N/A,#N/A,FALSE,"K";#N/A,#N/A,FALSE,"L";#N/A,#N/A,FALSE,"M";#N/A,#N/A,FALSE,"N";#N/A,#N/A,FALSE,"O"}</definedName>
    <definedName name="wrn.Output._.tables." localSheetId="14" hidden="1">{#N/A,#N/A,FALSE,"I";#N/A,#N/A,FALSE,"J";#N/A,#N/A,FALSE,"K";#N/A,#N/A,FALSE,"L";#N/A,#N/A,FALSE,"M";#N/A,#N/A,FALSE,"N";#N/A,#N/A,FALSE,"O"}</definedName>
    <definedName name="wrn.Output._.tables." localSheetId="19" hidden="1">{#N/A,#N/A,FALSE,"I";#N/A,#N/A,FALSE,"J";#N/A,#N/A,FALSE,"K";#N/A,#N/A,FALSE,"L";#N/A,#N/A,FALSE,"M";#N/A,#N/A,FALSE,"N";#N/A,#N/A,FALSE,"O"}</definedName>
    <definedName name="wrn.Output._.tables." localSheetId="21" hidden="1">{#N/A,#N/A,FALSE,"I";#N/A,#N/A,FALSE,"J";#N/A,#N/A,FALSE,"K";#N/A,#N/A,FALSE,"L";#N/A,#N/A,FALSE,"M";#N/A,#N/A,FALSE,"N";#N/A,#N/A,FALSE,"O"}</definedName>
    <definedName name="wrn.Output._.tables." localSheetId="23" hidden="1">{#N/A,#N/A,FALSE,"I";#N/A,#N/A,FALSE,"J";#N/A,#N/A,FALSE,"K";#N/A,#N/A,FALSE,"L";#N/A,#N/A,FALSE,"M";#N/A,#N/A,FALSE,"N";#N/A,#N/A,FALSE,"O"}</definedName>
    <definedName name="wrn.Output._.tables." localSheetId="24" hidden="1">{#N/A,#N/A,FALSE,"I";#N/A,#N/A,FALSE,"J";#N/A,#N/A,FALSE,"K";#N/A,#N/A,FALSE,"L";#N/A,#N/A,FALSE,"M";#N/A,#N/A,FALSE,"N";#N/A,#N/A,FALSE,"O"}</definedName>
    <definedName name="wrn.Output._.tables." localSheetId="25" hidden="1">{#N/A,#N/A,FALSE,"I";#N/A,#N/A,FALSE,"J";#N/A,#N/A,FALSE,"K";#N/A,#N/A,FALSE,"L";#N/A,#N/A,FALSE,"M";#N/A,#N/A,FALSE,"N";#N/A,#N/A,FALSE,"O"}</definedName>
    <definedName name="wrn.Output._.tables." localSheetId="27" hidden="1">{#N/A,#N/A,FALSE,"I";#N/A,#N/A,FALSE,"J";#N/A,#N/A,FALSE,"K";#N/A,#N/A,FALSE,"L";#N/A,#N/A,FALSE,"M";#N/A,#N/A,FALSE,"N";#N/A,#N/A,FALSE,"O"}</definedName>
    <definedName name="wrn.Output._.tables." localSheetId="30" hidden="1">{#N/A,#N/A,FALSE,"I";#N/A,#N/A,FALSE,"J";#N/A,#N/A,FALSE,"K";#N/A,#N/A,FALSE,"L";#N/A,#N/A,FALSE,"M";#N/A,#N/A,FALSE,"N";#N/A,#N/A,FALSE,"O"}</definedName>
    <definedName name="wrn.Output._.tables." localSheetId="33" hidden="1">{#N/A,#N/A,FALSE,"I";#N/A,#N/A,FALSE,"J";#N/A,#N/A,FALSE,"K";#N/A,#N/A,FALSE,"L";#N/A,#N/A,FALSE,"M";#N/A,#N/A,FALSE,"N";#N/A,#N/A,FALSE,"O"}</definedName>
    <definedName name="wrn.Output._.tables." localSheetId="34" hidden="1">{#N/A,#N/A,FALSE,"I";#N/A,#N/A,FALSE,"J";#N/A,#N/A,FALSE,"K";#N/A,#N/A,FALSE,"L";#N/A,#N/A,FALSE,"M";#N/A,#N/A,FALSE,"N";#N/A,#N/A,FALSE,"O"}</definedName>
    <definedName name="wrn.Output._.tables." localSheetId="35" hidden="1">{#N/A,#N/A,FALSE,"I";#N/A,#N/A,FALSE,"J";#N/A,#N/A,FALSE,"K";#N/A,#N/A,FALSE,"L";#N/A,#N/A,FALSE,"M";#N/A,#N/A,FALSE,"N";#N/A,#N/A,FALSE,"O"}</definedName>
    <definedName name="wrn.Output._.tables." localSheetId="36" hidden="1">{#N/A,#N/A,FALSE,"I";#N/A,#N/A,FALSE,"J";#N/A,#N/A,FALSE,"K";#N/A,#N/A,FALSE,"L";#N/A,#N/A,FALSE,"M";#N/A,#N/A,FALSE,"N";#N/A,#N/A,FALSE,"O"}</definedName>
    <definedName name="wrn.Output._.tables." localSheetId="37" hidden="1">{#N/A,#N/A,FALSE,"I";#N/A,#N/A,FALSE,"J";#N/A,#N/A,FALSE,"K";#N/A,#N/A,FALSE,"L";#N/A,#N/A,FALSE,"M";#N/A,#N/A,FALSE,"N";#N/A,#N/A,FALSE,"O"}</definedName>
    <definedName name="wrn.Output._.tables." localSheetId="38" hidden="1">{#N/A,#N/A,FALSE,"I";#N/A,#N/A,FALSE,"J";#N/A,#N/A,FALSE,"K";#N/A,#N/A,FALSE,"L";#N/A,#N/A,FALSE,"M";#N/A,#N/A,FALSE,"N";#N/A,#N/A,FALSE,"O"}</definedName>
    <definedName name="wrn.Output._.tables." localSheetId="39" hidden="1">{#N/A,#N/A,FALSE,"I";#N/A,#N/A,FALSE,"J";#N/A,#N/A,FALSE,"K";#N/A,#N/A,FALSE,"L";#N/A,#N/A,FALSE,"M";#N/A,#N/A,FALSE,"N";#N/A,#N/A,FALSE,"O"}</definedName>
    <definedName name="wrn.Output._.tables." localSheetId="40" hidden="1">{#N/A,#N/A,FALSE,"I";#N/A,#N/A,FALSE,"J";#N/A,#N/A,FALSE,"K";#N/A,#N/A,FALSE,"L";#N/A,#N/A,FALSE,"M";#N/A,#N/A,FALSE,"N";#N/A,#N/A,FALSE,"O"}</definedName>
    <definedName name="wrn.Output._.tables." hidden="1">{#N/A,#N/A,FALSE,"I";#N/A,#N/A,FALSE,"J";#N/A,#N/A,FALSE,"K";#N/A,#N/A,FALSE,"L";#N/A,#N/A,FALSE,"M";#N/A,#N/A,FALSE,"N";#N/A,#N/A,FALSE,"O"}</definedName>
    <definedName name="wrn.Program." localSheetId="50" hidden="1">{"Tab1",#N/A,FALSE,"P";"Tab2",#N/A,FALSE,"P"}</definedName>
    <definedName name="wrn.Program." localSheetId="55" hidden="1">{"Tab1",#N/A,FALSE,"P";"Tab2",#N/A,FALSE,"P"}</definedName>
    <definedName name="wrn.Program." localSheetId="56" hidden="1">{"Tab1",#N/A,FALSE,"P";"Tab2",#N/A,FALSE,"P"}</definedName>
    <definedName name="wrn.Program." localSheetId="57" hidden="1">{"Tab1",#N/A,FALSE,"P";"Tab2",#N/A,FALSE,"P"}</definedName>
    <definedName name="wrn.Program." localSheetId="58" hidden="1">{"Tab1",#N/A,FALSE,"P";"Tab2",#N/A,FALSE,"P"}</definedName>
    <definedName name="wrn.Program." localSheetId="59" hidden="1">{"Tab1",#N/A,FALSE,"P";"Tab2",#N/A,FALSE,"P"}</definedName>
    <definedName name="wrn.Program." localSheetId="62" hidden="1">{"Tab1",#N/A,FALSE,"P";"Tab2",#N/A,FALSE,"P"}</definedName>
    <definedName name="wrn.Program." localSheetId="70" hidden="1">{"Tab1",#N/A,FALSE,"P";"Tab2",#N/A,FALSE,"P"}</definedName>
    <definedName name="wrn.Program." localSheetId="71" hidden="1">{"Tab1",#N/A,FALSE,"P";"Tab2",#N/A,FALSE,"P"}</definedName>
    <definedName name="wrn.Program." localSheetId="72" hidden="1">{"Tab1",#N/A,FALSE,"P";"Tab2",#N/A,FALSE,"P"}</definedName>
    <definedName name="wrn.Program." localSheetId="73" hidden="1">{"Tab1",#N/A,FALSE,"P";"Tab2",#N/A,FALSE,"P"}</definedName>
    <definedName name="wrn.Program." localSheetId="74" hidden="1">{"Tab1",#N/A,FALSE,"P";"Tab2",#N/A,FALSE,"P"}</definedName>
    <definedName name="wrn.Program." localSheetId="75" hidden="1">{"Tab1",#N/A,FALSE,"P";"Tab2",#N/A,FALSE,"P"}</definedName>
    <definedName name="wrn.Program." localSheetId="76" hidden="1">{"Tab1",#N/A,FALSE,"P";"Tab2",#N/A,FALSE,"P"}</definedName>
    <definedName name="wrn.Program." localSheetId="79" hidden="1">{"Tab1",#N/A,FALSE,"P";"Tab2",#N/A,FALSE,"P"}</definedName>
    <definedName name="wrn.Program." localSheetId="80" hidden="1">{"Tab1",#N/A,FALSE,"P";"Tab2",#N/A,FALSE,"P"}</definedName>
    <definedName name="wrn.Program." localSheetId="81" hidden="1">{"Tab1",#N/A,FALSE,"P";"Tab2",#N/A,FALSE,"P"}</definedName>
    <definedName name="wrn.Program." localSheetId="83" hidden="1">{"Tab1",#N/A,FALSE,"P";"Tab2",#N/A,FALSE,"P"}</definedName>
    <definedName name="wrn.Program." localSheetId="97" hidden="1">{"Tab1",#N/A,FALSE,"P";"Tab2",#N/A,FALSE,"P"}</definedName>
    <definedName name="wrn.Program." localSheetId="98" hidden="1">{"Tab1",#N/A,FALSE,"P";"Tab2",#N/A,FALSE,"P"}</definedName>
    <definedName name="wrn.Program." localSheetId="99" hidden="1">{"Tab1",#N/A,FALSE,"P";"Tab2",#N/A,FALSE,"P"}</definedName>
    <definedName name="wrn.Program." localSheetId="100" hidden="1">{"Tab1",#N/A,FALSE,"P";"Tab2",#N/A,FALSE,"P"}</definedName>
    <definedName name="wrn.Program." localSheetId="101" hidden="1">{"Tab1",#N/A,FALSE,"P";"Tab2",#N/A,FALSE,"P"}</definedName>
    <definedName name="wrn.Program." localSheetId="108" hidden="1">{"Tab1",#N/A,FALSE,"P";"Tab2",#N/A,FALSE,"P"}</definedName>
    <definedName name="wrn.Program." localSheetId="115" hidden="1">{"Tab1",#N/A,FALSE,"P";"Tab2",#N/A,FALSE,"P"}</definedName>
    <definedName name="wrn.Program." localSheetId="5" hidden="1">{"Tab1",#N/A,FALSE,"P";"Tab2",#N/A,FALSE,"P"}</definedName>
    <definedName name="wrn.Program." localSheetId="7" hidden="1">{"Tab1",#N/A,FALSE,"P";"Tab2",#N/A,FALSE,"P"}</definedName>
    <definedName name="wrn.Program." localSheetId="8" hidden="1">{"Tab1",#N/A,FALSE,"P";"Tab2",#N/A,FALSE,"P"}</definedName>
    <definedName name="wrn.Program." localSheetId="9" hidden="1">{"Tab1",#N/A,FALSE,"P";"Tab2",#N/A,FALSE,"P"}</definedName>
    <definedName name="wrn.Program." localSheetId="10" hidden="1">{"Tab1",#N/A,FALSE,"P";"Tab2",#N/A,FALSE,"P"}</definedName>
    <definedName name="wrn.Program." localSheetId="14" hidden="1">{"Tab1",#N/A,FALSE,"P";"Tab2",#N/A,FALSE,"P"}</definedName>
    <definedName name="wrn.Program." localSheetId="19" hidden="1">{"Tab1",#N/A,FALSE,"P";"Tab2",#N/A,FALSE,"P"}</definedName>
    <definedName name="wrn.Program." localSheetId="21" hidden="1">{"Tab1",#N/A,FALSE,"P";"Tab2",#N/A,FALSE,"P"}</definedName>
    <definedName name="wrn.Program." localSheetId="23" hidden="1">{"Tab1",#N/A,FALSE,"P";"Tab2",#N/A,FALSE,"P"}</definedName>
    <definedName name="wrn.Program." localSheetId="24" hidden="1">{"Tab1",#N/A,FALSE,"P";"Tab2",#N/A,FALSE,"P"}</definedName>
    <definedName name="wrn.Program." localSheetId="25" hidden="1">{"Tab1",#N/A,FALSE,"P";"Tab2",#N/A,FALSE,"P"}</definedName>
    <definedName name="wrn.Program." localSheetId="27" hidden="1">{"Tab1",#N/A,FALSE,"P";"Tab2",#N/A,FALSE,"P"}</definedName>
    <definedName name="wrn.Program." localSheetId="30" hidden="1">{"Tab1",#N/A,FALSE,"P";"Tab2",#N/A,FALSE,"P"}</definedName>
    <definedName name="wrn.Program." localSheetId="33" hidden="1">{"Tab1",#N/A,FALSE,"P";"Tab2",#N/A,FALSE,"P"}</definedName>
    <definedName name="wrn.Program." localSheetId="34" hidden="1">{"Tab1",#N/A,FALSE,"P";"Tab2",#N/A,FALSE,"P"}</definedName>
    <definedName name="wrn.Program." localSheetId="35" hidden="1">{"Tab1",#N/A,FALSE,"P";"Tab2",#N/A,FALSE,"P"}</definedName>
    <definedName name="wrn.Program." localSheetId="36" hidden="1">{"Tab1",#N/A,FALSE,"P";"Tab2",#N/A,FALSE,"P"}</definedName>
    <definedName name="wrn.Program." localSheetId="37" hidden="1">{"Tab1",#N/A,FALSE,"P";"Tab2",#N/A,FALSE,"P"}</definedName>
    <definedName name="wrn.Program." localSheetId="38" hidden="1">{"Tab1",#N/A,FALSE,"P";"Tab2",#N/A,FALSE,"P"}</definedName>
    <definedName name="wrn.Program." localSheetId="39" hidden="1">{"Tab1",#N/A,FALSE,"P";"Tab2",#N/A,FALSE,"P"}</definedName>
    <definedName name="wrn.Program." localSheetId="40" hidden="1">{"Tab1",#N/A,FALSE,"P";"Tab2",#N/A,FALSE,"P"}</definedName>
    <definedName name="wrn.Program." localSheetId="44" hidden="1">{"Tab1",#N/A,FALSE,"P";"Tab2",#N/A,FALSE,"P"}</definedName>
    <definedName name="wrn.Program." hidden="1">{"Tab1",#N/A,FALSE,"P";"Tab2",#N/A,FALSE,"P"}</definedName>
    <definedName name="wrn.Ques._.1." localSheetId="50" hidden="1">{"Ques 1",#N/A,FALSE,"NWEO138"}</definedName>
    <definedName name="wrn.Ques._.1." localSheetId="55" hidden="1">{"Ques 1",#N/A,FALSE,"NWEO138"}</definedName>
    <definedName name="wrn.Ques._.1." localSheetId="56" hidden="1">{"Ques 1",#N/A,FALSE,"NWEO138"}</definedName>
    <definedName name="wrn.Ques._.1." localSheetId="57" hidden="1">{"Ques 1",#N/A,FALSE,"NWEO138"}</definedName>
    <definedName name="wrn.Ques._.1." localSheetId="58" hidden="1">{"Ques 1",#N/A,FALSE,"NWEO138"}</definedName>
    <definedName name="wrn.Ques._.1." localSheetId="59" hidden="1">{"Ques 1",#N/A,FALSE,"NWEO138"}</definedName>
    <definedName name="wrn.Ques._.1." localSheetId="62" hidden="1">{"Ques 1",#N/A,FALSE,"NWEO138"}</definedName>
    <definedName name="wrn.Ques._.1." localSheetId="70" hidden="1">{"Ques 1",#N/A,FALSE,"NWEO138"}</definedName>
    <definedName name="wrn.Ques._.1." localSheetId="71" hidden="1">{"Ques 1",#N/A,FALSE,"NWEO138"}</definedName>
    <definedName name="wrn.Ques._.1." localSheetId="72" hidden="1">{"Ques 1",#N/A,FALSE,"NWEO138"}</definedName>
    <definedName name="wrn.Ques._.1." localSheetId="73" hidden="1">{"Ques 1",#N/A,FALSE,"NWEO138"}</definedName>
    <definedName name="wrn.Ques._.1." localSheetId="74" hidden="1">{"Ques 1",#N/A,FALSE,"NWEO138"}</definedName>
    <definedName name="wrn.Ques._.1." localSheetId="75" hidden="1">{"Ques 1",#N/A,FALSE,"NWEO138"}</definedName>
    <definedName name="wrn.Ques._.1." localSheetId="76" hidden="1">{"Ques 1",#N/A,FALSE,"NWEO138"}</definedName>
    <definedName name="wrn.Ques._.1." localSheetId="79" hidden="1">{"Ques 1",#N/A,FALSE,"NWEO138"}</definedName>
    <definedName name="wrn.Ques._.1." localSheetId="80" hidden="1">{"Ques 1",#N/A,FALSE,"NWEO138"}</definedName>
    <definedName name="wrn.Ques._.1." localSheetId="81" hidden="1">{"Ques 1",#N/A,FALSE,"NWEO138"}</definedName>
    <definedName name="wrn.Ques._.1." localSheetId="83" hidden="1">{"Ques 1",#N/A,FALSE,"NWEO138"}</definedName>
    <definedName name="wrn.Ques._.1." localSheetId="97" hidden="1">{"Ques 1",#N/A,FALSE,"NWEO138"}</definedName>
    <definedName name="wrn.Ques._.1." localSheetId="98" hidden="1">{"Ques 1",#N/A,FALSE,"NWEO138"}</definedName>
    <definedName name="wrn.Ques._.1." localSheetId="99" hidden="1">{"Ques 1",#N/A,FALSE,"NWEO138"}</definedName>
    <definedName name="wrn.Ques._.1." localSheetId="100" hidden="1">{"Ques 1",#N/A,FALSE,"NWEO138"}</definedName>
    <definedName name="wrn.Ques._.1." localSheetId="101" hidden="1">{"Ques 1",#N/A,FALSE,"NWEO138"}</definedName>
    <definedName name="wrn.Ques._.1." localSheetId="108" hidden="1">{"Ques 1",#N/A,FALSE,"NWEO138"}</definedName>
    <definedName name="wrn.Ques._.1." localSheetId="115" hidden="1">{"Ques 1",#N/A,FALSE,"NWEO138"}</definedName>
    <definedName name="wrn.Ques._.1." localSheetId="5" hidden="1">{"Ques 1",#N/A,FALSE,"NWEO138"}</definedName>
    <definedName name="wrn.Ques._.1." localSheetId="7" hidden="1">{"Ques 1",#N/A,FALSE,"NWEO138"}</definedName>
    <definedName name="wrn.Ques._.1." localSheetId="8" hidden="1">{"Ques 1",#N/A,FALSE,"NWEO138"}</definedName>
    <definedName name="wrn.Ques._.1." localSheetId="9" hidden="1">{"Ques 1",#N/A,FALSE,"NWEO138"}</definedName>
    <definedName name="wrn.Ques._.1." localSheetId="10" hidden="1">{"Ques 1",#N/A,FALSE,"NWEO138"}</definedName>
    <definedName name="wrn.Ques._.1." localSheetId="14" hidden="1">{"Ques 1",#N/A,FALSE,"NWEO138"}</definedName>
    <definedName name="wrn.Ques._.1." localSheetId="19" hidden="1">{"Ques 1",#N/A,FALSE,"NWEO138"}</definedName>
    <definedName name="wrn.Ques._.1." localSheetId="21" hidden="1">{"Ques 1",#N/A,FALSE,"NWEO138"}</definedName>
    <definedName name="wrn.Ques._.1." localSheetId="23" hidden="1">{"Ques 1",#N/A,FALSE,"NWEO138"}</definedName>
    <definedName name="wrn.Ques._.1." localSheetId="24" hidden="1">{"Ques 1",#N/A,FALSE,"NWEO138"}</definedName>
    <definedName name="wrn.Ques._.1." localSheetId="25" hidden="1">{"Ques 1",#N/A,FALSE,"NWEO138"}</definedName>
    <definedName name="wrn.Ques._.1." localSheetId="27" hidden="1">{"Ques 1",#N/A,FALSE,"NWEO138"}</definedName>
    <definedName name="wrn.Ques._.1." localSheetId="30" hidden="1">{"Ques 1",#N/A,FALSE,"NWEO138"}</definedName>
    <definedName name="wrn.Ques._.1." localSheetId="33" hidden="1">{"Ques 1",#N/A,FALSE,"NWEO138"}</definedName>
    <definedName name="wrn.Ques._.1." localSheetId="34" hidden="1">{"Ques 1",#N/A,FALSE,"NWEO138"}</definedName>
    <definedName name="wrn.Ques._.1." localSheetId="35" hidden="1">{"Ques 1",#N/A,FALSE,"NWEO138"}</definedName>
    <definedName name="wrn.Ques._.1." localSheetId="36" hidden="1">{"Ques 1",#N/A,FALSE,"NWEO138"}</definedName>
    <definedName name="wrn.Ques._.1." localSheetId="37" hidden="1">{"Ques 1",#N/A,FALSE,"NWEO138"}</definedName>
    <definedName name="wrn.Ques._.1." localSheetId="38" hidden="1">{"Ques 1",#N/A,FALSE,"NWEO138"}</definedName>
    <definedName name="wrn.Ques._.1." localSheetId="39" hidden="1">{"Ques 1",#N/A,FALSE,"NWEO138"}</definedName>
    <definedName name="wrn.Ques._.1." localSheetId="40" hidden="1">{"Ques 1",#N/A,FALSE,"NWEO138"}</definedName>
    <definedName name="wrn.Ques._.1." hidden="1">{"Ques 1",#N/A,FALSE,"NWEO138"}</definedName>
    <definedName name="wrn.Riqfin." localSheetId="50" hidden="1">{"Riqfin97",#N/A,FALSE,"Tran";"Riqfinpro",#N/A,FALSE,"Tran"}</definedName>
    <definedName name="wrn.Riqfin." localSheetId="55" hidden="1">{"Riqfin97",#N/A,FALSE,"Tran";"Riqfinpro",#N/A,FALSE,"Tran"}</definedName>
    <definedName name="wrn.Riqfin." localSheetId="56" hidden="1">{"Riqfin97",#N/A,FALSE,"Tran";"Riqfinpro",#N/A,FALSE,"Tran"}</definedName>
    <definedName name="wrn.Riqfin." localSheetId="57" hidden="1">{"Riqfin97",#N/A,FALSE,"Tran";"Riqfinpro",#N/A,FALSE,"Tran"}</definedName>
    <definedName name="wrn.Riqfin." localSheetId="58" hidden="1">{"Riqfin97",#N/A,FALSE,"Tran";"Riqfinpro",#N/A,FALSE,"Tran"}</definedName>
    <definedName name="wrn.Riqfin." localSheetId="59" hidden="1">{"Riqfin97",#N/A,FALSE,"Tran";"Riqfinpro",#N/A,FALSE,"Tran"}</definedName>
    <definedName name="wrn.Riqfin." localSheetId="62" hidden="1">{"Riqfin97",#N/A,FALSE,"Tran";"Riqfinpro",#N/A,FALSE,"Tran"}</definedName>
    <definedName name="wrn.Riqfin." localSheetId="70" hidden="1">{"Riqfin97",#N/A,FALSE,"Tran";"Riqfinpro",#N/A,FALSE,"Tran"}</definedName>
    <definedName name="wrn.Riqfin." localSheetId="71" hidden="1">{"Riqfin97",#N/A,FALSE,"Tran";"Riqfinpro",#N/A,FALSE,"Tran"}</definedName>
    <definedName name="wrn.Riqfin." localSheetId="72" hidden="1">{"Riqfin97",#N/A,FALSE,"Tran";"Riqfinpro",#N/A,FALSE,"Tran"}</definedName>
    <definedName name="wrn.Riqfin." localSheetId="73" hidden="1">{"Riqfin97",#N/A,FALSE,"Tran";"Riqfinpro",#N/A,FALSE,"Tran"}</definedName>
    <definedName name="wrn.Riqfin." localSheetId="74" hidden="1">{"Riqfin97",#N/A,FALSE,"Tran";"Riqfinpro",#N/A,FALSE,"Tran"}</definedName>
    <definedName name="wrn.Riqfin." localSheetId="75" hidden="1">{"Riqfin97",#N/A,FALSE,"Tran";"Riqfinpro",#N/A,FALSE,"Tran"}</definedName>
    <definedName name="wrn.Riqfin." localSheetId="76" hidden="1">{"Riqfin97",#N/A,FALSE,"Tran";"Riqfinpro",#N/A,FALSE,"Tran"}</definedName>
    <definedName name="wrn.Riqfin." localSheetId="79" hidden="1">{"Riqfin97",#N/A,FALSE,"Tran";"Riqfinpro",#N/A,FALSE,"Tran"}</definedName>
    <definedName name="wrn.Riqfin." localSheetId="80" hidden="1">{"Riqfin97",#N/A,FALSE,"Tran";"Riqfinpro",#N/A,FALSE,"Tran"}</definedName>
    <definedName name="wrn.Riqfin." localSheetId="81" hidden="1">{"Riqfin97",#N/A,FALSE,"Tran";"Riqfinpro",#N/A,FALSE,"Tran"}</definedName>
    <definedName name="wrn.Riqfin." localSheetId="83" hidden="1">{"Riqfin97",#N/A,FALSE,"Tran";"Riqfinpro",#N/A,FALSE,"Tran"}</definedName>
    <definedName name="wrn.Riqfin." localSheetId="97" hidden="1">{"Riqfin97",#N/A,FALSE,"Tran";"Riqfinpro",#N/A,FALSE,"Tran"}</definedName>
    <definedName name="wrn.Riqfin." localSheetId="98" hidden="1">{"Riqfin97",#N/A,FALSE,"Tran";"Riqfinpro",#N/A,FALSE,"Tran"}</definedName>
    <definedName name="wrn.Riqfin." localSheetId="99" hidden="1">{"Riqfin97",#N/A,FALSE,"Tran";"Riqfinpro",#N/A,FALSE,"Tran"}</definedName>
    <definedName name="wrn.Riqfin." localSheetId="100" hidden="1">{"Riqfin97",#N/A,FALSE,"Tran";"Riqfinpro",#N/A,FALSE,"Tran"}</definedName>
    <definedName name="wrn.Riqfin." localSheetId="101" hidden="1">{"Riqfin97",#N/A,FALSE,"Tran";"Riqfinpro",#N/A,FALSE,"Tran"}</definedName>
    <definedName name="wrn.Riqfin." localSheetId="108" hidden="1">{"Riqfin97",#N/A,FALSE,"Tran";"Riqfinpro",#N/A,FALSE,"Tran"}</definedName>
    <definedName name="wrn.Riqfin." localSheetId="115" hidden="1">{"Riqfin97",#N/A,FALSE,"Tran";"Riqfinpro",#N/A,FALSE,"Tran"}</definedName>
    <definedName name="wrn.Riqfin." localSheetId="5" hidden="1">{"Riqfin97",#N/A,FALSE,"Tran";"Riqfinpro",#N/A,FALSE,"Tran"}</definedName>
    <definedName name="wrn.Riqfin." localSheetId="7" hidden="1">{"Riqfin97",#N/A,FALSE,"Tran";"Riqfinpro",#N/A,FALSE,"Tran"}</definedName>
    <definedName name="wrn.Riqfin." localSheetId="8" hidden="1">{"Riqfin97",#N/A,FALSE,"Tran";"Riqfinpro",#N/A,FALSE,"Tran"}</definedName>
    <definedName name="wrn.Riqfin." localSheetId="9" hidden="1">{"Riqfin97",#N/A,FALSE,"Tran";"Riqfinpro",#N/A,FALSE,"Tran"}</definedName>
    <definedName name="wrn.Riqfin." localSheetId="10" hidden="1">{"Riqfin97",#N/A,FALSE,"Tran";"Riqfinpro",#N/A,FALSE,"Tran"}</definedName>
    <definedName name="wrn.Riqfin." localSheetId="14" hidden="1">{"Riqfin97",#N/A,FALSE,"Tran";"Riqfinpro",#N/A,FALSE,"Tran"}</definedName>
    <definedName name="wrn.Riqfin." localSheetId="19" hidden="1">{"Riqfin97",#N/A,FALSE,"Tran";"Riqfinpro",#N/A,FALSE,"Tran"}</definedName>
    <definedName name="wrn.Riqfin." localSheetId="21" hidden="1">{"Riqfin97",#N/A,FALSE,"Tran";"Riqfinpro",#N/A,FALSE,"Tran"}</definedName>
    <definedName name="wrn.Riqfin." localSheetId="23" hidden="1">{"Riqfin97",#N/A,FALSE,"Tran";"Riqfinpro",#N/A,FALSE,"Tran"}</definedName>
    <definedName name="wrn.Riqfin." localSheetId="24" hidden="1">{"Riqfin97",#N/A,FALSE,"Tran";"Riqfinpro",#N/A,FALSE,"Tran"}</definedName>
    <definedName name="wrn.Riqfin." localSheetId="25" hidden="1">{"Riqfin97",#N/A,FALSE,"Tran";"Riqfinpro",#N/A,FALSE,"Tran"}</definedName>
    <definedName name="wrn.Riqfin." localSheetId="27" hidden="1">{"Riqfin97",#N/A,FALSE,"Tran";"Riqfinpro",#N/A,FALSE,"Tran"}</definedName>
    <definedName name="wrn.Riqfin." localSheetId="30" hidden="1">{"Riqfin97",#N/A,FALSE,"Tran";"Riqfinpro",#N/A,FALSE,"Tran"}</definedName>
    <definedName name="wrn.Riqfin." localSheetId="33" hidden="1">{"Riqfin97",#N/A,FALSE,"Tran";"Riqfinpro",#N/A,FALSE,"Tran"}</definedName>
    <definedName name="wrn.Riqfin." localSheetId="34" hidden="1">{"Riqfin97",#N/A,FALSE,"Tran";"Riqfinpro",#N/A,FALSE,"Tran"}</definedName>
    <definedName name="wrn.Riqfin." localSheetId="35" hidden="1">{"Riqfin97",#N/A,FALSE,"Tran";"Riqfinpro",#N/A,FALSE,"Tran"}</definedName>
    <definedName name="wrn.Riqfin." localSheetId="36" hidden="1">{"Riqfin97",#N/A,FALSE,"Tran";"Riqfinpro",#N/A,FALSE,"Tran"}</definedName>
    <definedName name="wrn.Riqfin." localSheetId="37" hidden="1">{"Riqfin97",#N/A,FALSE,"Tran";"Riqfinpro",#N/A,FALSE,"Tran"}</definedName>
    <definedName name="wrn.Riqfin." localSheetId="38" hidden="1">{"Riqfin97",#N/A,FALSE,"Tran";"Riqfinpro",#N/A,FALSE,"Tran"}</definedName>
    <definedName name="wrn.Riqfin." localSheetId="39" hidden="1">{"Riqfin97",#N/A,FALSE,"Tran";"Riqfinpro",#N/A,FALSE,"Tran"}</definedName>
    <definedName name="wrn.Riqfin." localSheetId="40" hidden="1">{"Riqfin97",#N/A,FALSE,"Tran";"Riqfinpro",#N/A,FALSE,"Tran"}</definedName>
    <definedName name="wrn.Riqfin." localSheetId="44" hidden="1">{"Riqfin97",#N/A,FALSE,"Tran";"Riqfinpro",#N/A,FALSE,"Tran"}</definedName>
    <definedName name="wrn.Riqfin." hidden="1">{"Riqfin97",#N/A,FALSE,"Tran";"Riqfinpro",#N/A,FALSE,"Tran"}</definedName>
    <definedName name="wrn.Staff._.Report._.Tables." localSheetId="50" hidden="1">{#N/A,#N/A,FALSE,"SRFSYS";#N/A,#N/A,FALSE,"SRBSYS"}</definedName>
    <definedName name="wrn.Staff._.Report._.Tables." localSheetId="55" hidden="1">{#N/A,#N/A,FALSE,"SRFSYS";#N/A,#N/A,FALSE,"SRBSYS"}</definedName>
    <definedName name="wrn.Staff._.Report._.Tables." localSheetId="56" hidden="1">{#N/A,#N/A,FALSE,"SRFSYS";#N/A,#N/A,FALSE,"SRBSYS"}</definedName>
    <definedName name="wrn.Staff._.Report._.Tables." localSheetId="57" hidden="1">{#N/A,#N/A,FALSE,"SRFSYS";#N/A,#N/A,FALSE,"SRBSYS"}</definedName>
    <definedName name="wrn.Staff._.Report._.Tables." localSheetId="58" hidden="1">{#N/A,#N/A,FALSE,"SRFSYS";#N/A,#N/A,FALSE,"SRBSYS"}</definedName>
    <definedName name="wrn.Staff._.Report._.Tables." localSheetId="59" hidden="1">{#N/A,#N/A,FALSE,"SRFSYS";#N/A,#N/A,FALSE,"SRBSYS"}</definedName>
    <definedName name="wrn.Staff._.Report._.Tables." localSheetId="62" hidden="1">{#N/A,#N/A,FALSE,"SRFSYS";#N/A,#N/A,FALSE,"SRBSYS"}</definedName>
    <definedName name="wrn.Staff._.Report._.Tables." localSheetId="70" hidden="1">{#N/A,#N/A,FALSE,"SRFSYS";#N/A,#N/A,FALSE,"SRBSYS"}</definedName>
    <definedName name="wrn.Staff._.Report._.Tables." localSheetId="71" hidden="1">{#N/A,#N/A,FALSE,"SRFSYS";#N/A,#N/A,FALSE,"SRBSYS"}</definedName>
    <definedName name="wrn.Staff._.Report._.Tables." localSheetId="72" hidden="1">{#N/A,#N/A,FALSE,"SRFSYS";#N/A,#N/A,FALSE,"SRBSYS"}</definedName>
    <definedName name="wrn.Staff._.Report._.Tables." localSheetId="73" hidden="1">{#N/A,#N/A,FALSE,"SRFSYS";#N/A,#N/A,FALSE,"SRBSYS"}</definedName>
    <definedName name="wrn.Staff._.Report._.Tables." localSheetId="74" hidden="1">{#N/A,#N/A,FALSE,"SRFSYS";#N/A,#N/A,FALSE,"SRBSYS"}</definedName>
    <definedName name="wrn.Staff._.Report._.Tables." localSheetId="75" hidden="1">{#N/A,#N/A,FALSE,"SRFSYS";#N/A,#N/A,FALSE,"SRBSYS"}</definedName>
    <definedName name="wrn.Staff._.Report._.Tables." localSheetId="76" hidden="1">{#N/A,#N/A,FALSE,"SRFSYS";#N/A,#N/A,FALSE,"SRBSYS"}</definedName>
    <definedName name="wrn.Staff._.Report._.Tables." localSheetId="79" hidden="1">{#N/A,#N/A,FALSE,"SRFSYS";#N/A,#N/A,FALSE,"SRBSYS"}</definedName>
    <definedName name="wrn.Staff._.Report._.Tables." localSheetId="80" hidden="1">{#N/A,#N/A,FALSE,"SRFSYS";#N/A,#N/A,FALSE,"SRBSYS"}</definedName>
    <definedName name="wrn.Staff._.Report._.Tables." localSheetId="81" hidden="1">{#N/A,#N/A,FALSE,"SRFSYS";#N/A,#N/A,FALSE,"SRBSYS"}</definedName>
    <definedName name="wrn.Staff._.Report._.Tables." localSheetId="83" hidden="1">{#N/A,#N/A,FALSE,"SRFSYS";#N/A,#N/A,FALSE,"SRBSYS"}</definedName>
    <definedName name="wrn.Staff._.Report._.Tables." localSheetId="97" hidden="1">{#N/A,#N/A,FALSE,"SRFSYS";#N/A,#N/A,FALSE,"SRBSYS"}</definedName>
    <definedName name="wrn.Staff._.Report._.Tables." localSheetId="98" hidden="1">{#N/A,#N/A,FALSE,"SRFSYS";#N/A,#N/A,FALSE,"SRBSYS"}</definedName>
    <definedName name="wrn.Staff._.Report._.Tables." localSheetId="99" hidden="1">{#N/A,#N/A,FALSE,"SRFSYS";#N/A,#N/A,FALSE,"SRBSYS"}</definedName>
    <definedName name="wrn.Staff._.Report._.Tables." localSheetId="100" hidden="1">{#N/A,#N/A,FALSE,"SRFSYS";#N/A,#N/A,FALSE,"SRBSYS"}</definedName>
    <definedName name="wrn.Staff._.Report._.Tables." localSheetId="101" hidden="1">{#N/A,#N/A,FALSE,"SRFSYS";#N/A,#N/A,FALSE,"SRBSYS"}</definedName>
    <definedName name="wrn.Staff._.Report._.Tables." localSheetId="108" hidden="1">{#N/A,#N/A,FALSE,"SRFSYS";#N/A,#N/A,FALSE,"SRBSYS"}</definedName>
    <definedName name="wrn.Staff._.Report._.Tables." localSheetId="115" hidden="1">{#N/A,#N/A,FALSE,"SRFSYS";#N/A,#N/A,FALSE,"SRBSYS"}</definedName>
    <definedName name="wrn.Staff._.Report._.Tables." localSheetId="5" hidden="1">{#N/A,#N/A,FALSE,"SRFSYS";#N/A,#N/A,FALSE,"SRBSYS"}</definedName>
    <definedName name="wrn.Staff._.Report._.Tables." localSheetId="7" hidden="1">{#N/A,#N/A,FALSE,"SRFSYS";#N/A,#N/A,FALSE,"SRBSYS"}</definedName>
    <definedName name="wrn.Staff._.Report._.Tables." localSheetId="8" hidden="1">{#N/A,#N/A,FALSE,"SRFSYS";#N/A,#N/A,FALSE,"SRBSYS"}</definedName>
    <definedName name="wrn.Staff._.Report._.Tables." localSheetId="9" hidden="1">{#N/A,#N/A,FALSE,"SRFSYS";#N/A,#N/A,FALSE,"SRBSYS"}</definedName>
    <definedName name="wrn.Staff._.Report._.Tables." localSheetId="10" hidden="1">{#N/A,#N/A,FALSE,"SRFSYS";#N/A,#N/A,FALSE,"SRBSYS"}</definedName>
    <definedName name="wrn.Staff._.Report._.Tables." localSheetId="14" hidden="1">{#N/A,#N/A,FALSE,"SRFSYS";#N/A,#N/A,FALSE,"SRBSYS"}</definedName>
    <definedName name="wrn.Staff._.Report._.Tables." localSheetId="19" hidden="1">{#N/A,#N/A,FALSE,"SRFSYS";#N/A,#N/A,FALSE,"SRBSYS"}</definedName>
    <definedName name="wrn.Staff._.Report._.Tables." localSheetId="21" hidden="1">{#N/A,#N/A,FALSE,"SRFSYS";#N/A,#N/A,FALSE,"SRBSYS"}</definedName>
    <definedName name="wrn.Staff._.Report._.Tables." localSheetId="23" hidden="1">{#N/A,#N/A,FALSE,"SRFSYS";#N/A,#N/A,FALSE,"SRBSYS"}</definedName>
    <definedName name="wrn.Staff._.Report._.Tables." localSheetId="24" hidden="1">{#N/A,#N/A,FALSE,"SRFSYS";#N/A,#N/A,FALSE,"SRBSYS"}</definedName>
    <definedName name="wrn.Staff._.Report._.Tables." localSheetId="25" hidden="1">{#N/A,#N/A,FALSE,"SRFSYS";#N/A,#N/A,FALSE,"SRBSYS"}</definedName>
    <definedName name="wrn.Staff._.Report._.Tables." localSheetId="27" hidden="1">{#N/A,#N/A,FALSE,"SRFSYS";#N/A,#N/A,FALSE,"SRBSYS"}</definedName>
    <definedName name="wrn.Staff._.Report._.Tables." localSheetId="30" hidden="1">{#N/A,#N/A,FALSE,"SRFSYS";#N/A,#N/A,FALSE,"SRBSYS"}</definedName>
    <definedName name="wrn.Staff._.Report._.Tables." localSheetId="33" hidden="1">{#N/A,#N/A,FALSE,"SRFSYS";#N/A,#N/A,FALSE,"SRBSYS"}</definedName>
    <definedName name="wrn.Staff._.Report._.Tables." localSheetId="34" hidden="1">{#N/A,#N/A,FALSE,"SRFSYS";#N/A,#N/A,FALSE,"SRBSYS"}</definedName>
    <definedName name="wrn.Staff._.Report._.Tables." localSheetId="35" hidden="1">{#N/A,#N/A,FALSE,"SRFSYS";#N/A,#N/A,FALSE,"SRBSYS"}</definedName>
    <definedName name="wrn.Staff._.Report._.Tables." localSheetId="36" hidden="1">{#N/A,#N/A,FALSE,"SRFSYS";#N/A,#N/A,FALSE,"SRBSYS"}</definedName>
    <definedName name="wrn.Staff._.Report._.Tables." localSheetId="37" hidden="1">{#N/A,#N/A,FALSE,"SRFSYS";#N/A,#N/A,FALSE,"SRBSYS"}</definedName>
    <definedName name="wrn.Staff._.Report._.Tables." localSheetId="38" hidden="1">{#N/A,#N/A,FALSE,"SRFSYS";#N/A,#N/A,FALSE,"SRBSYS"}</definedName>
    <definedName name="wrn.Staff._.Report._.Tables." localSheetId="39" hidden="1">{#N/A,#N/A,FALSE,"SRFSYS";#N/A,#N/A,FALSE,"SRBSYS"}</definedName>
    <definedName name="wrn.Staff._.Report._.Tables." localSheetId="40" hidden="1">{#N/A,#N/A,FALSE,"SRFSYS";#N/A,#N/A,FALSE,"SRBSYS"}</definedName>
    <definedName name="wrn.Staff._.Report._.Tables." hidden="1">{#N/A,#N/A,FALSE,"SRFSYS";#N/A,#N/A,FALSE,"SRBSYS"}</definedName>
    <definedName name="wrn.WEO." localSheetId="50" hidden="1">{"WEO",#N/A,FALSE,"T"}</definedName>
    <definedName name="wrn.WEO." localSheetId="55" hidden="1">{"WEO",#N/A,FALSE,"T"}</definedName>
    <definedName name="wrn.WEO." localSheetId="56" hidden="1">{"WEO",#N/A,FALSE,"T"}</definedName>
    <definedName name="wrn.WEO." localSheetId="57" hidden="1">{"WEO",#N/A,FALSE,"T"}</definedName>
    <definedName name="wrn.WEO." localSheetId="58" hidden="1">{"WEO",#N/A,FALSE,"T"}</definedName>
    <definedName name="wrn.WEO." localSheetId="59" hidden="1">{"WEO",#N/A,FALSE,"T"}</definedName>
    <definedName name="wrn.WEO." localSheetId="62" hidden="1">{"WEO",#N/A,FALSE,"T"}</definedName>
    <definedName name="wrn.WEO." localSheetId="70" hidden="1">{"WEO",#N/A,FALSE,"T"}</definedName>
    <definedName name="wrn.WEO." localSheetId="71" hidden="1">{"WEO",#N/A,FALSE,"T"}</definedName>
    <definedName name="wrn.WEO." localSheetId="72" hidden="1">{"WEO",#N/A,FALSE,"T"}</definedName>
    <definedName name="wrn.WEO." localSheetId="73" hidden="1">{"WEO",#N/A,FALSE,"T"}</definedName>
    <definedName name="wrn.WEO." localSheetId="74" hidden="1">{"WEO",#N/A,FALSE,"T"}</definedName>
    <definedName name="wrn.WEO." localSheetId="75" hidden="1">{"WEO",#N/A,FALSE,"T"}</definedName>
    <definedName name="wrn.WEO." localSheetId="76" hidden="1">{"WEO",#N/A,FALSE,"T"}</definedName>
    <definedName name="wrn.WEO." localSheetId="79" hidden="1">{"WEO",#N/A,FALSE,"T"}</definedName>
    <definedName name="wrn.WEO." localSheetId="80" hidden="1">{"WEO",#N/A,FALSE,"T"}</definedName>
    <definedName name="wrn.WEO." localSheetId="81" hidden="1">{"WEO",#N/A,FALSE,"T"}</definedName>
    <definedName name="wrn.WEO." localSheetId="83" hidden="1">{"WEO",#N/A,FALSE,"T"}</definedName>
    <definedName name="wrn.WEO." localSheetId="97" hidden="1">{"WEO",#N/A,FALSE,"T"}</definedName>
    <definedName name="wrn.WEO." localSheetId="98" hidden="1">{"WEO",#N/A,FALSE,"T"}</definedName>
    <definedName name="wrn.WEO." localSheetId="99" hidden="1">{"WEO",#N/A,FALSE,"T"}</definedName>
    <definedName name="wrn.WEO." localSheetId="100" hidden="1">{"WEO",#N/A,FALSE,"T"}</definedName>
    <definedName name="wrn.WEO." localSheetId="101" hidden="1">{"WEO",#N/A,FALSE,"T"}</definedName>
    <definedName name="wrn.WEO." localSheetId="108" hidden="1">{"WEO",#N/A,FALSE,"T"}</definedName>
    <definedName name="wrn.WEO." localSheetId="115" hidden="1">{"WEO",#N/A,FALSE,"T"}</definedName>
    <definedName name="wrn.WEO." localSheetId="5" hidden="1">{"WEO",#N/A,FALSE,"T"}</definedName>
    <definedName name="wrn.WEO." localSheetId="7" hidden="1">{"WEO",#N/A,FALSE,"T"}</definedName>
    <definedName name="wrn.WEO." localSheetId="8" hidden="1">{"WEO",#N/A,FALSE,"T"}</definedName>
    <definedName name="wrn.WEO." localSheetId="9" hidden="1">{"WEO",#N/A,FALSE,"T"}</definedName>
    <definedName name="wrn.WEO." localSheetId="10" hidden="1">{"WEO",#N/A,FALSE,"T"}</definedName>
    <definedName name="wrn.WEO." localSheetId="14" hidden="1">{"WEO",#N/A,FALSE,"T"}</definedName>
    <definedName name="wrn.WEO." localSheetId="19" hidden="1">{"WEO",#N/A,FALSE,"T"}</definedName>
    <definedName name="wrn.WEO." localSheetId="21" hidden="1">{"WEO",#N/A,FALSE,"T"}</definedName>
    <definedName name="wrn.WEO." localSheetId="23" hidden="1">{"WEO",#N/A,FALSE,"T"}</definedName>
    <definedName name="wrn.WEO." localSheetId="24" hidden="1">{"WEO",#N/A,FALSE,"T"}</definedName>
    <definedName name="wrn.WEO." localSheetId="25" hidden="1">{"WEO",#N/A,FALSE,"T"}</definedName>
    <definedName name="wrn.WEO." localSheetId="27" hidden="1">{"WEO",#N/A,FALSE,"T"}</definedName>
    <definedName name="wrn.WEO." localSheetId="30" hidden="1">{"WEO",#N/A,FALSE,"T"}</definedName>
    <definedName name="wrn.WEO." localSheetId="33" hidden="1">{"WEO",#N/A,FALSE,"T"}</definedName>
    <definedName name="wrn.WEO." localSheetId="34" hidden="1">{"WEO",#N/A,FALSE,"T"}</definedName>
    <definedName name="wrn.WEO." localSheetId="35" hidden="1">{"WEO",#N/A,FALSE,"T"}</definedName>
    <definedName name="wrn.WEO." localSheetId="36" hidden="1">{"WEO",#N/A,FALSE,"T"}</definedName>
    <definedName name="wrn.WEO." localSheetId="37" hidden="1">{"WEO",#N/A,FALSE,"T"}</definedName>
    <definedName name="wrn.WEO." localSheetId="38" hidden="1">{"WEO",#N/A,FALSE,"T"}</definedName>
    <definedName name="wrn.WEO." localSheetId="39" hidden="1">{"WEO",#N/A,FALSE,"T"}</definedName>
    <definedName name="wrn.WEO." localSheetId="40" hidden="1">{"WEO",#N/A,FALSE,"T"}</definedName>
    <definedName name="wrn.WEO." hidden="1">{"WEO",#N/A,FALSE,"T"}</definedName>
    <definedName name="ww" localSheetId="49" hidden="1">[35]M!#REF!</definedName>
    <definedName name="ww" localSheetId="50" hidden="1">[35]M!#REF!</definedName>
    <definedName name="ww" localSheetId="51" hidden="1">[35]M!#REF!</definedName>
    <definedName name="ww" localSheetId="53" hidden="1">[35]M!#REF!</definedName>
    <definedName name="ww" localSheetId="54" hidden="1">[35]M!#REF!</definedName>
    <definedName name="ww" localSheetId="55" hidden="1">[35]M!#REF!</definedName>
    <definedName name="ww" localSheetId="56" hidden="1">[35]M!#REF!</definedName>
    <definedName name="ww" localSheetId="57" hidden="1">[35]M!#REF!</definedName>
    <definedName name="ww" localSheetId="58" hidden="1">[35]M!#REF!</definedName>
    <definedName name="ww" localSheetId="59" hidden="1">[35]M!#REF!</definedName>
    <definedName name="ww" localSheetId="62" hidden="1">[35]M!#REF!</definedName>
    <definedName name="ww" localSheetId="70" hidden="1">[35]M!#REF!</definedName>
    <definedName name="ww" localSheetId="75" hidden="1">[35]M!#REF!</definedName>
    <definedName name="ww" localSheetId="76" hidden="1">[35]M!#REF!</definedName>
    <definedName name="ww" localSheetId="79" hidden="1">[35]M!#REF!</definedName>
    <definedName name="ww" localSheetId="80" hidden="1">[35]M!#REF!</definedName>
    <definedName name="ww" localSheetId="81" hidden="1">[35]M!#REF!</definedName>
    <definedName name="ww" localSheetId="83" hidden="1">[35]M!#REF!</definedName>
    <definedName name="ww" localSheetId="87" hidden="1">[35]M!#REF!</definedName>
    <definedName name="ww" localSheetId="95" hidden="1">[35]M!#REF!</definedName>
    <definedName name="ww" localSheetId="97" hidden="1">[35]M!#REF!</definedName>
    <definedName name="ww" localSheetId="98" hidden="1">[35]M!#REF!</definedName>
    <definedName name="ww" localSheetId="99" hidden="1">[35]M!#REF!</definedName>
    <definedName name="ww" localSheetId="100" hidden="1">[35]M!#REF!</definedName>
    <definedName name="ww" localSheetId="101" hidden="1">[35]M!#REF!</definedName>
    <definedName name="ww" localSheetId="108" hidden="1">[35]M!#REF!</definedName>
    <definedName name="ww" localSheetId="5" hidden="1">[35]M!#REF!</definedName>
    <definedName name="ww" localSheetId="6" hidden="1">[35]M!#REF!</definedName>
    <definedName name="ww" localSheetId="7" hidden="1">[35]M!#REF!</definedName>
    <definedName name="ww" localSheetId="8" hidden="1">[35]M!#REF!</definedName>
    <definedName name="ww" localSheetId="9" hidden="1">[35]M!#REF!</definedName>
    <definedName name="ww" localSheetId="14" hidden="1">[35]M!#REF!</definedName>
    <definedName name="ww" localSheetId="15" hidden="1">[35]M!#REF!</definedName>
    <definedName name="ww" localSheetId="16" hidden="1">[35]M!#REF!</definedName>
    <definedName name="ww" localSheetId="17" hidden="1">[35]M!#REF!</definedName>
    <definedName name="ww" localSheetId="19" hidden="1">[35]M!#REF!</definedName>
    <definedName name="ww" localSheetId="21" hidden="1">[35]M!#REF!</definedName>
    <definedName name="ww" localSheetId="23" hidden="1">[35]M!#REF!</definedName>
    <definedName name="ww" localSheetId="24" hidden="1">[35]M!#REF!</definedName>
    <definedName name="ww" localSheetId="25" hidden="1">[35]M!#REF!</definedName>
    <definedName name="ww" localSheetId="27" hidden="1">[35]M!#REF!</definedName>
    <definedName name="ww" localSheetId="30" hidden="1">[35]M!#REF!</definedName>
    <definedName name="ww" localSheetId="33" hidden="1">[35]M!#REF!</definedName>
    <definedName name="ww" localSheetId="34" hidden="1">[35]M!#REF!</definedName>
    <definedName name="ww" localSheetId="35" hidden="1">[35]M!#REF!</definedName>
    <definedName name="ww" localSheetId="36" hidden="1">[35]M!#REF!</definedName>
    <definedName name="ww" localSheetId="37" hidden="1">[35]M!#REF!</definedName>
    <definedName name="ww" localSheetId="38" hidden="1">[35]M!#REF!</definedName>
    <definedName name="ww" localSheetId="39" hidden="1">[35]M!#REF!</definedName>
    <definedName name="ww" localSheetId="40" hidden="1">[35]M!#REF!</definedName>
    <definedName name="ww" localSheetId="44" hidden="1">[35]M!#REF!</definedName>
    <definedName name="ww" hidden="1">[35]M!#REF!</definedName>
    <definedName name="www" localSheetId="50" hidden="1">{"Riqfin97",#N/A,FALSE,"Tran";"Riqfinpro",#N/A,FALSE,"Tran"}</definedName>
    <definedName name="www" localSheetId="55" hidden="1">{"Riqfin97",#N/A,FALSE,"Tran";"Riqfinpro",#N/A,FALSE,"Tran"}</definedName>
    <definedName name="www" localSheetId="56" hidden="1">{"Riqfin97",#N/A,FALSE,"Tran";"Riqfinpro",#N/A,FALSE,"Tran"}</definedName>
    <definedName name="www" localSheetId="57" hidden="1">{"Riqfin97",#N/A,FALSE,"Tran";"Riqfinpro",#N/A,FALSE,"Tran"}</definedName>
    <definedName name="www" localSheetId="58" hidden="1">{"Riqfin97",#N/A,FALSE,"Tran";"Riqfinpro",#N/A,FALSE,"Tran"}</definedName>
    <definedName name="www" localSheetId="59" hidden="1">{"Riqfin97",#N/A,FALSE,"Tran";"Riqfinpro",#N/A,FALSE,"Tran"}</definedName>
    <definedName name="www" localSheetId="62" hidden="1">{"Riqfin97",#N/A,FALSE,"Tran";"Riqfinpro",#N/A,FALSE,"Tran"}</definedName>
    <definedName name="www" localSheetId="70" hidden="1">{"Riqfin97",#N/A,FALSE,"Tran";"Riqfinpro",#N/A,FALSE,"Tran"}</definedName>
    <definedName name="www" localSheetId="71" hidden="1">{"Riqfin97",#N/A,FALSE,"Tran";"Riqfinpro",#N/A,FALSE,"Tran"}</definedName>
    <definedName name="www" localSheetId="72" hidden="1">{"Riqfin97",#N/A,FALSE,"Tran";"Riqfinpro",#N/A,FALSE,"Tran"}</definedName>
    <definedName name="www" localSheetId="73" hidden="1">{"Riqfin97",#N/A,FALSE,"Tran";"Riqfinpro",#N/A,FALSE,"Tran"}</definedName>
    <definedName name="www" localSheetId="74" hidden="1">{"Riqfin97",#N/A,FALSE,"Tran";"Riqfinpro",#N/A,FALSE,"Tran"}</definedName>
    <definedName name="www" localSheetId="75" hidden="1">{"Riqfin97",#N/A,FALSE,"Tran";"Riqfinpro",#N/A,FALSE,"Tran"}</definedName>
    <definedName name="www" localSheetId="76" hidden="1">{"Riqfin97",#N/A,FALSE,"Tran";"Riqfinpro",#N/A,FALSE,"Tran"}</definedName>
    <definedName name="www" localSheetId="79" hidden="1">{"Riqfin97",#N/A,FALSE,"Tran";"Riqfinpro",#N/A,FALSE,"Tran"}</definedName>
    <definedName name="www" localSheetId="80" hidden="1">{"Riqfin97",#N/A,FALSE,"Tran";"Riqfinpro",#N/A,FALSE,"Tran"}</definedName>
    <definedName name="www" localSheetId="81" hidden="1">{"Riqfin97",#N/A,FALSE,"Tran";"Riqfinpro",#N/A,FALSE,"Tran"}</definedName>
    <definedName name="www" localSheetId="83" hidden="1">{"Riqfin97",#N/A,FALSE,"Tran";"Riqfinpro",#N/A,FALSE,"Tran"}</definedName>
    <definedName name="www" localSheetId="97" hidden="1">{"Riqfin97",#N/A,FALSE,"Tran";"Riqfinpro",#N/A,FALSE,"Tran"}</definedName>
    <definedName name="www" localSheetId="98" hidden="1">{"Riqfin97",#N/A,FALSE,"Tran";"Riqfinpro",#N/A,FALSE,"Tran"}</definedName>
    <definedName name="www" localSheetId="99" hidden="1">{"Riqfin97",#N/A,FALSE,"Tran";"Riqfinpro",#N/A,FALSE,"Tran"}</definedName>
    <definedName name="www" localSheetId="100" hidden="1">{"Riqfin97",#N/A,FALSE,"Tran";"Riqfinpro",#N/A,FALSE,"Tran"}</definedName>
    <definedName name="www" localSheetId="101" hidden="1">{"Riqfin97",#N/A,FALSE,"Tran";"Riqfinpro",#N/A,FALSE,"Tran"}</definedName>
    <definedName name="www" localSheetId="108" hidden="1">{"Riqfin97",#N/A,FALSE,"Tran";"Riqfinpro",#N/A,FALSE,"Tran"}</definedName>
    <definedName name="www" localSheetId="115" hidden="1">{"Riqfin97",#N/A,FALSE,"Tran";"Riqfinpro",#N/A,FALSE,"Tran"}</definedName>
    <definedName name="www" localSheetId="5" hidden="1">{"Riqfin97",#N/A,FALSE,"Tran";"Riqfinpro",#N/A,FALSE,"Tran"}</definedName>
    <definedName name="www" localSheetId="7" hidden="1">{"Riqfin97",#N/A,FALSE,"Tran";"Riqfinpro",#N/A,FALSE,"Tran"}</definedName>
    <definedName name="www" localSheetId="8" hidden="1">{"Riqfin97",#N/A,FALSE,"Tran";"Riqfinpro",#N/A,FALSE,"Tran"}</definedName>
    <definedName name="www" localSheetId="9" hidden="1">{"Riqfin97",#N/A,FALSE,"Tran";"Riqfinpro",#N/A,FALSE,"Tran"}</definedName>
    <definedName name="www" localSheetId="10" hidden="1">{"Riqfin97",#N/A,FALSE,"Tran";"Riqfinpro",#N/A,FALSE,"Tran"}</definedName>
    <definedName name="www" localSheetId="14" hidden="1">{"Riqfin97",#N/A,FALSE,"Tran";"Riqfinpro",#N/A,FALSE,"Tran"}</definedName>
    <definedName name="www" localSheetId="18" hidden="1">{"'előző év december'!$A$2:$CP$214"}</definedName>
    <definedName name="www" localSheetId="19" hidden="1">{"Riqfin97",#N/A,FALSE,"Tran";"Riqfinpro",#N/A,FALSE,"Tran"}</definedName>
    <definedName name="www" localSheetId="21" hidden="1">{"Riqfin97",#N/A,FALSE,"Tran";"Riqfinpro",#N/A,FALSE,"Tran"}</definedName>
    <definedName name="www" localSheetId="23" hidden="1">{"Riqfin97",#N/A,FALSE,"Tran";"Riqfinpro",#N/A,FALSE,"Tran"}</definedName>
    <definedName name="www" localSheetId="24" hidden="1">{"Riqfin97",#N/A,FALSE,"Tran";"Riqfinpro",#N/A,FALSE,"Tran"}</definedName>
    <definedName name="www" localSheetId="25" hidden="1">{"Riqfin97",#N/A,FALSE,"Tran";"Riqfinpro",#N/A,FALSE,"Tran"}</definedName>
    <definedName name="www" localSheetId="27" hidden="1">{"Riqfin97",#N/A,FALSE,"Tran";"Riqfinpro",#N/A,FALSE,"Tran"}</definedName>
    <definedName name="www" localSheetId="30" hidden="1">{"Riqfin97",#N/A,FALSE,"Tran";"Riqfinpro",#N/A,FALSE,"Tran"}</definedName>
    <definedName name="www" localSheetId="33" hidden="1">{"Riqfin97",#N/A,FALSE,"Tran";"Riqfinpro",#N/A,FALSE,"Tran"}</definedName>
    <definedName name="www" localSheetId="34" hidden="1">{"Riqfin97",#N/A,FALSE,"Tran";"Riqfinpro",#N/A,FALSE,"Tran"}</definedName>
    <definedName name="www" localSheetId="35" hidden="1">{"Riqfin97",#N/A,FALSE,"Tran";"Riqfinpro",#N/A,FALSE,"Tran"}</definedName>
    <definedName name="www" localSheetId="36" hidden="1">{"Riqfin97",#N/A,FALSE,"Tran";"Riqfinpro",#N/A,FALSE,"Tran"}</definedName>
    <definedName name="www" localSheetId="37" hidden="1">{"Riqfin97",#N/A,FALSE,"Tran";"Riqfinpro",#N/A,FALSE,"Tran"}</definedName>
    <definedName name="www" localSheetId="38" hidden="1">{"Riqfin97",#N/A,FALSE,"Tran";"Riqfinpro",#N/A,FALSE,"Tran"}</definedName>
    <definedName name="www" localSheetId="39" hidden="1">{"Riqfin97",#N/A,FALSE,"Tran";"Riqfinpro",#N/A,FALSE,"Tran"}</definedName>
    <definedName name="www" localSheetId="40" hidden="1">{"Riqfin97",#N/A,FALSE,"Tran";"Riqfinpro",#N/A,FALSE,"Tran"}</definedName>
    <definedName name="www" localSheetId="44" hidden="1">{"Riqfin97",#N/A,FALSE,"Tran";"Riqfinpro",#N/A,FALSE,"Tran"}</definedName>
    <definedName name="www" hidden="1">{"Riqfin97",#N/A,FALSE,"Tran";"Riqfinpro",#N/A,FALSE,"Tran"}</definedName>
    <definedName name="xx" localSheetId="50" hidden="1">{"Riqfin97",#N/A,FALSE,"Tran";"Riqfinpro",#N/A,FALSE,"Tran"}</definedName>
    <definedName name="xx" localSheetId="55" hidden="1">{"Riqfin97",#N/A,FALSE,"Tran";"Riqfinpro",#N/A,FALSE,"Tran"}</definedName>
    <definedName name="xx" localSheetId="56" hidden="1">{"Riqfin97",#N/A,FALSE,"Tran";"Riqfinpro",#N/A,FALSE,"Tran"}</definedName>
    <definedName name="xx" localSheetId="57" hidden="1">{"Riqfin97",#N/A,FALSE,"Tran";"Riqfinpro",#N/A,FALSE,"Tran"}</definedName>
    <definedName name="xx" localSheetId="58" hidden="1">{"Riqfin97",#N/A,FALSE,"Tran";"Riqfinpro",#N/A,FALSE,"Tran"}</definedName>
    <definedName name="xx" localSheetId="59" hidden="1">{"Riqfin97",#N/A,FALSE,"Tran";"Riqfinpro",#N/A,FALSE,"Tran"}</definedName>
    <definedName name="xx" localSheetId="62" hidden="1">{"Riqfin97",#N/A,FALSE,"Tran";"Riqfinpro",#N/A,FALSE,"Tran"}</definedName>
    <definedName name="xx" localSheetId="70" hidden="1">{"Riqfin97",#N/A,FALSE,"Tran";"Riqfinpro",#N/A,FALSE,"Tran"}</definedName>
    <definedName name="xx" localSheetId="71" hidden="1">{"Riqfin97",#N/A,FALSE,"Tran";"Riqfinpro",#N/A,FALSE,"Tran"}</definedName>
    <definedName name="xx" localSheetId="72" hidden="1">{"Riqfin97",#N/A,FALSE,"Tran";"Riqfinpro",#N/A,FALSE,"Tran"}</definedName>
    <definedName name="xx" localSheetId="73" hidden="1">{"Riqfin97",#N/A,FALSE,"Tran";"Riqfinpro",#N/A,FALSE,"Tran"}</definedName>
    <definedName name="xx" localSheetId="74" hidden="1">{"Riqfin97",#N/A,FALSE,"Tran";"Riqfinpro",#N/A,FALSE,"Tran"}</definedName>
    <definedName name="xx" localSheetId="75" hidden="1">{"Riqfin97",#N/A,FALSE,"Tran";"Riqfinpro",#N/A,FALSE,"Tran"}</definedName>
    <definedName name="xx" localSheetId="76" hidden="1">{"Riqfin97",#N/A,FALSE,"Tran";"Riqfinpro",#N/A,FALSE,"Tran"}</definedName>
    <definedName name="xx" localSheetId="79" hidden="1">{"Riqfin97",#N/A,FALSE,"Tran";"Riqfinpro",#N/A,FALSE,"Tran"}</definedName>
    <definedName name="xx" localSheetId="80" hidden="1">{"Riqfin97",#N/A,FALSE,"Tran";"Riqfinpro",#N/A,FALSE,"Tran"}</definedName>
    <definedName name="xx" localSheetId="81" hidden="1">{"Riqfin97",#N/A,FALSE,"Tran";"Riqfinpro",#N/A,FALSE,"Tran"}</definedName>
    <definedName name="xx" localSheetId="83" hidden="1">{"Riqfin97",#N/A,FALSE,"Tran";"Riqfinpro",#N/A,FALSE,"Tran"}</definedName>
    <definedName name="xx" localSheetId="97" hidden="1">{"Riqfin97",#N/A,FALSE,"Tran";"Riqfinpro",#N/A,FALSE,"Tran"}</definedName>
    <definedName name="xx" localSheetId="98" hidden="1">{"Riqfin97",#N/A,FALSE,"Tran";"Riqfinpro",#N/A,FALSE,"Tran"}</definedName>
    <definedName name="xx" localSheetId="99" hidden="1">{"Riqfin97",#N/A,FALSE,"Tran";"Riqfinpro",#N/A,FALSE,"Tran"}</definedName>
    <definedName name="xx" localSheetId="100" hidden="1">{"Riqfin97",#N/A,FALSE,"Tran";"Riqfinpro",#N/A,FALSE,"Tran"}</definedName>
    <definedName name="xx" localSheetId="101" hidden="1">{"Riqfin97",#N/A,FALSE,"Tran";"Riqfinpro",#N/A,FALSE,"Tran"}</definedName>
    <definedName name="xx" localSheetId="108" hidden="1">{"Riqfin97",#N/A,FALSE,"Tran";"Riqfinpro",#N/A,FALSE,"Tran"}</definedName>
    <definedName name="xx" localSheetId="115" hidden="1">{"Riqfin97",#N/A,FALSE,"Tran";"Riqfinpro",#N/A,FALSE,"Tran"}</definedName>
    <definedName name="xx" localSheetId="5" hidden="1">{"Riqfin97",#N/A,FALSE,"Tran";"Riqfinpro",#N/A,FALSE,"Tran"}</definedName>
    <definedName name="xx" localSheetId="7" hidden="1">{"Riqfin97",#N/A,FALSE,"Tran";"Riqfinpro",#N/A,FALSE,"Tran"}</definedName>
    <definedName name="xx" localSheetId="8" hidden="1">{"Riqfin97",#N/A,FALSE,"Tran";"Riqfinpro",#N/A,FALSE,"Tran"}</definedName>
    <definedName name="xx" localSheetId="9" hidden="1">{"Riqfin97",#N/A,FALSE,"Tran";"Riqfinpro",#N/A,FALSE,"Tran"}</definedName>
    <definedName name="xx" localSheetId="10" hidden="1">{"Riqfin97",#N/A,FALSE,"Tran";"Riqfinpro",#N/A,FALSE,"Tran"}</definedName>
    <definedName name="xx" localSheetId="14" hidden="1">{"Riqfin97",#N/A,FALSE,"Tran";"Riqfinpro",#N/A,FALSE,"Tran"}</definedName>
    <definedName name="xx" localSheetId="19" hidden="1">{"Riqfin97",#N/A,FALSE,"Tran";"Riqfinpro",#N/A,FALSE,"Tran"}</definedName>
    <definedName name="xx" localSheetId="21" hidden="1">{"Riqfin97",#N/A,FALSE,"Tran";"Riqfinpro",#N/A,FALSE,"Tran"}</definedName>
    <definedName name="xx" localSheetId="23" hidden="1">{"Riqfin97",#N/A,FALSE,"Tran";"Riqfinpro",#N/A,FALSE,"Tran"}</definedName>
    <definedName name="xx" localSheetId="24" hidden="1">{"Riqfin97",#N/A,FALSE,"Tran";"Riqfinpro",#N/A,FALSE,"Tran"}</definedName>
    <definedName name="xx" localSheetId="25" hidden="1">{"Riqfin97",#N/A,FALSE,"Tran";"Riqfinpro",#N/A,FALSE,"Tran"}</definedName>
    <definedName name="xx" localSheetId="27" hidden="1">{"Riqfin97",#N/A,FALSE,"Tran";"Riqfinpro",#N/A,FALSE,"Tran"}</definedName>
    <definedName name="xx" localSheetId="30" hidden="1">{"Riqfin97",#N/A,FALSE,"Tran";"Riqfinpro",#N/A,FALSE,"Tran"}</definedName>
    <definedName name="xx" localSheetId="33" hidden="1">{"Riqfin97",#N/A,FALSE,"Tran";"Riqfinpro",#N/A,FALSE,"Tran"}</definedName>
    <definedName name="xx" localSheetId="34" hidden="1">{"Riqfin97",#N/A,FALSE,"Tran";"Riqfinpro",#N/A,FALSE,"Tran"}</definedName>
    <definedName name="xx" localSheetId="35" hidden="1">{"Riqfin97",#N/A,FALSE,"Tran";"Riqfinpro",#N/A,FALSE,"Tran"}</definedName>
    <definedName name="xx" localSheetId="36" hidden="1">{"Riqfin97",#N/A,FALSE,"Tran";"Riqfinpro",#N/A,FALSE,"Tran"}</definedName>
    <definedName name="xx" localSheetId="37" hidden="1">{"Riqfin97",#N/A,FALSE,"Tran";"Riqfinpro",#N/A,FALSE,"Tran"}</definedName>
    <definedName name="xx" localSheetId="38" hidden="1">{"Riqfin97",#N/A,FALSE,"Tran";"Riqfinpro",#N/A,FALSE,"Tran"}</definedName>
    <definedName name="xx" localSheetId="39" hidden="1">{"Riqfin97",#N/A,FALSE,"Tran";"Riqfinpro",#N/A,FALSE,"Tran"}</definedName>
    <definedName name="xx" localSheetId="40" hidden="1">{"Riqfin97",#N/A,FALSE,"Tran";"Riqfinpro",#N/A,FALSE,"Tran"}</definedName>
    <definedName name="xx" localSheetId="44" hidden="1">{"Riqfin97",#N/A,FALSE,"Tran";"Riqfinpro",#N/A,FALSE,"Tran"}</definedName>
    <definedName name="xx" hidden="1">{"Riqfin97",#N/A,FALSE,"Tran";"Riqfinpro",#N/A,FALSE,"Tran"}</definedName>
    <definedName name="xxx" localSheetId="50" hidden="1">{"'előző év december'!$A$2:$CP$214"}</definedName>
    <definedName name="xxx" localSheetId="56" hidden="1">{"'előző év december'!$A$2:$CP$214"}</definedName>
    <definedName name="xxx" localSheetId="57" hidden="1">{"'előző év december'!$A$2:$CP$214"}</definedName>
    <definedName name="xxx" localSheetId="58" hidden="1">{"'előző év december'!$A$2:$CP$214"}</definedName>
    <definedName name="xxx" localSheetId="59" hidden="1">{"'előző év december'!$A$2:$CP$214"}</definedName>
    <definedName name="xxx" localSheetId="62" hidden="1">{"'előző év december'!$A$2:$CP$214"}</definedName>
    <definedName name="xxx" localSheetId="70" hidden="1">{"'előző év december'!$A$2:$CP$214"}</definedName>
    <definedName name="xxx" localSheetId="71" hidden="1">{"'előző év december'!$A$2:$CP$214"}</definedName>
    <definedName name="xxx" localSheetId="72" hidden="1">{"'előző év december'!$A$2:$CP$214"}</definedName>
    <definedName name="xxx" localSheetId="73" hidden="1">{"'előző év december'!$A$2:$CP$214"}</definedName>
    <definedName name="xxx" localSheetId="74" hidden="1">{"'előző év december'!$A$2:$CP$214"}</definedName>
    <definedName name="xxx" localSheetId="79" hidden="1">{"'előző év december'!$A$2:$CP$214"}</definedName>
    <definedName name="xxx" localSheetId="80" hidden="1">{"'előző év december'!$A$2:$CP$214"}</definedName>
    <definedName name="xxx" localSheetId="81" hidden="1">{"'előző év december'!$A$2:$CP$214"}</definedName>
    <definedName name="xxx" localSheetId="97" hidden="1">{"'előző év december'!$A$2:$CP$214"}</definedName>
    <definedName name="xxx" localSheetId="98" hidden="1">{"'előző év december'!$A$2:$CP$214"}</definedName>
    <definedName name="xxx" localSheetId="99" hidden="1">{"'előző év december'!$A$2:$CP$214"}</definedName>
    <definedName name="xxx" localSheetId="100" hidden="1">{"'előző év december'!$A$2:$CP$214"}</definedName>
    <definedName name="xxx" localSheetId="101" hidden="1">{"'előző év december'!$A$2:$CP$214"}</definedName>
    <definedName name="xxx" localSheetId="108" hidden="1">{"'előző év december'!$A$2:$CP$214"}</definedName>
    <definedName name="xxx" localSheetId="115" hidden="1">{"'előző év december'!$A$2:$CP$214"}</definedName>
    <definedName name="xxx" localSheetId="5" hidden="1">{"'előző év december'!$A$2:$CP$214"}</definedName>
    <definedName name="xxx" localSheetId="7" hidden="1">{"'előző év december'!$A$2:$CP$214"}</definedName>
    <definedName name="xxx" localSheetId="8" hidden="1">{"'előző év december'!$A$2:$CP$214"}</definedName>
    <definedName name="xxx" localSheetId="9" hidden="1">{"'előző év december'!$A$2:$CP$214"}</definedName>
    <definedName name="xxx" localSheetId="10" hidden="1">{"'előző év december'!$A$2:$CP$214"}</definedName>
    <definedName name="xxx" localSheetId="14" hidden="1">{"'előző év december'!$A$2:$CP$214"}</definedName>
    <definedName name="xxx" localSheetId="18" hidden="1">{"'előző év december'!$A$2:$CP$214"}</definedName>
    <definedName name="xxx" localSheetId="19" hidden="1">{"'előző év december'!$A$2:$CP$214"}</definedName>
    <definedName name="xxx" localSheetId="21" hidden="1">{"'előző év december'!$A$2:$CP$214"}</definedName>
    <definedName name="xxx" localSheetId="23" hidden="1">{"'előző év december'!$A$2:$CP$214"}</definedName>
    <definedName name="xxx" localSheetId="24" hidden="1">{"'előző év december'!$A$2:$CP$214"}</definedName>
    <definedName name="xxx" localSheetId="25" hidden="1">{"'előző év december'!$A$2:$CP$214"}</definedName>
    <definedName name="xxx" localSheetId="27" hidden="1">{"'előző év december'!$A$2:$CP$214"}</definedName>
    <definedName name="xxx" localSheetId="30" hidden="1">{"'előző év december'!$A$2:$CP$214"}</definedName>
    <definedName name="xxx" localSheetId="33" hidden="1">{"'előző év december'!$A$2:$CP$214"}</definedName>
    <definedName name="xxx" localSheetId="34" hidden="1">{"'előző év december'!$A$2:$CP$214"}</definedName>
    <definedName name="xxx" localSheetId="35" hidden="1">{"'előző év december'!$A$2:$CP$214"}</definedName>
    <definedName name="xxx" localSheetId="36" hidden="1">{"'előző év december'!$A$2:$CP$214"}</definedName>
    <definedName name="xxx" localSheetId="37" hidden="1">{"'előző év december'!$A$2:$CP$214"}</definedName>
    <definedName name="xxx" localSheetId="38" hidden="1">{"'előző év december'!$A$2:$CP$214"}</definedName>
    <definedName name="xxx" localSheetId="39" hidden="1">{"'előző év december'!$A$2:$CP$214"}</definedName>
    <definedName name="xxx" localSheetId="40" hidden="1">{"'előző év december'!$A$2:$CP$214"}</definedName>
    <definedName name="xxx" hidden="1">{"'előző év december'!$A$2:$CP$214"}</definedName>
    <definedName name="xxxx" localSheetId="50" hidden="1">{"Riqfin97",#N/A,FALSE,"Tran";"Riqfinpro",#N/A,FALSE,"Tran"}</definedName>
    <definedName name="xxxx" localSheetId="55" hidden="1">{"Riqfin97",#N/A,FALSE,"Tran";"Riqfinpro",#N/A,FALSE,"Tran"}</definedName>
    <definedName name="xxxx" localSheetId="56" hidden="1">{"Riqfin97",#N/A,FALSE,"Tran";"Riqfinpro",#N/A,FALSE,"Tran"}</definedName>
    <definedName name="xxxx" localSheetId="57" hidden="1">{"Riqfin97",#N/A,FALSE,"Tran";"Riqfinpro",#N/A,FALSE,"Tran"}</definedName>
    <definedName name="xxxx" localSheetId="58" hidden="1">{"Riqfin97",#N/A,FALSE,"Tran";"Riqfinpro",#N/A,FALSE,"Tran"}</definedName>
    <definedName name="xxxx" localSheetId="59" hidden="1">{"Riqfin97",#N/A,FALSE,"Tran";"Riqfinpro",#N/A,FALSE,"Tran"}</definedName>
    <definedName name="xxxx" localSheetId="62" hidden="1">{"Riqfin97",#N/A,FALSE,"Tran";"Riqfinpro",#N/A,FALSE,"Tran"}</definedName>
    <definedName name="xxxx" localSheetId="70" hidden="1">{"Riqfin97",#N/A,FALSE,"Tran";"Riqfinpro",#N/A,FALSE,"Tran"}</definedName>
    <definedName name="xxxx" localSheetId="71" hidden="1">{"Riqfin97",#N/A,FALSE,"Tran";"Riqfinpro",#N/A,FALSE,"Tran"}</definedName>
    <definedName name="xxxx" localSheetId="72" hidden="1">{"Riqfin97",#N/A,FALSE,"Tran";"Riqfinpro",#N/A,FALSE,"Tran"}</definedName>
    <definedName name="xxxx" localSheetId="73" hidden="1">{"Riqfin97",#N/A,FALSE,"Tran";"Riqfinpro",#N/A,FALSE,"Tran"}</definedName>
    <definedName name="xxxx" localSheetId="74" hidden="1">{"Riqfin97",#N/A,FALSE,"Tran";"Riqfinpro",#N/A,FALSE,"Tran"}</definedName>
    <definedName name="xxxx" localSheetId="75" hidden="1">{"Riqfin97",#N/A,FALSE,"Tran";"Riqfinpro",#N/A,FALSE,"Tran"}</definedName>
    <definedName name="xxxx" localSheetId="76" hidden="1">{"Riqfin97",#N/A,FALSE,"Tran";"Riqfinpro",#N/A,FALSE,"Tran"}</definedName>
    <definedName name="xxxx" localSheetId="79" hidden="1">{"Riqfin97",#N/A,FALSE,"Tran";"Riqfinpro",#N/A,FALSE,"Tran"}</definedName>
    <definedName name="xxxx" localSheetId="80" hidden="1">{"Riqfin97",#N/A,FALSE,"Tran";"Riqfinpro",#N/A,FALSE,"Tran"}</definedName>
    <definedName name="xxxx" localSheetId="81" hidden="1">{"Riqfin97",#N/A,FALSE,"Tran";"Riqfinpro",#N/A,FALSE,"Tran"}</definedName>
    <definedName name="xxxx" localSheetId="83" hidden="1">{"Riqfin97",#N/A,FALSE,"Tran";"Riqfinpro",#N/A,FALSE,"Tran"}</definedName>
    <definedName name="xxxx" localSheetId="97" hidden="1">{"Riqfin97",#N/A,FALSE,"Tran";"Riqfinpro",#N/A,FALSE,"Tran"}</definedName>
    <definedName name="xxxx" localSheetId="98" hidden="1">{"Riqfin97",#N/A,FALSE,"Tran";"Riqfinpro",#N/A,FALSE,"Tran"}</definedName>
    <definedName name="xxxx" localSheetId="99" hidden="1">{"Riqfin97",#N/A,FALSE,"Tran";"Riqfinpro",#N/A,FALSE,"Tran"}</definedName>
    <definedName name="xxxx" localSheetId="100" hidden="1">{"Riqfin97",#N/A,FALSE,"Tran";"Riqfinpro",#N/A,FALSE,"Tran"}</definedName>
    <definedName name="xxxx" localSheetId="101" hidden="1">{"Riqfin97",#N/A,FALSE,"Tran";"Riqfinpro",#N/A,FALSE,"Tran"}</definedName>
    <definedName name="xxxx" localSheetId="108" hidden="1">{"Riqfin97",#N/A,FALSE,"Tran";"Riqfinpro",#N/A,FALSE,"Tran"}</definedName>
    <definedName name="xxxx" localSheetId="115" hidden="1">{"Riqfin97",#N/A,FALSE,"Tran";"Riqfinpro",#N/A,FALSE,"Tran"}</definedName>
    <definedName name="xxxx" localSheetId="5" hidden="1">{"Riqfin97",#N/A,FALSE,"Tran";"Riqfinpro",#N/A,FALSE,"Tran"}</definedName>
    <definedName name="xxxx" localSheetId="7" hidden="1">{"Riqfin97",#N/A,FALSE,"Tran";"Riqfinpro",#N/A,FALSE,"Tran"}</definedName>
    <definedName name="xxxx" localSheetId="8" hidden="1">{"Riqfin97",#N/A,FALSE,"Tran";"Riqfinpro",#N/A,FALSE,"Tran"}</definedName>
    <definedName name="xxxx" localSheetId="9" hidden="1">{"Riqfin97",#N/A,FALSE,"Tran";"Riqfinpro",#N/A,FALSE,"Tran"}</definedName>
    <definedName name="xxxx" localSheetId="10" hidden="1">{"Riqfin97",#N/A,FALSE,"Tran";"Riqfinpro",#N/A,FALSE,"Tran"}</definedName>
    <definedName name="xxxx" localSheetId="14" hidden="1">{"Riqfin97",#N/A,FALSE,"Tran";"Riqfinpro",#N/A,FALSE,"Tran"}</definedName>
    <definedName name="xxxx" localSheetId="19" hidden="1">{"Riqfin97",#N/A,FALSE,"Tran";"Riqfinpro",#N/A,FALSE,"Tran"}</definedName>
    <definedName name="xxxx" localSheetId="21" hidden="1">{"Riqfin97",#N/A,FALSE,"Tran";"Riqfinpro",#N/A,FALSE,"Tran"}</definedName>
    <definedName name="xxxx" localSheetId="23" hidden="1">{"Riqfin97",#N/A,FALSE,"Tran";"Riqfinpro",#N/A,FALSE,"Tran"}</definedName>
    <definedName name="xxxx" localSheetId="24" hidden="1">{"Riqfin97",#N/A,FALSE,"Tran";"Riqfinpro",#N/A,FALSE,"Tran"}</definedName>
    <definedName name="xxxx" localSheetId="25" hidden="1">{"Riqfin97",#N/A,FALSE,"Tran";"Riqfinpro",#N/A,FALSE,"Tran"}</definedName>
    <definedName name="xxxx" localSheetId="27" hidden="1">{"Riqfin97",#N/A,FALSE,"Tran";"Riqfinpro",#N/A,FALSE,"Tran"}</definedName>
    <definedName name="xxxx" localSheetId="30" hidden="1">{"Riqfin97",#N/A,FALSE,"Tran";"Riqfinpro",#N/A,FALSE,"Tran"}</definedName>
    <definedName name="xxxx" localSheetId="33" hidden="1">{"Riqfin97",#N/A,FALSE,"Tran";"Riqfinpro",#N/A,FALSE,"Tran"}</definedName>
    <definedName name="xxxx" localSheetId="34" hidden="1">{"Riqfin97",#N/A,FALSE,"Tran";"Riqfinpro",#N/A,FALSE,"Tran"}</definedName>
    <definedName name="xxxx" localSheetId="35" hidden="1">{"Riqfin97",#N/A,FALSE,"Tran";"Riqfinpro",#N/A,FALSE,"Tran"}</definedName>
    <definedName name="xxxx" localSheetId="36" hidden="1">{"Riqfin97",#N/A,FALSE,"Tran";"Riqfinpro",#N/A,FALSE,"Tran"}</definedName>
    <definedName name="xxxx" localSheetId="37" hidden="1">{"Riqfin97",#N/A,FALSE,"Tran";"Riqfinpro",#N/A,FALSE,"Tran"}</definedName>
    <definedName name="xxxx" localSheetId="38" hidden="1">{"Riqfin97",#N/A,FALSE,"Tran";"Riqfinpro",#N/A,FALSE,"Tran"}</definedName>
    <definedName name="xxxx" localSheetId="39" hidden="1">{"Riqfin97",#N/A,FALSE,"Tran";"Riqfinpro",#N/A,FALSE,"Tran"}</definedName>
    <definedName name="xxxx" localSheetId="40" hidden="1">{"Riqfin97",#N/A,FALSE,"Tran";"Riqfinpro",#N/A,FALSE,"Tran"}</definedName>
    <definedName name="xxxx" localSheetId="44" hidden="1">{"Riqfin97",#N/A,FALSE,"Tran";"Riqfinpro",#N/A,FALSE,"Tran"}</definedName>
    <definedName name="xxxx" hidden="1">{"Riqfin97",#N/A,FALSE,"Tran";"Riqfinpro",#N/A,FALSE,"Tran"}</definedName>
    <definedName name="YEAR2012">[24]IFRS!$Y$4:$Y$369</definedName>
    <definedName name="yy" localSheetId="50" hidden="1">{"Tab1",#N/A,FALSE,"P";"Tab2",#N/A,FALSE,"P"}</definedName>
    <definedName name="yy" localSheetId="55" hidden="1">{"Tab1",#N/A,FALSE,"P";"Tab2",#N/A,FALSE,"P"}</definedName>
    <definedName name="yy" localSheetId="56" hidden="1">{"Tab1",#N/A,FALSE,"P";"Tab2",#N/A,FALSE,"P"}</definedName>
    <definedName name="yy" localSheetId="57" hidden="1">{"Tab1",#N/A,FALSE,"P";"Tab2",#N/A,FALSE,"P"}</definedName>
    <definedName name="yy" localSheetId="58" hidden="1">{"Tab1",#N/A,FALSE,"P";"Tab2",#N/A,FALSE,"P"}</definedName>
    <definedName name="yy" localSheetId="59" hidden="1">{"Tab1",#N/A,FALSE,"P";"Tab2",#N/A,FALSE,"P"}</definedName>
    <definedName name="yy" localSheetId="62" hidden="1">{"Tab1",#N/A,FALSE,"P";"Tab2",#N/A,FALSE,"P"}</definedName>
    <definedName name="yy" localSheetId="70" hidden="1">{"Tab1",#N/A,FALSE,"P";"Tab2",#N/A,FALSE,"P"}</definedName>
    <definedName name="yy" localSheetId="71" hidden="1">{"Tab1",#N/A,FALSE,"P";"Tab2",#N/A,FALSE,"P"}</definedName>
    <definedName name="yy" localSheetId="72" hidden="1">{"Tab1",#N/A,FALSE,"P";"Tab2",#N/A,FALSE,"P"}</definedName>
    <definedName name="yy" localSheetId="73" hidden="1">{"Tab1",#N/A,FALSE,"P";"Tab2",#N/A,FALSE,"P"}</definedName>
    <definedName name="yy" localSheetId="74" hidden="1">{"Tab1",#N/A,FALSE,"P";"Tab2",#N/A,FALSE,"P"}</definedName>
    <definedName name="yy" localSheetId="75" hidden="1">{"Tab1",#N/A,FALSE,"P";"Tab2",#N/A,FALSE,"P"}</definedName>
    <definedName name="yy" localSheetId="76" hidden="1">{"Tab1",#N/A,FALSE,"P";"Tab2",#N/A,FALSE,"P"}</definedName>
    <definedName name="yy" localSheetId="79" hidden="1">{"Tab1",#N/A,FALSE,"P";"Tab2",#N/A,FALSE,"P"}</definedName>
    <definedName name="yy" localSheetId="80" hidden="1">{"Tab1",#N/A,FALSE,"P";"Tab2",#N/A,FALSE,"P"}</definedName>
    <definedName name="yy" localSheetId="81" hidden="1">{"Tab1",#N/A,FALSE,"P";"Tab2",#N/A,FALSE,"P"}</definedName>
    <definedName name="yy" localSheetId="83" hidden="1">{"Tab1",#N/A,FALSE,"P";"Tab2",#N/A,FALSE,"P"}</definedName>
    <definedName name="yy" localSheetId="97" hidden="1">{"Tab1",#N/A,FALSE,"P";"Tab2",#N/A,FALSE,"P"}</definedName>
    <definedName name="yy" localSheetId="98" hidden="1">{"Tab1",#N/A,FALSE,"P";"Tab2",#N/A,FALSE,"P"}</definedName>
    <definedName name="yy" localSheetId="99" hidden="1">{"Tab1",#N/A,FALSE,"P";"Tab2",#N/A,FALSE,"P"}</definedName>
    <definedName name="yy" localSheetId="100" hidden="1">{"Tab1",#N/A,FALSE,"P";"Tab2",#N/A,FALSE,"P"}</definedName>
    <definedName name="yy" localSheetId="101" hidden="1">{"Tab1",#N/A,FALSE,"P";"Tab2",#N/A,FALSE,"P"}</definedName>
    <definedName name="yy" localSheetId="108" hidden="1">{"Tab1",#N/A,FALSE,"P";"Tab2",#N/A,FALSE,"P"}</definedName>
    <definedName name="yy" localSheetId="115" hidden="1">{"Tab1",#N/A,FALSE,"P";"Tab2",#N/A,FALSE,"P"}</definedName>
    <definedName name="yy" localSheetId="5" hidden="1">{"Tab1",#N/A,FALSE,"P";"Tab2",#N/A,FALSE,"P"}</definedName>
    <definedName name="yy" localSheetId="7" hidden="1">{"Tab1",#N/A,FALSE,"P";"Tab2",#N/A,FALSE,"P"}</definedName>
    <definedName name="yy" localSheetId="8" hidden="1">{"Tab1",#N/A,FALSE,"P";"Tab2",#N/A,FALSE,"P"}</definedName>
    <definedName name="yy" localSheetId="9" hidden="1">{"Tab1",#N/A,FALSE,"P";"Tab2",#N/A,FALSE,"P"}</definedName>
    <definedName name="yy" localSheetId="10" hidden="1">{"Tab1",#N/A,FALSE,"P";"Tab2",#N/A,FALSE,"P"}</definedName>
    <definedName name="yy" localSheetId="14" hidden="1">{"Tab1",#N/A,FALSE,"P";"Tab2",#N/A,FALSE,"P"}</definedName>
    <definedName name="yy" localSheetId="19" hidden="1">{"Tab1",#N/A,FALSE,"P";"Tab2",#N/A,FALSE,"P"}</definedName>
    <definedName name="yy" localSheetId="21" hidden="1">{"Tab1",#N/A,FALSE,"P";"Tab2",#N/A,FALSE,"P"}</definedName>
    <definedName name="yy" localSheetId="23" hidden="1">{"Tab1",#N/A,FALSE,"P";"Tab2",#N/A,FALSE,"P"}</definedName>
    <definedName name="yy" localSheetId="24" hidden="1">{"Tab1",#N/A,FALSE,"P";"Tab2",#N/A,FALSE,"P"}</definedName>
    <definedName name="yy" localSheetId="25" hidden="1">{"Tab1",#N/A,FALSE,"P";"Tab2",#N/A,FALSE,"P"}</definedName>
    <definedName name="yy" localSheetId="27" hidden="1">{"Tab1",#N/A,FALSE,"P";"Tab2",#N/A,FALSE,"P"}</definedName>
    <definedName name="yy" localSheetId="30" hidden="1">{"Tab1",#N/A,FALSE,"P";"Tab2",#N/A,FALSE,"P"}</definedName>
    <definedName name="yy" localSheetId="33" hidden="1">{"Tab1",#N/A,FALSE,"P";"Tab2",#N/A,FALSE,"P"}</definedName>
    <definedName name="yy" localSheetId="34" hidden="1">{"Tab1",#N/A,FALSE,"P";"Tab2",#N/A,FALSE,"P"}</definedName>
    <definedName name="yy" localSheetId="35" hidden="1">{"Tab1",#N/A,FALSE,"P";"Tab2",#N/A,FALSE,"P"}</definedName>
    <definedName name="yy" localSheetId="36" hidden="1">{"Tab1",#N/A,FALSE,"P";"Tab2",#N/A,FALSE,"P"}</definedName>
    <definedName name="yy" localSheetId="37" hidden="1">{"Tab1",#N/A,FALSE,"P";"Tab2",#N/A,FALSE,"P"}</definedName>
    <definedName name="yy" localSheetId="38" hidden="1">{"Tab1",#N/A,FALSE,"P";"Tab2",#N/A,FALSE,"P"}</definedName>
    <definedName name="yy" localSheetId="39" hidden="1">{"Tab1",#N/A,FALSE,"P";"Tab2",#N/A,FALSE,"P"}</definedName>
    <definedName name="yy" localSheetId="40" hidden="1">{"Tab1",#N/A,FALSE,"P";"Tab2",#N/A,FALSE,"P"}</definedName>
    <definedName name="yy" localSheetId="44" hidden="1">{"Tab1",#N/A,FALSE,"P";"Tab2",#N/A,FALSE,"P"}</definedName>
    <definedName name="yy" hidden="1">{"Tab1",#N/A,FALSE,"P";"Tab2",#N/A,FALSE,"P"}</definedName>
    <definedName name="yyy" localSheetId="50" hidden="1">{"Tab1",#N/A,FALSE,"P";"Tab2",#N/A,FALSE,"P"}</definedName>
    <definedName name="yyy" localSheetId="55" hidden="1">{"Tab1",#N/A,FALSE,"P";"Tab2",#N/A,FALSE,"P"}</definedName>
    <definedName name="yyy" localSheetId="56" hidden="1">{"Tab1",#N/A,FALSE,"P";"Tab2",#N/A,FALSE,"P"}</definedName>
    <definedName name="yyy" localSheetId="57" hidden="1">{"Tab1",#N/A,FALSE,"P";"Tab2",#N/A,FALSE,"P"}</definedName>
    <definedName name="yyy" localSheetId="58" hidden="1">{"Tab1",#N/A,FALSE,"P";"Tab2",#N/A,FALSE,"P"}</definedName>
    <definedName name="yyy" localSheetId="59" hidden="1">{"Tab1",#N/A,FALSE,"P";"Tab2",#N/A,FALSE,"P"}</definedName>
    <definedName name="yyy" localSheetId="62" hidden="1">{"Tab1",#N/A,FALSE,"P";"Tab2",#N/A,FALSE,"P"}</definedName>
    <definedName name="yyy" localSheetId="70" hidden="1">{"Tab1",#N/A,FALSE,"P";"Tab2",#N/A,FALSE,"P"}</definedName>
    <definedName name="yyy" localSheetId="71" hidden="1">{"Tab1",#N/A,FALSE,"P";"Tab2",#N/A,FALSE,"P"}</definedName>
    <definedName name="yyy" localSheetId="72" hidden="1">{"Tab1",#N/A,FALSE,"P";"Tab2",#N/A,FALSE,"P"}</definedName>
    <definedName name="yyy" localSheetId="73" hidden="1">{"Tab1",#N/A,FALSE,"P";"Tab2",#N/A,FALSE,"P"}</definedName>
    <definedName name="yyy" localSheetId="74" hidden="1">{"Tab1",#N/A,FALSE,"P";"Tab2",#N/A,FALSE,"P"}</definedName>
    <definedName name="yyy" localSheetId="75" hidden="1">{"Tab1",#N/A,FALSE,"P";"Tab2",#N/A,FALSE,"P"}</definedName>
    <definedName name="yyy" localSheetId="76" hidden="1">{"Tab1",#N/A,FALSE,"P";"Tab2",#N/A,FALSE,"P"}</definedName>
    <definedName name="yyy" localSheetId="79" hidden="1">{"Tab1",#N/A,FALSE,"P";"Tab2",#N/A,FALSE,"P"}</definedName>
    <definedName name="yyy" localSheetId="80" hidden="1">{"Tab1",#N/A,FALSE,"P";"Tab2",#N/A,FALSE,"P"}</definedName>
    <definedName name="yyy" localSheetId="81" hidden="1">{"Tab1",#N/A,FALSE,"P";"Tab2",#N/A,FALSE,"P"}</definedName>
    <definedName name="yyy" localSheetId="83" hidden="1">{"Tab1",#N/A,FALSE,"P";"Tab2",#N/A,FALSE,"P"}</definedName>
    <definedName name="yyy" localSheetId="97" hidden="1">{"Tab1",#N/A,FALSE,"P";"Tab2",#N/A,FALSE,"P"}</definedName>
    <definedName name="yyy" localSheetId="98" hidden="1">{"Tab1",#N/A,FALSE,"P";"Tab2",#N/A,FALSE,"P"}</definedName>
    <definedName name="yyy" localSheetId="99" hidden="1">{"Tab1",#N/A,FALSE,"P";"Tab2",#N/A,FALSE,"P"}</definedName>
    <definedName name="yyy" localSheetId="100" hidden="1">{"Tab1",#N/A,FALSE,"P";"Tab2",#N/A,FALSE,"P"}</definedName>
    <definedName name="yyy" localSheetId="101" hidden="1">{"Tab1",#N/A,FALSE,"P";"Tab2",#N/A,FALSE,"P"}</definedName>
    <definedName name="yyy" localSheetId="108" hidden="1">{"Tab1",#N/A,FALSE,"P";"Tab2",#N/A,FALSE,"P"}</definedName>
    <definedName name="yyy" localSheetId="115" hidden="1">{"Tab1",#N/A,FALSE,"P";"Tab2",#N/A,FALSE,"P"}</definedName>
    <definedName name="yyy" localSheetId="5" hidden="1">{"Tab1",#N/A,FALSE,"P";"Tab2",#N/A,FALSE,"P"}</definedName>
    <definedName name="yyy" localSheetId="7" hidden="1">{"Tab1",#N/A,FALSE,"P";"Tab2",#N/A,FALSE,"P"}</definedName>
    <definedName name="yyy" localSheetId="8" hidden="1">{"Tab1",#N/A,FALSE,"P";"Tab2",#N/A,FALSE,"P"}</definedName>
    <definedName name="yyy" localSheetId="9" hidden="1">{"Tab1",#N/A,FALSE,"P";"Tab2",#N/A,FALSE,"P"}</definedName>
    <definedName name="yyy" localSheetId="10" hidden="1">{"Tab1",#N/A,FALSE,"P";"Tab2",#N/A,FALSE,"P"}</definedName>
    <definedName name="yyy" localSheetId="14" hidden="1">{"Tab1",#N/A,FALSE,"P";"Tab2",#N/A,FALSE,"P"}</definedName>
    <definedName name="yyy" localSheetId="18" hidden="1">{"'előző év december'!$A$2:$CP$214"}</definedName>
    <definedName name="yyy" localSheetId="19" hidden="1">{"Tab1",#N/A,FALSE,"P";"Tab2",#N/A,FALSE,"P"}</definedName>
    <definedName name="yyy" localSheetId="21" hidden="1">{"Tab1",#N/A,FALSE,"P";"Tab2",#N/A,FALSE,"P"}</definedName>
    <definedName name="yyy" localSheetId="23" hidden="1">{"Tab1",#N/A,FALSE,"P";"Tab2",#N/A,FALSE,"P"}</definedName>
    <definedName name="yyy" localSheetId="24" hidden="1">{"Tab1",#N/A,FALSE,"P";"Tab2",#N/A,FALSE,"P"}</definedName>
    <definedName name="yyy" localSheetId="25" hidden="1">{"Tab1",#N/A,FALSE,"P";"Tab2",#N/A,FALSE,"P"}</definedName>
    <definedName name="yyy" localSheetId="27" hidden="1">{"Tab1",#N/A,FALSE,"P";"Tab2",#N/A,FALSE,"P"}</definedName>
    <definedName name="yyy" localSheetId="30" hidden="1">{"Tab1",#N/A,FALSE,"P";"Tab2",#N/A,FALSE,"P"}</definedName>
    <definedName name="yyy" localSheetId="33" hidden="1">{"Tab1",#N/A,FALSE,"P";"Tab2",#N/A,FALSE,"P"}</definedName>
    <definedName name="yyy" localSheetId="34" hidden="1">{"Tab1",#N/A,FALSE,"P";"Tab2",#N/A,FALSE,"P"}</definedName>
    <definedName name="yyy" localSheetId="35" hidden="1">{"Tab1",#N/A,FALSE,"P";"Tab2",#N/A,FALSE,"P"}</definedName>
    <definedName name="yyy" localSheetId="36" hidden="1">{"Tab1",#N/A,FALSE,"P";"Tab2",#N/A,FALSE,"P"}</definedName>
    <definedName name="yyy" localSheetId="37" hidden="1">{"Tab1",#N/A,FALSE,"P";"Tab2",#N/A,FALSE,"P"}</definedName>
    <definedName name="yyy" localSheetId="38" hidden="1">{"Tab1",#N/A,FALSE,"P";"Tab2",#N/A,FALSE,"P"}</definedName>
    <definedName name="yyy" localSheetId="39" hidden="1">{"Tab1",#N/A,FALSE,"P";"Tab2",#N/A,FALSE,"P"}</definedName>
    <definedName name="yyy" localSheetId="40" hidden="1">{"Tab1",#N/A,FALSE,"P";"Tab2",#N/A,FALSE,"P"}</definedName>
    <definedName name="yyy" localSheetId="44" hidden="1">{"Tab1",#N/A,FALSE,"P";"Tab2",#N/A,FALSE,"P"}</definedName>
    <definedName name="yyy" hidden="1">{"Tab1",#N/A,FALSE,"P";"Tab2",#N/A,FALSE,"P"}</definedName>
    <definedName name="yyyy" localSheetId="50" hidden="1">{"Riqfin97",#N/A,FALSE,"Tran";"Riqfinpro",#N/A,FALSE,"Tran"}</definedName>
    <definedName name="yyyy" localSheetId="55" hidden="1">{"Riqfin97",#N/A,FALSE,"Tran";"Riqfinpro",#N/A,FALSE,"Tran"}</definedName>
    <definedName name="yyyy" localSheetId="56" hidden="1">{"Riqfin97",#N/A,FALSE,"Tran";"Riqfinpro",#N/A,FALSE,"Tran"}</definedName>
    <definedName name="yyyy" localSheetId="57" hidden="1">{"Riqfin97",#N/A,FALSE,"Tran";"Riqfinpro",#N/A,FALSE,"Tran"}</definedName>
    <definedName name="yyyy" localSheetId="58" hidden="1">{"Riqfin97",#N/A,FALSE,"Tran";"Riqfinpro",#N/A,FALSE,"Tran"}</definedName>
    <definedName name="yyyy" localSheetId="59" hidden="1">{"Riqfin97",#N/A,FALSE,"Tran";"Riqfinpro",#N/A,FALSE,"Tran"}</definedName>
    <definedName name="yyyy" localSheetId="62" hidden="1">{"Riqfin97",#N/A,FALSE,"Tran";"Riqfinpro",#N/A,FALSE,"Tran"}</definedName>
    <definedName name="yyyy" localSheetId="70" hidden="1">{"Riqfin97",#N/A,FALSE,"Tran";"Riqfinpro",#N/A,FALSE,"Tran"}</definedName>
    <definedName name="yyyy" localSheetId="71" hidden="1">{"Riqfin97",#N/A,FALSE,"Tran";"Riqfinpro",#N/A,FALSE,"Tran"}</definedName>
    <definedName name="yyyy" localSheetId="72" hidden="1">{"Riqfin97",#N/A,FALSE,"Tran";"Riqfinpro",#N/A,FALSE,"Tran"}</definedName>
    <definedName name="yyyy" localSheetId="73" hidden="1">{"Riqfin97",#N/A,FALSE,"Tran";"Riqfinpro",#N/A,FALSE,"Tran"}</definedName>
    <definedName name="yyyy" localSheetId="74" hidden="1">{"Riqfin97",#N/A,FALSE,"Tran";"Riqfinpro",#N/A,FALSE,"Tran"}</definedName>
    <definedName name="yyyy" localSheetId="75" hidden="1">{"Riqfin97",#N/A,FALSE,"Tran";"Riqfinpro",#N/A,FALSE,"Tran"}</definedName>
    <definedName name="yyyy" localSheetId="76" hidden="1">{"Riqfin97",#N/A,FALSE,"Tran";"Riqfinpro",#N/A,FALSE,"Tran"}</definedName>
    <definedName name="yyyy" localSheetId="79" hidden="1">{"Riqfin97",#N/A,FALSE,"Tran";"Riqfinpro",#N/A,FALSE,"Tran"}</definedName>
    <definedName name="yyyy" localSheetId="80" hidden="1">{"Riqfin97",#N/A,FALSE,"Tran";"Riqfinpro",#N/A,FALSE,"Tran"}</definedName>
    <definedName name="yyyy" localSheetId="81" hidden="1">{"Riqfin97",#N/A,FALSE,"Tran";"Riqfinpro",#N/A,FALSE,"Tran"}</definedName>
    <definedName name="yyyy" localSheetId="83" hidden="1">{"Riqfin97",#N/A,FALSE,"Tran";"Riqfinpro",#N/A,FALSE,"Tran"}</definedName>
    <definedName name="yyyy" localSheetId="97" hidden="1">{"Riqfin97",#N/A,FALSE,"Tran";"Riqfinpro",#N/A,FALSE,"Tran"}</definedName>
    <definedName name="yyyy" localSheetId="98" hidden="1">{"Riqfin97",#N/A,FALSE,"Tran";"Riqfinpro",#N/A,FALSE,"Tran"}</definedName>
    <definedName name="yyyy" localSheetId="99" hidden="1">{"Riqfin97",#N/A,FALSE,"Tran";"Riqfinpro",#N/A,FALSE,"Tran"}</definedName>
    <definedName name="yyyy" localSheetId="100" hidden="1">{"Riqfin97",#N/A,FALSE,"Tran";"Riqfinpro",#N/A,FALSE,"Tran"}</definedName>
    <definedName name="yyyy" localSheetId="101" hidden="1">{"Riqfin97",#N/A,FALSE,"Tran";"Riqfinpro",#N/A,FALSE,"Tran"}</definedName>
    <definedName name="yyyy" localSheetId="108" hidden="1">{"Riqfin97",#N/A,FALSE,"Tran";"Riqfinpro",#N/A,FALSE,"Tran"}</definedName>
    <definedName name="yyyy" localSheetId="115" hidden="1">{"Riqfin97",#N/A,FALSE,"Tran";"Riqfinpro",#N/A,FALSE,"Tran"}</definedName>
    <definedName name="yyyy" localSheetId="5" hidden="1">{"Riqfin97",#N/A,FALSE,"Tran";"Riqfinpro",#N/A,FALSE,"Tran"}</definedName>
    <definedName name="yyyy" localSheetId="7" hidden="1">{"Riqfin97",#N/A,FALSE,"Tran";"Riqfinpro",#N/A,FALSE,"Tran"}</definedName>
    <definedName name="yyyy" localSheetId="8" hidden="1">{"Riqfin97",#N/A,FALSE,"Tran";"Riqfinpro",#N/A,FALSE,"Tran"}</definedName>
    <definedName name="yyyy" localSheetId="9" hidden="1">{"Riqfin97",#N/A,FALSE,"Tran";"Riqfinpro",#N/A,FALSE,"Tran"}</definedName>
    <definedName name="yyyy" localSheetId="10" hidden="1">{"Riqfin97",#N/A,FALSE,"Tran";"Riqfinpro",#N/A,FALSE,"Tran"}</definedName>
    <definedName name="yyyy" localSheetId="14" hidden="1">{"Riqfin97",#N/A,FALSE,"Tran";"Riqfinpro",#N/A,FALSE,"Tran"}</definedName>
    <definedName name="yyyy" localSheetId="19" hidden="1">{"Riqfin97",#N/A,FALSE,"Tran";"Riqfinpro",#N/A,FALSE,"Tran"}</definedName>
    <definedName name="yyyy" localSheetId="21" hidden="1">{"Riqfin97",#N/A,FALSE,"Tran";"Riqfinpro",#N/A,FALSE,"Tran"}</definedName>
    <definedName name="yyyy" localSheetId="23" hidden="1">{"Riqfin97",#N/A,FALSE,"Tran";"Riqfinpro",#N/A,FALSE,"Tran"}</definedName>
    <definedName name="yyyy" localSheetId="24" hidden="1">{"Riqfin97",#N/A,FALSE,"Tran";"Riqfinpro",#N/A,FALSE,"Tran"}</definedName>
    <definedName name="yyyy" localSheetId="25" hidden="1">{"Riqfin97",#N/A,FALSE,"Tran";"Riqfinpro",#N/A,FALSE,"Tran"}</definedName>
    <definedName name="yyyy" localSheetId="27" hidden="1">{"Riqfin97",#N/A,FALSE,"Tran";"Riqfinpro",#N/A,FALSE,"Tran"}</definedName>
    <definedName name="yyyy" localSheetId="30" hidden="1">{"Riqfin97",#N/A,FALSE,"Tran";"Riqfinpro",#N/A,FALSE,"Tran"}</definedName>
    <definedName name="yyyy" localSheetId="33" hidden="1">{"Riqfin97",#N/A,FALSE,"Tran";"Riqfinpro",#N/A,FALSE,"Tran"}</definedName>
    <definedName name="yyyy" localSheetId="34" hidden="1">{"Riqfin97",#N/A,FALSE,"Tran";"Riqfinpro",#N/A,FALSE,"Tran"}</definedName>
    <definedName name="yyyy" localSheetId="35" hidden="1">{"Riqfin97",#N/A,FALSE,"Tran";"Riqfinpro",#N/A,FALSE,"Tran"}</definedName>
    <definedName name="yyyy" localSheetId="36" hidden="1">{"Riqfin97",#N/A,FALSE,"Tran";"Riqfinpro",#N/A,FALSE,"Tran"}</definedName>
    <definedName name="yyyy" localSheetId="37" hidden="1">{"Riqfin97",#N/A,FALSE,"Tran";"Riqfinpro",#N/A,FALSE,"Tran"}</definedName>
    <definedName name="yyyy" localSheetId="38" hidden="1">{"Riqfin97",#N/A,FALSE,"Tran";"Riqfinpro",#N/A,FALSE,"Tran"}</definedName>
    <definedName name="yyyy" localSheetId="39" hidden="1">{"Riqfin97",#N/A,FALSE,"Tran";"Riqfinpro",#N/A,FALSE,"Tran"}</definedName>
    <definedName name="yyyy" localSheetId="40" hidden="1">{"Riqfin97",#N/A,FALSE,"Tran";"Riqfinpro",#N/A,FALSE,"Tran"}</definedName>
    <definedName name="yyyy" localSheetId="44" hidden="1">{"Riqfin97",#N/A,FALSE,"Tran";"Riqfinpro",#N/A,FALSE,"Tran"}</definedName>
    <definedName name="yyyy" hidden="1">{"Riqfin97",#N/A,FALSE,"Tran";"Riqfinpro",#N/A,FALSE,"Tran"}</definedName>
    <definedName name="Z_95224721_0485_11D4_BFD1_00508B5F4DA4_.wvu.Cols" localSheetId="49" hidden="1">#REF!</definedName>
    <definedName name="Z_95224721_0485_11D4_BFD1_00508B5F4DA4_.wvu.Cols" localSheetId="50" hidden="1">#REF!</definedName>
    <definedName name="Z_95224721_0485_11D4_BFD1_00508B5F4DA4_.wvu.Cols" localSheetId="51" hidden="1">#REF!</definedName>
    <definedName name="Z_95224721_0485_11D4_BFD1_00508B5F4DA4_.wvu.Cols" localSheetId="53" hidden="1">#REF!</definedName>
    <definedName name="Z_95224721_0485_11D4_BFD1_00508B5F4DA4_.wvu.Cols" localSheetId="54" hidden="1">#REF!</definedName>
    <definedName name="Z_95224721_0485_11D4_BFD1_00508B5F4DA4_.wvu.Cols" localSheetId="55" hidden="1">#REF!</definedName>
    <definedName name="Z_95224721_0485_11D4_BFD1_00508B5F4DA4_.wvu.Cols" localSheetId="56" hidden="1">#REF!</definedName>
    <definedName name="Z_95224721_0485_11D4_BFD1_00508B5F4DA4_.wvu.Cols" localSheetId="57" hidden="1">#REF!</definedName>
    <definedName name="Z_95224721_0485_11D4_BFD1_00508B5F4DA4_.wvu.Cols" localSheetId="58" hidden="1">#REF!</definedName>
    <definedName name="Z_95224721_0485_11D4_BFD1_00508B5F4DA4_.wvu.Cols" localSheetId="59" hidden="1">#REF!</definedName>
    <definedName name="Z_95224721_0485_11D4_BFD1_00508B5F4DA4_.wvu.Cols" localSheetId="62" hidden="1">#REF!</definedName>
    <definedName name="Z_95224721_0485_11D4_BFD1_00508B5F4DA4_.wvu.Cols" localSheetId="70" hidden="1">#REF!</definedName>
    <definedName name="Z_95224721_0485_11D4_BFD1_00508B5F4DA4_.wvu.Cols" localSheetId="71" hidden="1">#REF!</definedName>
    <definedName name="Z_95224721_0485_11D4_BFD1_00508B5F4DA4_.wvu.Cols" localSheetId="72" hidden="1">#REF!</definedName>
    <definedName name="Z_95224721_0485_11D4_BFD1_00508B5F4DA4_.wvu.Cols" localSheetId="73" hidden="1">#REF!</definedName>
    <definedName name="Z_95224721_0485_11D4_BFD1_00508B5F4DA4_.wvu.Cols" localSheetId="74" hidden="1">#REF!</definedName>
    <definedName name="Z_95224721_0485_11D4_BFD1_00508B5F4DA4_.wvu.Cols" localSheetId="75" hidden="1">#REF!</definedName>
    <definedName name="Z_95224721_0485_11D4_BFD1_00508B5F4DA4_.wvu.Cols" localSheetId="76" hidden="1">#REF!</definedName>
    <definedName name="Z_95224721_0485_11D4_BFD1_00508B5F4DA4_.wvu.Cols" localSheetId="79" hidden="1">#REF!</definedName>
    <definedName name="Z_95224721_0485_11D4_BFD1_00508B5F4DA4_.wvu.Cols" localSheetId="80" hidden="1">#REF!</definedName>
    <definedName name="Z_95224721_0485_11D4_BFD1_00508B5F4DA4_.wvu.Cols" localSheetId="81" hidden="1">#REF!</definedName>
    <definedName name="Z_95224721_0485_11D4_BFD1_00508B5F4DA4_.wvu.Cols" localSheetId="83" hidden="1">#REF!</definedName>
    <definedName name="Z_95224721_0485_11D4_BFD1_00508B5F4DA4_.wvu.Cols" localSheetId="87" hidden="1">#REF!</definedName>
    <definedName name="Z_95224721_0485_11D4_BFD1_00508B5F4DA4_.wvu.Cols" localSheetId="95" hidden="1">#REF!</definedName>
    <definedName name="Z_95224721_0485_11D4_BFD1_00508B5F4DA4_.wvu.Cols" localSheetId="97" hidden="1">#REF!</definedName>
    <definedName name="Z_95224721_0485_11D4_BFD1_00508B5F4DA4_.wvu.Cols" localSheetId="98" hidden="1">#REF!</definedName>
    <definedName name="Z_95224721_0485_11D4_BFD1_00508B5F4DA4_.wvu.Cols" localSheetId="99" hidden="1">#REF!</definedName>
    <definedName name="Z_95224721_0485_11D4_BFD1_00508B5F4DA4_.wvu.Cols" localSheetId="100" hidden="1">#REF!</definedName>
    <definedName name="Z_95224721_0485_11D4_BFD1_00508B5F4DA4_.wvu.Cols" localSheetId="101" hidden="1">#REF!</definedName>
    <definedName name="Z_95224721_0485_11D4_BFD1_00508B5F4DA4_.wvu.Cols" localSheetId="108" hidden="1">#REF!</definedName>
    <definedName name="Z_95224721_0485_11D4_BFD1_00508B5F4DA4_.wvu.Cols" localSheetId="115" hidden="1">#REF!</definedName>
    <definedName name="Z_95224721_0485_11D4_BFD1_00508B5F4DA4_.wvu.Cols" localSheetId="5" hidden="1">#REF!</definedName>
    <definedName name="Z_95224721_0485_11D4_BFD1_00508B5F4DA4_.wvu.Cols" localSheetId="6" hidden="1">#REF!</definedName>
    <definedName name="Z_95224721_0485_11D4_BFD1_00508B5F4DA4_.wvu.Cols" localSheetId="7" hidden="1">#REF!</definedName>
    <definedName name="Z_95224721_0485_11D4_BFD1_00508B5F4DA4_.wvu.Cols" localSheetId="8" hidden="1">#REF!</definedName>
    <definedName name="Z_95224721_0485_11D4_BFD1_00508B5F4DA4_.wvu.Cols" localSheetId="9" hidden="1">#REF!</definedName>
    <definedName name="Z_95224721_0485_11D4_BFD1_00508B5F4DA4_.wvu.Cols" localSheetId="10" hidden="1">#REF!</definedName>
    <definedName name="Z_95224721_0485_11D4_BFD1_00508B5F4DA4_.wvu.Cols" localSheetId="14" hidden="1">#REF!</definedName>
    <definedName name="Z_95224721_0485_11D4_BFD1_00508B5F4DA4_.wvu.Cols" localSheetId="15" hidden="1">#REF!</definedName>
    <definedName name="Z_95224721_0485_11D4_BFD1_00508B5F4DA4_.wvu.Cols" localSheetId="16" hidden="1">#REF!</definedName>
    <definedName name="Z_95224721_0485_11D4_BFD1_00508B5F4DA4_.wvu.Cols" localSheetId="17" hidden="1">#REF!</definedName>
    <definedName name="Z_95224721_0485_11D4_BFD1_00508B5F4DA4_.wvu.Cols" localSheetId="19" hidden="1">#REF!</definedName>
    <definedName name="Z_95224721_0485_11D4_BFD1_00508B5F4DA4_.wvu.Cols" localSheetId="21" hidden="1">#REF!</definedName>
    <definedName name="Z_95224721_0485_11D4_BFD1_00508B5F4DA4_.wvu.Cols" localSheetId="23" hidden="1">#REF!</definedName>
    <definedName name="Z_95224721_0485_11D4_BFD1_00508B5F4DA4_.wvu.Cols" localSheetId="24" hidden="1">#REF!</definedName>
    <definedName name="Z_95224721_0485_11D4_BFD1_00508B5F4DA4_.wvu.Cols" localSheetId="25" hidden="1">#REF!</definedName>
    <definedName name="Z_95224721_0485_11D4_BFD1_00508B5F4DA4_.wvu.Cols" localSheetId="27" hidden="1">#REF!</definedName>
    <definedName name="Z_95224721_0485_11D4_BFD1_00508B5F4DA4_.wvu.Cols" localSheetId="30" hidden="1">#REF!</definedName>
    <definedName name="Z_95224721_0485_11D4_BFD1_00508B5F4DA4_.wvu.Cols" localSheetId="33" hidden="1">#REF!</definedName>
    <definedName name="Z_95224721_0485_11D4_BFD1_00508B5F4DA4_.wvu.Cols" localSheetId="34" hidden="1">#REF!</definedName>
    <definedName name="Z_95224721_0485_11D4_BFD1_00508B5F4DA4_.wvu.Cols" localSheetId="35" hidden="1">#REF!</definedName>
    <definedName name="Z_95224721_0485_11D4_BFD1_00508B5F4DA4_.wvu.Cols" localSheetId="36" hidden="1">#REF!</definedName>
    <definedName name="Z_95224721_0485_11D4_BFD1_00508B5F4DA4_.wvu.Cols" localSheetId="37" hidden="1">#REF!</definedName>
    <definedName name="Z_95224721_0485_11D4_BFD1_00508B5F4DA4_.wvu.Cols" localSheetId="38" hidden="1">#REF!</definedName>
    <definedName name="Z_95224721_0485_11D4_BFD1_00508B5F4DA4_.wvu.Cols" localSheetId="39" hidden="1">#REF!</definedName>
    <definedName name="Z_95224721_0485_11D4_BFD1_00508B5F4DA4_.wvu.Cols" localSheetId="40" hidden="1">#REF!</definedName>
    <definedName name="Z_95224721_0485_11D4_BFD1_00508B5F4DA4_.wvu.Cols" localSheetId="44" hidden="1">#REF!</definedName>
    <definedName name="Z_95224721_0485_11D4_BFD1_00508B5F4DA4_.wvu.Cols" hidden="1">#REF!</definedName>
    <definedName name="ztr" localSheetId="50" hidden="1">{"'előző év december'!$A$2:$CP$214"}</definedName>
    <definedName name="ztr" localSheetId="56" hidden="1">{"'előző év december'!$A$2:$CP$214"}</definedName>
    <definedName name="ztr" localSheetId="57" hidden="1">{"'előző év december'!$A$2:$CP$214"}</definedName>
    <definedName name="ztr" localSheetId="58" hidden="1">{"'előző év december'!$A$2:$CP$214"}</definedName>
    <definedName name="ztr" localSheetId="59" hidden="1">{"'előző év december'!$A$2:$CP$214"}</definedName>
    <definedName name="ztr" localSheetId="62" hidden="1">{"'előző év december'!$A$2:$CP$214"}</definedName>
    <definedName name="ztr" localSheetId="70" hidden="1">{"'előző év december'!$A$2:$CP$214"}</definedName>
    <definedName name="ztr" localSheetId="71" hidden="1">{"'előző év december'!$A$2:$CP$214"}</definedName>
    <definedName name="ztr" localSheetId="72" hidden="1">{"'előző év december'!$A$2:$CP$214"}</definedName>
    <definedName name="ztr" localSheetId="73" hidden="1">{"'előző év december'!$A$2:$CP$214"}</definedName>
    <definedName name="ztr" localSheetId="74" hidden="1">{"'előző év december'!$A$2:$CP$214"}</definedName>
    <definedName name="ztr" localSheetId="79" hidden="1">{"'előző év december'!$A$2:$CP$214"}</definedName>
    <definedName name="ztr" localSheetId="80" hidden="1">{"'előző év december'!$A$2:$CP$214"}</definedName>
    <definedName name="ztr" localSheetId="81" hidden="1">{"'előző év december'!$A$2:$CP$214"}</definedName>
    <definedName name="ztr" localSheetId="97" hidden="1">{"'előző év december'!$A$2:$CP$214"}</definedName>
    <definedName name="ztr" localSheetId="98" hidden="1">{"'előző év december'!$A$2:$CP$214"}</definedName>
    <definedName name="ztr" localSheetId="99" hidden="1">{"'előző év december'!$A$2:$CP$214"}</definedName>
    <definedName name="ztr" localSheetId="100" hidden="1">{"'előző év december'!$A$2:$CP$214"}</definedName>
    <definedName name="ztr" localSheetId="101" hidden="1">{"'előző év december'!$A$2:$CP$214"}</definedName>
    <definedName name="ztr" localSheetId="108" hidden="1">{"'előző év december'!$A$2:$CP$214"}</definedName>
    <definedName name="ztr" localSheetId="115" hidden="1">{"'előző év december'!$A$2:$CP$214"}</definedName>
    <definedName name="ztr" localSheetId="5" hidden="1">{"'előző év december'!$A$2:$CP$214"}</definedName>
    <definedName name="ztr" localSheetId="7" hidden="1">{"'előző év december'!$A$2:$CP$214"}</definedName>
    <definedName name="ztr" localSheetId="8" hidden="1">{"'előző év december'!$A$2:$CP$214"}</definedName>
    <definedName name="ztr" localSheetId="9" hidden="1">{"'előző év december'!$A$2:$CP$214"}</definedName>
    <definedName name="ztr" localSheetId="10" hidden="1">{"'előző év december'!$A$2:$CP$214"}</definedName>
    <definedName name="ztr" localSheetId="14" hidden="1">{"'előző év december'!$A$2:$CP$214"}</definedName>
    <definedName name="ztr" localSheetId="18" hidden="1">{"'előző év december'!$A$2:$CP$214"}</definedName>
    <definedName name="ztr" localSheetId="19" hidden="1">{"'előző év december'!$A$2:$CP$214"}</definedName>
    <definedName name="ztr" localSheetId="21" hidden="1">{"'előző év december'!$A$2:$CP$214"}</definedName>
    <definedName name="ztr" localSheetId="23" hidden="1">{"'előző év december'!$A$2:$CP$214"}</definedName>
    <definedName name="ztr" localSheetId="24" hidden="1">{"'előző év december'!$A$2:$CP$214"}</definedName>
    <definedName name="ztr" localSheetId="25" hidden="1">{"'előző év december'!$A$2:$CP$214"}</definedName>
    <definedName name="ztr" localSheetId="27" hidden="1">{"'előző év december'!$A$2:$CP$214"}</definedName>
    <definedName name="ztr" localSheetId="30" hidden="1">{"'előző év december'!$A$2:$CP$214"}</definedName>
    <definedName name="ztr" localSheetId="33" hidden="1">{"'előző év december'!$A$2:$CP$214"}</definedName>
    <definedName name="ztr" localSheetId="34" hidden="1">{"'előző év december'!$A$2:$CP$214"}</definedName>
    <definedName name="ztr" localSheetId="35" hidden="1">{"'előző év december'!$A$2:$CP$214"}</definedName>
    <definedName name="ztr" localSheetId="36" hidden="1">{"'előző év december'!$A$2:$CP$214"}</definedName>
    <definedName name="ztr" localSheetId="37" hidden="1">{"'előző év december'!$A$2:$CP$214"}</definedName>
    <definedName name="ztr" localSheetId="38" hidden="1">{"'előző év december'!$A$2:$CP$214"}</definedName>
    <definedName name="ztr" localSheetId="39" hidden="1">{"'előző év december'!$A$2:$CP$214"}</definedName>
    <definedName name="ztr" localSheetId="40" hidden="1">{"'előző év december'!$A$2:$CP$214"}</definedName>
    <definedName name="ztr" hidden="1">{"'előző év december'!$A$2:$CP$214"}</definedName>
    <definedName name="zz" localSheetId="50" hidden="1">{"Tab1",#N/A,FALSE,"P";"Tab2",#N/A,FALSE,"P"}</definedName>
    <definedName name="zz" localSheetId="55" hidden="1">{"Tab1",#N/A,FALSE,"P";"Tab2",#N/A,FALSE,"P"}</definedName>
    <definedName name="zz" localSheetId="56" hidden="1">{"Tab1",#N/A,FALSE,"P";"Tab2",#N/A,FALSE,"P"}</definedName>
    <definedName name="zz" localSheetId="57" hidden="1">{"Tab1",#N/A,FALSE,"P";"Tab2",#N/A,FALSE,"P"}</definedName>
    <definedName name="zz" localSheetId="58" hidden="1">{"Tab1",#N/A,FALSE,"P";"Tab2",#N/A,FALSE,"P"}</definedName>
    <definedName name="zz" localSheetId="59" hidden="1">{"Tab1",#N/A,FALSE,"P";"Tab2",#N/A,FALSE,"P"}</definedName>
    <definedName name="zz" localSheetId="62" hidden="1">{"Tab1",#N/A,FALSE,"P";"Tab2",#N/A,FALSE,"P"}</definedName>
    <definedName name="zz" localSheetId="70" hidden="1">{"Tab1",#N/A,FALSE,"P";"Tab2",#N/A,FALSE,"P"}</definedName>
    <definedName name="zz" localSheetId="71" hidden="1">{"Tab1",#N/A,FALSE,"P";"Tab2",#N/A,FALSE,"P"}</definedName>
    <definedName name="zz" localSheetId="72" hidden="1">{"Tab1",#N/A,FALSE,"P";"Tab2",#N/A,FALSE,"P"}</definedName>
    <definedName name="zz" localSheetId="73" hidden="1">{"Tab1",#N/A,FALSE,"P";"Tab2",#N/A,FALSE,"P"}</definedName>
    <definedName name="zz" localSheetId="74" hidden="1">{"Tab1",#N/A,FALSE,"P";"Tab2",#N/A,FALSE,"P"}</definedName>
    <definedName name="zz" localSheetId="75" hidden="1">{"Tab1",#N/A,FALSE,"P";"Tab2",#N/A,FALSE,"P"}</definedName>
    <definedName name="zz" localSheetId="76" hidden="1">{"Tab1",#N/A,FALSE,"P";"Tab2",#N/A,FALSE,"P"}</definedName>
    <definedName name="zz" localSheetId="79" hidden="1">{"Tab1",#N/A,FALSE,"P";"Tab2",#N/A,FALSE,"P"}</definedName>
    <definedName name="zz" localSheetId="80" hidden="1">{"Tab1",#N/A,FALSE,"P";"Tab2",#N/A,FALSE,"P"}</definedName>
    <definedName name="zz" localSheetId="81" hidden="1">{"Tab1",#N/A,FALSE,"P";"Tab2",#N/A,FALSE,"P"}</definedName>
    <definedName name="zz" localSheetId="83" hidden="1">{"Tab1",#N/A,FALSE,"P";"Tab2",#N/A,FALSE,"P"}</definedName>
    <definedName name="zz" localSheetId="97" hidden="1">{"Tab1",#N/A,FALSE,"P";"Tab2",#N/A,FALSE,"P"}</definedName>
    <definedName name="zz" localSheetId="98" hidden="1">{"Tab1",#N/A,FALSE,"P";"Tab2",#N/A,FALSE,"P"}</definedName>
    <definedName name="zz" localSheetId="99" hidden="1">{"Tab1",#N/A,FALSE,"P";"Tab2",#N/A,FALSE,"P"}</definedName>
    <definedName name="zz" localSheetId="100" hidden="1">{"Tab1",#N/A,FALSE,"P";"Tab2",#N/A,FALSE,"P"}</definedName>
    <definedName name="zz" localSheetId="101" hidden="1">{"Tab1",#N/A,FALSE,"P";"Tab2",#N/A,FALSE,"P"}</definedName>
    <definedName name="zz" localSheetId="108" hidden="1">{"Tab1",#N/A,FALSE,"P";"Tab2",#N/A,FALSE,"P"}</definedName>
    <definedName name="zz" localSheetId="115" hidden="1">{"Tab1",#N/A,FALSE,"P";"Tab2",#N/A,FALSE,"P"}</definedName>
    <definedName name="zz" localSheetId="5" hidden="1">{"Tab1",#N/A,FALSE,"P";"Tab2",#N/A,FALSE,"P"}</definedName>
    <definedName name="zz" localSheetId="7" hidden="1">{"Tab1",#N/A,FALSE,"P";"Tab2",#N/A,FALSE,"P"}</definedName>
    <definedName name="zz" localSheetId="8" hidden="1">{"Tab1",#N/A,FALSE,"P";"Tab2",#N/A,FALSE,"P"}</definedName>
    <definedName name="zz" localSheetId="9" hidden="1">{"Tab1",#N/A,FALSE,"P";"Tab2",#N/A,FALSE,"P"}</definedName>
    <definedName name="zz" localSheetId="10" hidden="1">{"Tab1",#N/A,FALSE,"P";"Tab2",#N/A,FALSE,"P"}</definedName>
    <definedName name="zz" localSheetId="14" hidden="1">{"Tab1",#N/A,FALSE,"P";"Tab2",#N/A,FALSE,"P"}</definedName>
    <definedName name="zz" localSheetId="19" hidden="1">{"Tab1",#N/A,FALSE,"P";"Tab2",#N/A,FALSE,"P"}</definedName>
    <definedName name="zz" localSheetId="21" hidden="1">{"Tab1",#N/A,FALSE,"P";"Tab2",#N/A,FALSE,"P"}</definedName>
    <definedName name="zz" localSheetId="23" hidden="1">{"Tab1",#N/A,FALSE,"P";"Tab2",#N/A,FALSE,"P"}</definedName>
    <definedName name="zz" localSheetId="24" hidden="1">{"Tab1",#N/A,FALSE,"P";"Tab2",#N/A,FALSE,"P"}</definedName>
    <definedName name="zz" localSheetId="25" hidden="1">{"Tab1",#N/A,FALSE,"P";"Tab2",#N/A,FALSE,"P"}</definedName>
    <definedName name="zz" localSheetId="27" hidden="1">{"Tab1",#N/A,FALSE,"P";"Tab2",#N/A,FALSE,"P"}</definedName>
    <definedName name="zz" localSheetId="30" hidden="1">{"Tab1",#N/A,FALSE,"P";"Tab2",#N/A,FALSE,"P"}</definedName>
    <definedName name="zz" localSheetId="33" hidden="1">{"Tab1",#N/A,FALSE,"P";"Tab2",#N/A,FALSE,"P"}</definedName>
    <definedName name="zz" localSheetId="34" hidden="1">{"Tab1",#N/A,FALSE,"P";"Tab2",#N/A,FALSE,"P"}</definedName>
    <definedName name="zz" localSheetId="35" hidden="1">{"Tab1",#N/A,FALSE,"P";"Tab2",#N/A,FALSE,"P"}</definedName>
    <definedName name="zz" localSheetId="36" hidden="1">{"Tab1",#N/A,FALSE,"P";"Tab2",#N/A,FALSE,"P"}</definedName>
    <definedName name="zz" localSheetId="37" hidden="1">{"Tab1",#N/A,FALSE,"P";"Tab2",#N/A,FALSE,"P"}</definedName>
    <definedName name="zz" localSheetId="38" hidden="1">{"Tab1",#N/A,FALSE,"P";"Tab2",#N/A,FALSE,"P"}</definedName>
    <definedName name="zz" localSheetId="39" hidden="1">{"Tab1",#N/A,FALSE,"P";"Tab2",#N/A,FALSE,"P"}</definedName>
    <definedName name="zz" localSheetId="40" hidden="1">{"Tab1",#N/A,FALSE,"P";"Tab2",#N/A,FALSE,"P"}</definedName>
    <definedName name="zz" localSheetId="44" hidden="1">{"Tab1",#N/A,FALSE,"P";"Tab2",#N/A,FALSE,"P"}</definedName>
    <definedName name="zz" hidden="1">{"Tab1",#N/A,FALSE,"P";"Tab2",#N/A,FALSE,"P"}</definedName>
    <definedName name="zzz" localSheetId="50" hidden="1">{"'előző év december'!$A$2:$CP$214"}</definedName>
    <definedName name="zzz" localSheetId="56" hidden="1">{"'előző év december'!$A$2:$CP$214"}</definedName>
    <definedName name="zzz" localSheetId="57" hidden="1">{"'előző év december'!$A$2:$CP$214"}</definedName>
    <definedName name="zzz" localSheetId="58" hidden="1">{"'előző év december'!$A$2:$CP$214"}</definedName>
    <definedName name="zzz" localSheetId="59" hidden="1">{"'előző év december'!$A$2:$CP$214"}</definedName>
    <definedName name="zzz" localSheetId="62" hidden="1">{"'előző év december'!$A$2:$CP$214"}</definedName>
    <definedName name="zzz" localSheetId="70" hidden="1">{"'előző év december'!$A$2:$CP$214"}</definedName>
    <definedName name="zzz" localSheetId="71" hidden="1">{"'előző év december'!$A$2:$CP$214"}</definedName>
    <definedName name="zzz" localSheetId="72" hidden="1">{"'előző év december'!$A$2:$CP$214"}</definedName>
    <definedName name="zzz" localSheetId="73" hidden="1">{"'előző év december'!$A$2:$CP$214"}</definedName>
    <definedName name="zzz" localSheetId="74" hidden="1">{"'előző év december'!$A$2:$CP$214"}</definedName>
    <definedName name="zzz" localSheetId="79" hidden="1">{"'előző év december'!$A$2:$CP$214"}</definedName>
    <definedName name="zzz" localSheetId="80" hidden="1">{"'előző év december'!$A$2:$CP$214"}</definedName>
    <definedName name="zzz" localSheetId="81" hidden="1">{"'előző év december'!$A$2:$CP$214"}</definedName>
    <definedName name="zzz" localSheetId="97" hidden="1">{"'előző év december'!$A$2:$CP$214"}</definedName>
    <definedName name="zzz" localSheetId="98" hidden="1">{"'előző év december'!$A$2:$CP$214"}</definedName>
    <definedName name="zzz" localSheetId="99" hidden="1">{"'előző év december'!$A$2:$CP$214"}</definedName>
    <definedName name="zzz" localSheetId="100" hidden="1">{"'előző év december'!$A$2:$CP$214"}</definedName>
    <definedName name="zzz" localSheetId="101" hidden="1">{"'előző év december'!$A$2:$CP$214"}</definedName>
    <definedName name="zzz" localSheetId="108" hidden="1">{"'előző év december'!$A$2:$CP$214"}</definedName>
    <definedName name="zzz" localSheetId="115" hidden="1">{"'előző év december'!$A$2:$CP$214"}</definedName>
    <definedName name="zzz" localSheetId="5" hidden="1">{"'előző év december'!$A$2:$CP$214"}</definedName>
    <definedName name="zzz" localSheetId="7" hidden="1">{"'előző év december'!$A$2:$CP$214"}</definedName>
    <definedName name="zzz" localSheetId="8" hidden="1">{"'előző év december'!$A$2:$CP$214"}</definedName>
    <definedName name="zzz" localSheetId="9" hidden="1">{"'előző év december'!$A$2:$CP$214"}</definedName>
    <definedName name="zzz" localSheetId="10" hidden="1">{"'előző év december'!$A$2:$CP$214"}</definedName>
    <definedName name="zzz" localSheetId="14" hidden="1">{"'előző év december'!$A$2:$CP$214"}</definedName>
    <definedName name="zzz" localSheetId="18" hidden="1">{"'előző év december'!$A$2:$CP$214"}</definedName>
    <definedName name="zzz" localSheetId="19" hidden="1">{"'előző év december'!$A$2:$CP$214"}</definedName>
    <definedName name="zzz" localSheetId="21" hidden="1">{"'előző év december'!$A$2:$CP$214"}</definedName>
    <definedName name="zzz" localSheetId="23" hidden="1">{"'előző év december'!$A$2:$CP$214"}</definedName>
    <definedName name="zzz" localSheetId="24" hidden="1">{"'előző év december'!$A$2:$CP$214"}</definedName>
    <definedName name="zzz" localSheetId="25" hidden="1">{"'előző év december'!$A$2:$CP$214"}</definedName>
    <definedName name="zzz" localSheetId="27" hidden="1">{"'előző év december'!$A$2:$CP$214"}</definedName>
    <definedName name="zzz" localSheetId="30" hidden="1">{"'előző év december'!$A$2:$CP$214"}</definedName>
    <definedName name="zzz" localSheetId="33" hidden="1">{"'előző év december'!$A$2:$CP$214"}</definedName>
    <definedName name="zzz" localSheetId="34" hidden="1">{"'előző év december'!$A$2:$CP$214"}</definedName>
    <definedName name="zzz" localSheetId="35" hidden="1">{"'előző év december'!$A$2:$CP$214"}</definedName>
    <definedName name="zzz" localSheetId="36" hidden="1">{"'előző év december'!$A$2:$CP$214"}</definedName>
    <definedName name="zzz" localSheetId="37" hidden="1">{"'előző év december'!$A$2:$CP$214"}</definedName>
    <definedName name="zzz" localSheetId="38" hidden="1">{"'előző év december'!$A$2:$CP$214"}</definedName>
    <definedName name="zzz" localSheetId="39" hidden="1">{"'előző év december'!$A$2:$CP$214"}</definedName>
    <definedName name="zzz" localSheetId="40" hidden="1">{"'előző év december'!$A$2:$CP$214"}</definedName>
    <definedName name="zzz" hidden="1">{"'előző év december'!$A$2:$CP$214"}</definedName>
  </definedNames>
  <calcPr calcId="171027"/>
</workbook>
</file>

<file path=xl/calcChain.xml><?xml version="1.0" encoding="utf-8"?>
<calcChain xmlns="http://schemas.openxmlformats.org/spreadsheetml/2006/main">
  <c r="N65" i="140" l="1"/>
  <c r="I37" i="140"/>
  <c r="H65" i="140"/>
  <c r="C22" i="131" l="1"/>
  <c r="E16" i="119"/>
  <c r="G5" i="104"/>
  <c r="F5" i="104"/>
  <c r="E5" i="104"/>
  <c r="D5" i="104"/>
  <c r="X3" i="140" l="1"/>
  <c r="C5" i="140"/>
  <c r="D5" i="140"/>
  <c r="E5" i="140"/>
  <c r="E169" i="140" s="1"/>
  <c r="F5" i="140"/>
  <c r="G5" i="140"/>
  <c r="M6" i="140"/>
  <c r="N6" i="140"/>
  <c r="H7" i="140"/>
  <c r="I7" i="140"/>
  <c r="J7" i="140"/>
  <c r="K7" i="140"/>
  <c r="O7" i="140"/>
  <c r="S7" i="140"/>
  <c r="T7" i="140"/>
  <c r="U7" i="140"/>
  <c r="V7" i="140"/>
  <c r="X7" i="140"/>
  <c r="Y7" i="140"/>
  <c r="H8" i="140"/>
  <c r="H6" i="140" s="1"/>
  <c r="I8" i="140"/>
  <c r="J8" i="140"/>
  <c r="K8" i="140"/>
  <c r="O8" i="140"/>
  <c r="S8" i="140"/>
  <c r="T8" i="140"/>
  <c r="U8" i="140"/>
  <c r="V8" i="140"/>
  <c r="X8" i="140"/>
  <c r="Y8" i="140"/>
  <c r="Z8" i="140"/>
  <c r="H9" i="140"/>
  <c r="I9" i="140"/>
  <c r="J9" i="140"/>
  <c r="K9" i="140"/>
  <c r="O9" i="140"/>
  <c r="P9" i="140"/>
  <c r="X9" i="140" s="1"/>
  <c r="Q9" i="140"/>
  <c r="R9" i="140"/>
  <c r="S9" i="140"/>
  <c r="T9" i="140"/>
  <c r="V9" i="140"/>
  <c r="Y9" i="140"/>
  <c r="Z9" i="140"/>
  <c r="H10" i="140"/>
  <c r="I10" i="140"/>
  <c r="J10" i="140"/>
  <c r="K10" i="140"/>
  <c r="O10" i="140"/>
  <c r="S10" i="140"/>
  <c r="T10" i="140"/>
  <c r="U10" i="140"/>
  <c r="V10" i="140"/>
  <c r="X10" i="140"/>
  <c r="Y10" i="140"/>
  <c r="Z10" i="140"/>
  <c r="H11" i="140"/>
  <c r="I11" i="140"/>
  <c r="J11" i="140"/>
  <c r="J6" i="140" s="1"/>
  <c r="K11" i="140"/>
  <c r="O11" i="140"/>
  <c r="V11" i="140" s="1"/>
  <c r="P11" i="140"/>
  <c r="Q11" i="140"/>
  <c r="R11" i="140"/>
  <c r="S11" i="140"/>
  <c r="T11" i="140"/>
  <c r="U11" i="140"/>
  <c r="X11" i="140"/>
  <c r="Z11" i="140" s="1"/>
  <c r="Y11" i="140"/>
  <c r="H12" i="140"/>
  <c r="I12" i="140"/>
  <c r="J12" i="140"/>
  <c r="K12" i="140"/>
  <c r="O12" i="140"/>
  <c r="V12" i="140" s="1"/>
  <c r="S12" i="140"/>
  <c r="T12" i="140"/>
  <c r="U12" i="140"/>
  <c r="X12" i="140"/>
  <c r="Y12" i="140"/>
  <c r="Z12" i="140"/>
  <c r="H13" i="140"/>
  <c r="I13" i="140"/>
  <c r="J13" i="140"/>
  <c r="K13" i="140"/>
  <c r="O13" i="140"/>
  <c r="P13" i="140"/>
  <c r="Q13" i="140"/>
  <c r="R13" i="140"/>
  <c r="U13" i="140" s="1"/>
  <c r="T13" i="140"/>
  <c r="X13" i="140"/>
  <c r="Y13" i="140"/>
  <c r="H14" i="140"/>
  <c r="I14" i="140"/>
  <c r="J14" i="140"/>
  <c r="K14" i="140"/>
  <c r="O14" i="140"/>
  <c r="P14" i="140"/>
  <c r="X14" i="140" s="1"/>
  <c r="Q14" i="140"/>
  <c r="R14" i="140"/>
  <c r="U14" i="140" s="1"/>
  <c r="T14" i="140"/>
  <c r="Y14" i="140"/>
  <c r="O15" i="140"/>
  <c r="P15" i="140"/>
  <c r="Q15" i="140"/>
  <c r="R15" i="140"/>
  <c r="T15" i="140"/>
  <c r="U15" i="140"/>
  <c r="V15" i="140"/>
  <c r="Y15" i="140"/>
  <c r="H16" i="140"/>
  <c r="I16" i="140"/>
  <c r="J16" i="140"/>
  <c r="K16" i="140"/>
  <c r="O16" i="140"/>
  <c r="P16" i="140"/>
  <c r="X16" i="140" s="1"/>
  <c r="Q16" i="140"/>
  <c r="R16" i="140"/>
  <c r="S16" i="140"/>
  <c r="T16" i="140"/>
  <c r="U16" i="140"/>
  <c r="V16" i="140"/>
  <c r="Y16" i="140"/>
  <c r="H17" i="140"/>
  <c r="I17" i="140"/>
  <c r="J17" i="140"/>
  <c r="K17" i="140"/>
  <c r="O17" i="140"/>
  <c r="P17" i="140"/>
  <c r="X17" i="140" s="1"/>
  <c r="Q17" i="140"/>
  <c r="R17" i="140"/>
  <c r="S17" i="140"/>
  <c r="T17" i="140"/>
  <c r="U17" i="140"/>
  <c r="V17" i="140"/>
  <c r="Y17" i="140"/>
  <c r="Z17" i="140" s="1"/>
  <c r="H18" i="140"/>
  <c r="I18" i="140"/>
  <c r="J18" i="140"/>
  <c r="K18" i="140"/>
  <c r="O18" i="140"/>
  <c r="S18" i="140"/>
  <c r="T18" i="140"/>
  <c r="U18" i="140"/>
  <c r="V18" i="140"/>
  <c r="X18" i="140"/>
  <c r="Z18" i="140" s="1"/>
  <c r="Y18" i="140"/>
  <c r="C19" i="140"/>
  <c r="D19" i="140"/>
  <c r="E19" i="140"/>
  <c r="F19" i="140"/>
  <c r="G19" i="140"/>
  <c r="H19" i="140"/>
  <c r="I19" i="140"/>
  <c r="J19" i="140"/>
  <c r="K19" i="140"/>
  <c r="O19" i="140"/>
  <c r="P19" i="140"/>
  <c r="X19" i="140" s="1"/>
  <c r="Q19" i="140"/>
  <c r="S19" i="140"/>
  <c r="V19" i="140"/>
  <c r="Y19" i="140"/>
  <c r="Z19" i="140"/>
  <c r="H20" i="140"/>
  <c r="H238" i="140" s="1"/>
  <c r="K20" i="140"/>
  <c r="K238" i="140" s="1"/>
  <c r="M20" i="140"/>
  <c r="N20" i="140"/>
  <c r="O20" i="140"/>
  <c r="H21" i="140"/>
  <c r="I21" i="140"/>
  <c r="J21" i="140"/>
  <c r="K21" i="140"/>
  <c r="O21" i="140"/>
  <c r="S21" i="140"/>
  <c r="T21" i="140"/>
  <c r="U21" i="140"/>
  <c r="V21" i="140"/>
  <c r="X21" i="140"/>
  <c r="Y21" i="140"/>
  <c r="H22" i="140"/>
  <c r="I22" i="140"/>
  <c r="J22" i="140"/>
  <c r="K22" i="140"/>
  <c r="O22" i="140"/>
  <c r="V22" i="140" s="1"/>
  <c r="S22" i="140"/>
  <c r="T22" i="140"/>
  <c r="U22" i="140"/>
  <c r="X22" i="140"/>
  <c r="Y22" i="140"/>
  <c r="Z22" i="140" s="1"/>
  <c r="H23" i="140"/>
  <c r="I23" i="140"/>
  <c r="J23" i="140"/>
  <c r="K23" i="140"/>
  <c r="O23" i="140"/>
  <c r="S23" i="140"/>
  <c r="T23" i="140"/>
  <c r="U23" i="140"/>
  <c r="V23" i="140"/>
  <c r="X23" i="140"/>
  <c r="Y23" i="140"/>
  <c r="Z23" i="140"/>
  <c r="H24" i="140"/>
  <c r="I24" i="140"/>
  <c r="J24" i="140"/>
  <c r="J242" i="140" s="1"/>
  <c r="K24" i="140"/>
  <c r="O24" i="140"/>
  <c r="V24" i="140" s="1"/>
  <c r="P24" i="140"/>
  <c r="Q24" i="140"/>
  <c r="T24" i="140" s="1"/>
  <c r="R24" i="140"/>
  <c r="S24" i="140"/>
  <c r="U24" i="140"/>
  <c r="X24" i="140"/>
  <c r="Y24" i="140"/>
  <c r="Z24" i="140"/>
  <c r="H25" i="140"/>
  <c r="I25" i="140"/>
  <c r="J25" i="140"/>
  <c r="K25" i="140"/>
  <c r="O25" i="140"/>
  <c r="V25" i="140" s="1"/>
  <c r="P25" i="140"/>
  <c r="Q25" i="140"/>
  <c r="T25" i="140" s="1"/>
  <c r="R25" i="140"/>
  <c r="S25" i="140"/>
  <c r="U25" i="140"/>
  <c r="X25" i="140"/>
  <c r="Y25" i="140"/>
  <c r="Z25" i="140"/>
  <c r="H26" i="140"/>
  <c r="I26" i="140"/>
  <c r="J26" i="140"/>
  <c r="K26" i="140"/>
  <c r="O26" i="140"/>
  <c r="V26" i="140" s="1"/>
  <c r="P26" i="140"/>
  <c r="Q26" i="140"/>
  <c r="R26" i="140"/>
  <c r="S26" i="140"/>
  <c r="U26" i="140"/>
  <c r="X26" i="140"/>
  <c r="Y26" i="140"/>
  <c r="Z26" i="140"/>
  <c r="C27" i="140"/>
  <c r="D27" i="140"/>
  <c r="E27" i="140"/>
  <c r="F27" i="140"/>
  <c r="G27" i="140"/>
  <c r="H27" i="140"/>
  <c r="J27" i="140"/>
  <c r="K27" i="140"/>
  <c r="O27" i="140"/>
  <c r="P27" i="140"/>
  <c r="H28" i="140"/>
  <c r="I28" i="140"/>
  <c r="J28" i="140"/>
  <c r="K28" i="140"/>
  <c r="O28" i="140"/>
  <c r="V28" i="140"/>
  <c r="X28" i="140"/>
  <c r="Y28" i="140"/>
  <c r="Z28" i="140"/>
  <c r="I29" i="140"/>
  <c r="K29" i="140"/>
  <c r="M29" i="140"/>
  <c r="N29" i="140"/>
  <c r="O29" i="140"/>
  <c r="P29" i="140"/>
  <c r="Q29" i="140"/>
  <c r="R29" i="140"/>
  <c r="T29" i="140"/>
  <c r="H30" i="140"/>
  <c r="I30" i="140"/>
  <c r="J30" i="140"/>
  <c r="K30" i="140"/>
  <c r="O30" i="140"/>
  <c r="S30" i="140"/>
  <c r="T30" i="140"/>
  <c r="U30" i="140"/>
  <c r="V30" i="140"/>
  <c r="X30" i="140"/>
  <c r="Y30" i="140"/>
  <c r="H31" i="140"/>
  <c r="I31" i="140"/>
  <c r="J31" i="140"/>
  <c r="K31" i="140"/>
  <c r="O31" i="140"/>
  <c r="V31" i="140" s="1"/>
  <c r="S31" i="140"/>
  <c r="T31" i="140"/>
  <c r="U31" i="140"/>
  <c r="X31" i="140"/>
  <c r="Y31" i="140"/>
  <c r="Z31" i="140" s="1"/>
  <c r="C32" i="140"/>
  <c r="H32" i="140"/>
  <c r="I32" i="140"/>
  <c r="J32" i="140"/>
  <c r="K32" i="140"/>
  <c r="O32" i="140"/>
  <c r="S32" i="140"/>
  <c r="T32" i="140"/>
  <c r="U32" i="140"/>
  <c r="X32" i="140"/>
  <c r="Y32" i="140"/>
  <c r="H33" i="140"/>
  <c r="I33" i="140"/>
  <c r="J33" i="140"/>
  <c r="K33" i="140"/>
  <c r="O33" i="140"/>
  <c r="S33" i="140"/>
  <c r="T33" i="140"/>
  <c r="U33" i="140"/>
  <c r="V33" i="140"/>
  <c r="X33" i="140"/>
  <c r="Z33" i="140" s="1"/>
  <c r="Y33" i="140"/>
  <c r="H34" i="140"/>
  <c r="H29" i="140" s="1"/>
  <c r="I34" i="140"/>
  <c r="J34" i="140"/>
  <c r="K34" i="140"/>
  <c r="O34" i="140"/>
  <c r="V34" i="140" s="1"/>
  <c r="P34" i="140"/>
  <c r="Q34" i="140"/>
  <c r="R34" i="140"/>
  <c r="S34" i="140"/>
  <c r="T34" i="140"/>
  <c r="U34" i="140"/>
  <c r="X34" i="140"/>
  <c r="Z34" i="140" s="1"/>
  <c r="Y34" i="140"/>
  <c r="H35" i="140"/>
  <c r="I35" i="140"/>
  <c r="J35" i="140"/>
  <c r="K35" i="140"/>
  <c r="O35" i="140"/>
  <c r="V35" i="140" s="1"/>
  <c r="P35" i="140"/>
  <c r="Q35" i="140"/>
  <c r="R35" i="140"/>
  <c r="S35" i="140"/>
  <c r="T35" i="140"/>
  <c r="U35" i="140"/>
  <c r="X35" i="140"/>
  <c r="Z35" i="140" s="1"/>
  <c r="Y35" i="140"/>
  <c r="M36" i="140"/>
  <c r="O36" i="140" s="1"/>
  <c r="N36" i="140"/>
  <c r="C37" i="140"/>
  <c r="D37" i="140"/>
  <c r="E37" i="140"/>
  <c r="F37" i="140"/>
  <c r="G37" i="140"/>
  <c r="O37" i="140"/>
  <c r="V37" i="140" s="1"/>
  <c r="S37" i="140"/>
  <c r="T37" i="140"/>
  <c r="U37" i="140"/>
  <c r="X37" i="140"/>
  <c r="C38" i="140"/>
  <c r="D38" i="140"/>
  <c r="E38" i="140"/>
  <c r="I38" i="140" s="1"/>
  <c r="F38" i="140"/>
  <c r="G38" i="140"/>
  <c r="K38" i="140" s="1"/>
  <c r="H38" i="140"/>
  <c r="J38" i="140"/>
  <c r="J36" i="140" s="1"/>
  <c r="O38" i="140"/>
  <c r="T38" i="140"/>
  <c r="U38" i="140"/>
  <c r="V38" i="140"/>
  <c r="X38" i="140"/>
  <c r="Y38" i="140"/>
  <c r="Z38" i="140" s="1"/>
  <c r="H39" i="140"/>
  <c r="I39" i="140"/>
  <c r="J39" i="140"/>
  <c r="K39" i="140"/>
  <c r="O39" i="140"/>
  <c r="S39" i="140"/>
  <c r="T39" i="140"/>
  <c r="U39" i="140"/>
  <c r="V39" i="140"/>
  <c r="X39" i="140"/>
  <c r="Y39" i="140"/>
  <c r="Z39" i="140" s="1"/>
  <c r="D40" i="140"/>
  <c r="H40" i="140"/>
  <c r="I40" i="140"/>
  <c r="J40" i="140"/>
  <c r="K40" i="140"/>
  <c r="O40" i="140"/>
  <c r="S40" i="140"/>
  <c r="T40" i="140"/>
  <c r="U40" i="140"/>
  <c r="V40" i="140"/>
  <c r="X40" i="140"/>
  <c r="Y40" i="140"/>
  <c r="Z40" i="140" s="1"/>
  <c r="D41" i="140"/>
  <c r="H41" i="140"/>
  <c r="I41" i="140"/>
  <c r="J41" i="140"/>
  <c r="K41" i="140"/>
  <c r="O41" i="140"/>
  <c r="V41" i="140" s="1"/>
  <c r="P41" i="140"/>
  <c r="Q41" i="140"/>
  <c r="R41" i="140"/>
  <c r="S41" i="140"/>
  <c r="T41" i="140"/>
  <c r="U41" i="140"/>
  <c r="X41" i="140"/>
  <c r="Z41" i="140" s="1"/>
  <c r="Y41" i="140"/>
  <c r="O42" i="140"/>
  <c r="S42" i="140"/>
  <c r="T42" i="140"/>
  <c r="U42" i="140"/>
  <c r="V42" i="140"/>
  <c r="X42" i="140"/>
  <c r="Y42" i="140"/>
  <c r="Z42" i="140" s="1"/>
  <c r="C43" i="140"/>
  <c r="D43" i="140"/>
  <c r="H43" i="140"/>
  <c r="O43" i="140"/>
  <c r="V43" i="140" s="1"/>
  <c r="S43" i="140"/>
  <c r="T43" i="140"/>
  <c r="U43" i="140"/>
  <c r="X43" i="140"/>
  <c r="Y43" i="140"/>
  <c r="Z43" i="140" s="1"/>
  <c r="D44" i="140"/>
  <c r="O44" i="140" s="1"/>
  <c r="F44" i="140"/>
  <c r="G44" i="140"/>
  <c r="H44" i="140"/>
  <c r="H36" i="140" s="1"/>
  <c r="J44" i="140"/>
  <c r="M45" i="140"/>
  <c r="N45" i="140"/>
  <c r="H46" i="140"/>
  <c r="H264" i="140" s="1"/>
  <c r="I46" i="140"/>
  <c r="J46" i="140"/>
  <c r="K46" i="140"/>
  <c r="O46" i="140"/>
  <c r="V46" i="140" s="1"/>
  <c r="P46" i="140"/>
  <c r="Q46" i="140"/>
  <c r="T46" i="140" s="1"/>
  <c r="R46" i="140"/>
  <c r="S46" i="140"/>
  <c r="U46" i="140"/>
  <c r="X46" i="140"/>
  <c r="Y46" i="140"/>
  <c r="Z46" i="140"/>
  <c r="H47" i="140"/>
  <c r="I47" i="140"/>
  <c r="J47" i="140"/>
  <c r="K47" i="140"/>
  <c r="O47" i="140"/>
  <c r="P47" i="140"/>
  <c r="Y47" i="140"/>
  <c r="D48" i="140"/>
  <c r="J48" i="140"/>
  <c r="K48" i="140"/>
  <c r="S48" i="140"/>
  <c r="T48" i="140"/>
  <c r="U48" i="140"/>
  <c r="X48" i="140"/>
  <c r="Y48" i="140"/>
  <c r="D49" i="140"/>
  <c r="I49" i="140"/>
  <c r="I45" i="140" s="1"/>
  <c r="J49" i="140"/>
  <c r="K49" i="140"/>
  <c r="O49" i="140"/>
  <c r="S49" i="140"/>
  <c r="T49" i="140"/>
  <c r="U49" i="140"/>
  <c r="V49" i="140"/>
  <c r="X49" i="140"/>
  <c r="Y49" i="140"/>
  <c r="Z49" i="140"/>
  <c r="D50" i="140"/>
  <c r="I50" i="140"/>
  <c r="J50" i="140"/>
  <c r="K50" i="140"/>
  <c r="K268" i="140" s="1"/>
  <c r="S50" i="140"/>
  <c r="T50" i="140"/>
  <c r="U50" i="140"/>
  <c r="X50" i="140"/>
  <c r="Y50" i="140"/>
  <c r="Z50" i="140"/>
  <c r="O51" i="140"/>
  <c r="V51" i="140" s="1"/>
  <c r="S51" i="140"/>
  <c r="T51" i="140"/>
  <c r="U51" i="140"/>
  <c r="X51" i="140"/>
  <c r="Y51" i="140"/>
  <c r="Z51" i="140" s="1"/>
  <c r="D52" i="140"/>
  <c r="O52" i="140" s="1"/>
  <c r="H52" i="140"/>
  <c r="S52" i="140"/>
  <c r="T52" i="140"/>
  <c r="U52" i="140"/>
  <c r="V52" i="140"/>
  <c r="X52" i="140"/>
  <c r="Y52" i="140" s="1"/>
  <c r="Z52" i="140"/>
  <c r="C53" i="140"/>
  <c r="C54" i="140" s="1"/>
  <c r="F53" i="140"/>
  <c r="H53" i="140"/>
  <c r="H271" i="140" s="1"/>
  <c r="I53" i="140"/>
  <c r="J53" i="140"/>
  <c r="J271" i="140" s="1"/>
  <c r="K53" i="140"/>
  <c r="O53" i="140"/>
  <c r="S53" i="140"/>
  <c r="T53" i="140"/>
  <c r="U53" i="140"/>
  <c r="V53" i="140"/>
  <c r="X53" i="140"/>
  <c r="Y53" i="140"/>
  <c r="Z53" i="140" s="1"/>
  <c r="E54" i="140"/>
  <c r="F54" i="140"/>
  <c r="T54" i="140" s="1"/>
  <c r="G54" i="140"/>
  <c r="I54" i="140"/>
  <c r="J54" i="140"/>
  <c r="K54" i="140"/>
  <c r="S54" i="140"/>
  <c r="U54" i="140"/>
  <c r="X54" i="140"/>
  <c r="Y54" i="140"/>
  <c r="Z54" i="140" s="1"/>
  <c r="M55" i="140"/>
  <c r="Y56" i="140"/>
  <c r="H57" i="140"/>
  <c r="I57" i="140"/>
  <c r="J57" i="140"/>
  <c r="K57" i="140"/>
  <c r="O57" i="140"/>
  <c r="S57" i="140"/>
  <c r="T57" i="140"/>
  <c r="U57" i="140"/>
  <c r="V57" i="140"/>
  <c r="X57" i="140"/>
  <c r="Y57" i="140"/>
  <c r="H58" i="140"/>
  <c r="I58" i="140"/>
  <c r="I276" i="140" s="1"/>
  <c r="J58" i="140"/>
  <c r="K58" i="140"/>
  <c r="O58" i="140"/>
  <c r="P58" i="140"/>
  <c r="Q58" i="140"/>
  <c r="R58" i="140"/>
  <c r="T58" i="140"/>
  <c r="U58" i="140"/>
  <c r="Y58" i="140"/>
  <c r="D59" i="140"/>
  <c r="H59" i="140"/>
  <c r="I59" i="140"/>
  <c r="J59" i="140"/>
  <c r="K59" i="140"/>
  <c r="O59" i="140"/>
  <c r="S59" i="140"/>
  <c r="T59" i="140"/>
  <c r="U59" i="140"/>
  <c r="V59" i="140"/>
  <c r="X59" i="140"/>
  <c r="Y59" i="140"/>
  <c r="Z59" i="140" s="1"/>
  <c r="D60" i="140"/>
  <c r="E60" i="140"/>
  <c r="Y60" i="140" s="1"/>
  <c r="Z60" i="140" s="1"/>
  <c r="F60" i="140"/>
  <c r="G60" i="140"/>
  <c r="G65" i="140" s="1"/>
  <c r="H60" i="140"/>
  <c r="I60" i="140"/>
  <c r="J60" i="140"/>
  <c r="K60" i="140"/>
  <c r="O60" i="140"/>
  <c r="S60" i="140"/>
  <c r="T60" i="140"/>
  <c r="U60" i="140"/>
  <c r="V60" i="140"/>
  <c r="X60" i="140"/>
  <c r="D61" i="140"/>
  <c r="O61" i="140" s="1"/>
  <c r="H61" i="140"/>
  <c r="I61" i="140"/>
  <c r="J61" i="140"/>
  <c r="K61" i="140"/>
  <c r="S61" i="140"/>
  <c r="T61" i="140"/>
  <c r="U61" i="140"/>
  <c r="V61" i="140"/>
  <c r="X61" i="140"/>
  <c r="Y61" i="140"/>
  <c r="Z61" i="140"/>
  <c r="O62" i="140"/>
  <c r="S62" i="140"/>
  <c r="T62" i="140"/>
  <c r="U62" i="140"/>
  <c r="X62" i="140"/>
  <c r="Y62" i="140" s="1"/>
  <c r="Z62" i="140" s="1"/>
  <c r="H63" i="140"/>
  <c r="O63" i="140"/>
  <c r="S63" i="140"/>
  <c r="T63" i="140"/>
  <c r="U63" i="140"/>
  <c r="V63" i="140"/>
  <c r="X63" i="140"/>
  <c r="Y63" i="140" s="1"/>
  <c r="Z63" i="140" s="1"/>
  <c r="C64" i="140"/>
  <c r="D64" i="140"/>
  <c r="F64" i="140"/>
  <c r="G64" i="140"/>
  <c r="H64" i="140"/>
  <c r="I64" i="140"/>
  <c r="K64" i="140"/>
  <c r="O64" i="140"/>
  <c r="S64" i="140"/>
  <c r="U64" i="140"/>
  <c r="V64" i="140"/>
  <c r="X64" i="140"/>
  <c r="Y64" i="140"/>
  <c r="Z64" i="140" s="1"/>
  <c r="C65" i="140"/>
  <c r="D65" i="140"/>
  <c r="E65" i="140"/>
  <c r="Y65" i="140" s="1"/>
  <c r="O65" i="140"/>
  <c r="C66" i="140"/>
  <c r="D66" i="140"/>
  <c r="E66" i="140"/>
  <c r="F66" i="140"/>
  <c r="G66" i="140"/>
  <c r="M67" i="140"/>
  <c r="K68" i="140"/>
  <c r="Q68" i="140"/>
  <c r="R68" i="140"/>
  <c r="U68" i="140"/>
  <c r="Y68" i="140"/>
  <c r="Y69" i="140"/>
  <c r="C70" i="140"/>
  <c r="D70" i="140"/>
  <c r="D80" i="140" s="1"/>
  <c r="O80" i="140" s="1"/>
  <c r="V80" i="140" s="1"/>
  <c r="E70" i="140"/>
  <c r="F70" i="140"/>
  <c r="G70" i="140"/>
  <c r="H70" i="140"/>
  <c r="I70" i="140"/>
  <c r="J70" i="140"/>
  <c r="K70" i="140"/>
  <c r="O70" i="140"/>
  <c r="V70" i="140" s="1"/>
  <c r="P70" i="140"/>
  <c r="Q70" i="140"/>
  <c r="R70" i="140"/>
  <c r="S70" i="140"/>
  <c r="T70" i="140"/>
  <c r="U70" i="140"/>
  <c r="X70" i="140"/>
  <c r="Z70" i="140" s="1"/>
  <c r="Y70" i="140"/>
  <c r="E71" i="140"/>
  <c r="F71" i="140"/>
  <c r="G71" i="140"/>
  <c r="G80" i="140" s="1"/>
  <c r="H71" i="140"/>
  <c r="O71" i="140"/>
  <c r="V71" i="140" s="1"/>
  <c r="T71" i="140"/>
  <c r="U71" i="140"/>
  <c r="X71" i="140"/>
  <c r="Y71" i="140"/>
  <c r="Z71" i="140" s="1"/>
  <c r="AA71" i="140" s="1"/>
  <c r="H72" i="140"/>
  <c r="I72" i="140"/>
  <c r="J72" i="140"/>
  <c r="K72" i="140"/>
  <c r="O72" i="140"/>
  <c r="S72" i="140"/>
  <c r="T72" i="140"/>
  <c r="U72" i="140"/>
  <c r="V72" i="140"/>
  <c r="X72" i="140"/>
  <c r="Y72" i="140"/>
  <c r="Z72" i="140"/>
  <c r="D73" i="140"/>
  <c r="H73" i="140" s="1"/>
  <c r="I73" i="140"/>
  <c r="I291" i="140" s="1"/>
  <c r="J73" i="140"/>
  <c r="K73" i="140"/>
  <c r="O73" i="140"/>
  <c r="V73" i="140" s="1"/>
  <c r="S73" i="140"/>
  <c r="T73" i="140"/>
  <c r="U73" i="140"/>
  <c r="X73" i="140"/>
  <c r="Z73" i="140" s="1"/>
  <c r="Y73" i="140"/>
  <c r="D74" i="140"/>
  <c r="O74" i="140" s="1"/>
  <c r="H74" i="140"/>
  <c r="I74" i="140"/>
  <c r="J74" i="140"/>
  <c r="K74" i="140"/>
  <c r="S74" i="140"/>
  <c r="T74" i="140"/>
  <c r="U74" i="140"/>
  <c r="V74" i="140"/>
  <c r="X74" i="140"/>
  <c r="Z74" i="140" s="1"/>
  <c r="AA74" i="140" s="1"/>
  <c r="Y74" i="140"/>
  <c r="D75" i="140"/>
  <c r="E75" i="140"/>
  <c r="F75" i="140"/>
  <c r="G75" i="140"/>
  <c r="O75" i="140"/>
  <c r="V75" i="140" s="1"/>
  <c r="S75" i="140"/>
  <c r="U75" i="140"/>
  <c r="X75" i="140"/>
  <c r="Y75" i="140"/>
  <c r="Z75" i="140"/>
  <c r="D76" i="140"/>
  <c r="E76" i="140"/>
  <c r="I76" i="140" s="1"/>
  <c r="F76" i="140"/>
  <c r="G76" i="140"/>
  <c r="H76" i="140"/>
  <c r="J76" i="140"/>
  <c r="K76" i="140"/>
  <c r="O76" i="140"/>
  <c r="S76" i="140"/>
  <c r="T76" i="140"/>
  <c r="U76" i="140"/>
  <c r="V76" i="140"/>
  <c r="X76" i="140"/>
  <c r="Y76" i="140"/>
  <c r="Z76" i="140" s="1"/>
  <c r="O77" i="140"/>
  <c r="V77" i="140" s="1"/>
  <c r="S77" i="140"/>
  <c r="T77" i="140"/>
  <c r="U77" i="140"/>
  <c r="X77" i="140"/>
  <c r="Y77" i="140"/>
  <c r="Z77" i="140" s="1"/>
  <c r="C78" i="140"/>
  <c r="D78" i="140"/>
  <c r="H78" i="140"/>
  <c r="O78" i="140"/>
  <c r="S78" i="140"/>
  <c r="T78" i="140"/>
  <c r="U78" i="140"/>
  <c r="V78" i="140"/>
  <c r="X78" i="140"/>
  <c r="Y78" i="140"/>
  <c r="Z78" i="140"/>
  <c r="D79" i="140"/>
  <c r="F79" i="140"/>
  <c r="J79" i="140" s="1"/>
  <c r="G79" i="140"/>
  <c r="H79" i="140"/>
  <c r="I79" i="140"/>
  <c r="K79" i="140"/>
  <c r="O79" i="140"/>
  <c r="S79" i="140"/>
  <c r="T79" i="140"/>
  <c r="U79" i="140"/>
  <c r="V79" i="140"/>
  <c r="X79" i="140"/>
  <c r="Y79" i="140"/>
  <c r="Z79" i="140"/>
  <c r="C80" i="140"/>
  <c r="U80" i="140"/>
  <c r="X80" i="140"/>
  <c r="M81" i="140"/>
  <c r="K82" i="140"/>
  <c r="Q82" i="140"/>
  <c r="R82" i="140"/>
  <c r="U82" i="140"/>
  <c r="Y82" i="140"/>
  <c r="J83" i="140"/>
  <c r="R83" i="140"/>
  <c r="T83" i="140"/>
  <c r="Y83" i="140"/>
  <c r="H84" i="140"/>
  <c r="I84" i="140"/>
  <c r="J84" i="140"/>
  <c r="K84" i="140"/>
  <c r="O84" i="140"/>
  <c r="P84" i="140"/>
  <c r="S84" i="140" s="1"/>
  <c r="Q84" i="140"/>
  <c r="T84" i="140" s="1"/>
  <c r="R84" i="140"/>
  <c r="U84" i="140" s="1"/>
  <c r="V84" i="140"/>
  <c r="X84" i="140"/>
  <c r="Y84" i="140"/>
  <c r="Z84" i="140" s="1"/>
  <c r="AA84" i="140" s="1"/>
  <c r="N85" i="140"/>
  <c r="O85" i="140"/>
  <c r="S85" i="140"/>
  <c r="T85" i="140"/>
  <c r="U85" i="140"/>
  <c r="V85" i="140"/>
  <c r="X85" i="140"/>
  <c r="Y85" i="140"/>
  <c r="H86" i="140"/>
  <c r="O86" i="140"/>
  <c r="S86" i="140"/>
  <c r="T86" i="140"/>
  <c r="U86" i="140"/>
  <c r="V86" i="140"/>
  <c r="X86" i="140"/>
  <c r="Y86" i="140"/>
  <c r="Z86" i="140" s="1"/>
  <c r="H87" i="140"/>
  <c r="I87" i="140"/>
  <c r="J87" i="140"/>
  <c r="K87" i="140"/>
  <c r="O87" i="140"/>
  <c r="S87" i="140"/>
  <c r="T87" i="140"/>
  <c r="U87" i="140"/>
  <c r="V87" i="140"/>
  <c r="X87" i="140"/>
  <c r="Y87" i="140"/>
  <c r="Z87" i="140"/>
  <c r="H88" i="140"/>
  <c r="I88" i="140"/>
  <c r="J88" i="140"/>
  <c r="K88" i="140"/>
  <c r="O88" i="140"/>
  <c r="S88" i="140"/>
  <c r="T88" i="140"/>
  <c r="U88" i="140"/>
  <c r="V88" i="140"/>
  <c r="X88" i="140"/>
  <c r="Y88" i="140"/>
  <c r="Z88" i="140" s="1"/>
  <c r="D89" i="140"/>
  <c r="I89" i="140"/>
  <c r="J89" i="140"/>
  <c r="K89" i="140"/>
  <c r="S89" i="140"/>
  <c r="T89" i="140"/>
  <c r="U89" i="140"/>
  <c r="X89" i="140"/>
  <c r="Y89" i="140"/>
  <c r="Z89" i="140" s="1"/>
  <c r="D90" i="140"/>
  <c r="H90" i="140" s="1"/>
  <c r="I90" i="140"/>
  <c r="J90" i="140"/>
  <c r="K90" i="140"/>
  <c r="O90" i="140"/>
  <c r="P90" i="140"/>
  <c r="V90" i="140" s="1"/>
  <c r="Q90" i="140"/>
  <c r="R90" i="140"/>
  <c r="S90" i="140"/>
  <c r="T90" i="140"/>
  <c r="U90" i="140"/>
  <c r="X90" i="140"/>
  <c r="Y90" i="140"/>
  <c r="Z90" i="140"/>
  <c r="D91" i="140"/>
  <c r="I91" i="140"/>
  <c r="J91" i="140"/>
  <c r="K91" i="140"/>
  <c r="S91" i="140"/>
  <c r="T91" i="140"/>
  <c r="U91" i="140"/>
  <c r="X91" i="140"/>
  <c r="Y91" i="140"/>
  <c r="Z91" i="140"/>
  <c r="D92" i="140"/>
  <c r="G92" i="140"/>
  <c r="O92" i="140"/>
  <c r="V92" i="140" s="1"/>
  <c r="S92" i="140"/>
  <c r="T92" i="140"/>
  <c r="X92" i="140"/>
  <c r="Y92" i="140"/>
  <c r="Z92" i="140"/>
  <c r="D93" i="140"/>
  <c r="I93" i="140"/>
  <c r="J93" i="140"/>
  <c r="K93" i="140"/>
  <c r="S93" i="140"/>
  <c r="T93" i="140"/>
  <c r="U93" i="140"/>
  <c r="X93" i="140"/>
  <c r="Y93" i="140"/>
  <c r="Z93" i="140" s="1"/>
  <c r="O94" i="140"/>
  <c r="V94" i="140" s="1"/>
  <c r="S94" i="140"/>
  <c r="T94" i="140"/>
  <c r="U94" i="140"/>
  <c r="X94" i="140"/>
  <c r="Y94" i="140" s="1"/>
  <c r="Z94" i="140"/>
  <c r="C95" i="140"/>
  <c r="D95" i="140"/>
  <c r="E95" i="140"/>
  <c r="F95" i="140"/>
  <c r="G95" i="140"/>
  <c r="K95" i="140" s="1"/>
  <c r="J95" i="140"/>
  <c r="S95" i="140"/>
  <c r="T95" i="140"/>
  <c r="U95" i="140"/>
  <c r="X95" i="140"/>
  <c r="D96" i="140"/>
  <c r="H96" i="140" s="1"/>
  <c r="O96" i="140"/>
  <c r="V96" i="140" s="1"/>
  <c r="S96" i="140"/>
  <c r="T96" i="140"/>
  <c r="U96" i="140"/>
  <c r="X96" i="140"/>
  <c r="Y96" i="140" s="1"/>
  <c r="Z96" i="140" s="1"/>
  <c r="C97" i="140"/>
  <c r="E97" i="140"/>
  <c r="F97" i="140"/>
  <c r="T97" i="140" s="1"/>
  <c r="X97" i="140"/>
  <c r="M98" i="140"/>
  <c r="N98" i="140"/>
  <c r="H99" i="140"/>
  <c r="I99" i="140"/>
  <c r="J99" i="140"/>
  <c r="K99" i="140"/>
  <c r="O99" i="140"/>
  <c r="P99" i="140"/>
  <c r="Q99" i="140"/>
  <c r="R99" i="140"/>
  <c r="T99" i="140"/>
  <c r="Y99" i="140"/>
  <c r="H100" i="140"/>
  <c r="I100" i="140"/>
  <c r="J100" i="140"/>
  <c r="J318" i="140" s="1"/>
  <c r="K100" i="140"/>
  <c r="O100" i="140"/>
  <c r="S100" i="140"/>
  <c r="T100" i="140"/>
  <c r="U100" i="140"/>
  <c r="V100" i="140"/>
  <c r="X100" i="140"/>
  <c r="Y100" i="140"/>
  <c r="D101" i="140"/>
  <c r="H101" i="140" s="1"/>
  <c r="I101" i="140"/>
  <c r="J101" i="140"/>
  <c r="J319" i="140" s="1"/>
  <c r="K101" i="140"/>
  <c r="O101" i="140"/>
  <c r="V101" i="140" s="1"/>
  <c r="S101" i="140"/>
  <c r="T101" i="140"/>
  <c r="U101" i="140"/>
  <c r="X101" i="140"/>
  <c r="Y101" i="140"/>
  <c r="Z101" i="140" s="1"/>
  <c r="H102" i="140"/>
  <c r="I102" i="140"/>
  <c r="J102" i="140"/>
  <c r="K102" i="140"/>
  <c r="O102" i="140"/>
  <c r="V102" i="140" s="1"/>
  <c r="S102" i="140"/>
  <c r="T102" i="140"/>
  <c r="U102" i="140"/>
  <c r="X102" i="140"/>
  <c r="Y102" i="140"/>
  <c r="Z102" i="140"/>
  <c r="O103" i="140"/>
  <c r="V103" i="140" s="1"/>
  <c r="S103" i="140"/>
  <c r="T103" i="140"/>
  <c r="U103" i="140"/>
  <c r="X103" i="140"/>
  <c r="Y103" i="140"/>
  <c r="Z103" i="140" s="1"/>
  <c r="AA103" i="140" s="1"/>
  <c r="O104" i="140"/>
  <c r="S104" i="140"/>
  <c r="T104" i="140"/>
  <c r="U104" i="140"/>
  <c r="V104" i="140"/>
  <c r="X104" i="140"/>
  <c r="Y104" i="140"/>
  <c r="Z104" i="140" s="1"/>
  <c r="C105" i="140"/>
  <c r="D105" i="140"/>
  <c r="E105" i="140"/>
  <c r="Y105" i="140" s="1"/>
  <c r="F105" i="140"/>
  <c r="G105" i="140"/>
  <c r="U105" i="140" s="1"/>
  <c r="H105" i="140"/>
  <c r="I105" i="140"/>
  <c r="K105" i="140"/>
  <c r="O105" i="140"/>
  <c r="S105" i="140"/>
  <c r="T105" i="140"/>
  <c r="V105" i="140"/>
  <c r="X105" i="140"/>
  <c r="Z105" i="140"/>
  <c r="H106" i="140"/>
  <c r="I106" i="140"/>
  <c r="J106" i="140"/>
  <c r="K106" i="140"/>
  <c r="O106" i="140"/>
  <c r="V106" i="140" s="1"/>
  <c r="S106" i="140"/>
  <c r="T106" i="140"/>
  <c r="U106" i="140"/>
  <c r="X106" i="140"/>
  <c r="Y106" i="140"/>
  <c r="I107" i="140"/>
  <c r="J107" i="140"/>
  <c r="K107" i="140"/>
  <c r="O107" i="140"/>
  <c r="S107" i="140"/>
  <c r="T107" i="140"/>
  <c r="U107" i="140"/>
  <c r="X107" i="140"/>
  <c r="Y107" i="140"/>
  <c r="I108" i="140"/>
  <c r="J108" i="140"/>
  <c r="J326" i="140" s="1"/>
  <c r="N108" i="140"/>
  <c r="P108" i="140"/>
  <c r="Q108" i="140"/>
  <c r="T108" i="140" s="1"/>
  <c r="R108" i="140"/>
  <c r="S108" i="140"/>
  <c r="X108" i="140"/>
  <c r="Y108" i="140"/>
  <c r="Z108" i="140"/>
  <c r="AA108" i="140" s="1"/>
  <c r="C109" i="140"/>
  <c r="D109" i="140"/>
  <c r="E109" i="140"/>
  <c r="F109" i="140"/>
  <c r="J109" i="140" s="1"/>
  <c r="G109" i="140"/>
  <c r="I109" i="140"/>
  <c r="K109" i="140"/>
  <c r="S109" i="140"/>
  <c r="T109" i="140"/>
  <c r="U109" i="140"/>
  <c r="X109" i="140"/>
  <c r="Y109" i="140"/>
  <c r="Z109" i="140"/>
  <c r="H110" i="140"/>
  <c r="I110" i="140"/>
  <c r="I328" i="140" s="1"/>
  <c r="J110" i="140"/>
  <c r="K110" i="140"/>
  <c r="O110" i="140"/>
  <c r="P110" i="140"/>
  <c r="P98" i="140" s="1"/>
  <c r="Q110" i="140"/>
  <c r="T110" i="140" s="1"/>
  <c r="R110" i="140"/>
  <c r="U110" i="140" s="1"/>
  <c r="Y110" i="140"/>
  <c r="H111" i="140"/>
  <c r="I111" i="140"/>
  <c r="J111" i="140"/>
  <c r="K111" i="140"/>
  <c r="O111" i="140"/>
  <c r="V111" i="140" s="1"/>
  <c r="S111" i="140"/>
  <c r="T111" i="140"/>
  <c r="U111" i="140"/>
  <c r="X111" i="140"/>
  <c r="Y111" i="140"/>
  <c r="D112" i="140"/>
  <c r="O112" i="140" s="1"/>
  <c r="E112" i="140"/>
  <c r="I112" i="140" s="1"/>
  <c r="H112" i="140"/>
  <c r="J112" i="140"/>
  <c r="K112" i="140"/>
  <c r="S112" i="140"/>
  <c r="T112" i="140"/>
  <c r="U112" i="140"/>
  <c r="V112" i="140"/>
  <c r="X112" i="140"/>
  <c r="Y112" i="140"/>
  <c r="Z112" i="140" s="1"/>
  <c r="D113" i="140"/>
  <c r="E113" i="140"/>
  <c r="Y113" i="140" s="1"/>
  <c r="F113" i="140"/>
  <c r="G113" i="140"/>
  <c r="I113" i="140"/>
  <c r="S113" i="140"/>
  <c r="X113" i="140"/>
  <c r="H114" i="140"/>
  <c r="I114" i="140"/>
  <c r="J114" i="140"/>
  <c r="K114" i="140"/>
  <c r="O114" i="140"/>
  <c r="P114" i="140"/>
  <c r="V114" i="140" s="1"/>
  <c r="Q114" i="140"/>
  <c r="R114" i="140"/>
  <c r="U114" i="140" s="1"/>
  <c r="S114" i="140"/>
  <c r="T114" i="140"/>
  <c r="X114" i="140"/>
  <c r="Y114" i="140"/>
  <c r="C115" i="140"/>
  <c r="C333" i="140" s="1"/>
  <c r="X115" i="140"/>
  <c r="H116" i="140"/>
  <c r="O116" i="140"/>
  <c r="S116" i="140"/>
  <c r="T116" i="140"/>
  <c r="U116" i="140"/>
  <c r="V116" i="140"/>
  <c r="X116" i="140"/>
  <c r="Z116" i="140" s="1"/>
  <c r="AA116" i="140" s="1"/>
  <c r="Y116" i="140"/>
  <c r="M117" i="140"/>
  <c r="Y118" i="140"/>
  <c r="O119" i="140"/>
  <c r="V119" i="140" s="1"/>
  <c r="S119" i="140"/>
  <c r="T119" i="140"/>
  <c r="U119" i="140"/>
  <c r="X119" i="140"/>
  <c r="Z119" i="140"/>
  <c r="D120" i="140"/>
  <c r="H120" i="140" s="1"/>
  <c r="I120" i="140"/>
  <c r="J120" i="140"/>
  <c r="J338" i="140" s="1"/>
  <c r="K120" i="140"/>
  <c r="O120" i="140"/>
  <c r="V120" i="140" s="1"/>
  <c r="S120" i="140"/>
  <c r="T120" i="140"/>
  <c r="U120" i="140"/>
  <c r="X120" i="140"/>
  <c r="Y120" i="140"/>
  <c r="Z120" i="140" s="1"/>
  <c r="D121" i="140"/>
  <c r="I121" i="140"/>
  <c r="I339" i="140" s="1"/>
  <c r="J121" i="140"/>
  <c r="J339" i="140" s="1"/>
  <c r="K121" i="140"/>
  <c r="S121" i="140"/>
  <c r="T121" i="140"/>
  <c r="U121" i="140"/>
  <c r="X121" i="140"/>
  <c r="Y121" i="140"/>
  <c r="Z121" i="140"/>
  <c r="AA121" i="140" s="1"/>
  <c r="D122" i="140"/>
  <c r="H122" i="140"/>
  <c r="I122" i="140"/>
  <c r="J122" i="140"/>
  <c r="K122" i="140"/>
  <c r="O122" i="140"/>
  <c r="V122" i="140" s="1"/>
  <c r="S122" i="140"/>
  <c r="T122" i="140"/>
  <c r="U122" i="140"/>
  <c r="X122" i="140"/>
  <c r="Z122" i="140" s="1"/>
  <c r="Y122" i="140"/>
  <c r="D123" i="140"/>
  <c r="O123" i="140" s="1"/>
  <c r="H123" i="140"/>
  <c r="H341" i="140" s="1"/>
  <c r="I123" i="140"/>
  <c r="J123" i="140"/>
  <c r="K123" i="140"/>
  <c r="K341" i="140" s="1"/>
  <c r="S123" i="140"/>
  <c r="T123" i="140"/>
  <c r="U123" i="140"/>
  <c r="V123" i="140"/>
  <c r="X123" i="140"/>
  <c r="Y123" i="140"/>
  <c r="Z123" i="140" s="1"/>
  <c r="C124" i="140"/>
  <c r="D124" i="140"/>
  <c r="E124" i="140"/>
  <c r="Y124" i="140" s="1"/>
  <c r="F124" i="140"/>
  <c r="J124" i="140" s="1"/>
  <c r="G124" i="140"/>
  <c r="I124" i="140"/>
  <c r="K124" i="140"/>
  <c r="S124" i="140"/>
  <c r="T124" i="140"/>
  <c r="U124" i="140"/>
  <c r="X124" i="140"/>
  <c r="M125" i="140"/>
  <c r="N126" i="140"/>
  <c r="O126" i="140"/>
  <c r="H126" i="140" s="1"/>
  <c r="Y126" i="140"/>
  <c r="Y127" i="140"/>
  <c r="H128" i="140"/>
  <c r="I128" i="140"/>
  <c r="J128" i="140"/>
  <c r="K128" i="140"/>
  <c r="O128" i="140"/>
  <c r="V128" i="140" s="1"/>
  <c r="S128" i="140"/>
  <c r="T128" i="140"/>
  <c r="U128" i="140"/>
  <c r="X128" i="140"/>
  <c r="Y128" i="140"/>
  <c r="Z128" i="140"/>
  <c r="O129" i="140"/>
  <c r="S129" i="140"/>
  <c r="T129" i="140"/>
  <c r="U129" i="140"/>
  <c r="X129" i="140"/>
  <c r="Z129" i="140" s="1"/>
  <c r="D130" i="140"/>
  <c r="I130" i="140"/>
  <c r="J130" i="140"/>
  <c r="K130" i="140"/>
  <c r="S130" i="140"/>
  <c r="T130" i="140"/>
  <c r="U130" i="140"/>
  <c r="X130" i="140"/>
  <c r="Y130" i="140"/>
  <c r="Z130" i="140" s="1"/>
  <c r="C131" i="140"/>
  <c r="D131" i="140"/>
  <c r="O131" i="140" s="1"/>
  <c r="H131" i="140"/>
  <c r="I131" i="140"/>
  <c r="J131" i="140"/>
  <c r="K131" i="140"/>
  <c r="P131" i="140"/>
  <c r="Q131" i="140"/>
  <c r="R131" i="140"/>
  <c r="U131" i="140" s="1"/>
  <c r="V131" i="140"/>
  <c r="Y131" i="140"/>
  <c r="D132" i="140"/>
  <c r="O132" i="140" s="1"/>
  <c r="V132" i="140" s="1"/>
  <c r="S132" i="140"/>
  <c r="T132" i="140"/>
  <c r="U132" i="140"/>
  <c r="X132" i="140"/>
  <c r="Y132" i="140"/>
  <c r="Z132" i="140" s="1"/>
  <c r="AA132" i="140" s="1"/>
  <c r="C133" i="140"/>
  <c r="D133" i="140"/>
  <c r="H133" i="140"/>
  <c r="I133" i="140"/>
  <c r="J133" i="140"/>
  <c r="K133" i="140"/>
  <c r="O133" i="140"/>
  <c r="V133" i="140" s="1"/>
  <c r="S133" i="140"/>
  <c r="T133" i="140"/>
  <c r="U133" i="140"/>
  <c r="X133" i="140"/>
  <c r="Y133" i="140"/>
  <c r="Z133" i="140" s="1"/>
  <c r="O134" i="140"/>
  <c r="S134" i="140"/>
  <c r="T134" i="140"/>
  <c r="U134" i="140"/>
  <c r="V134" i="140"/>
  <c r="X134" i="140"/>
  <c r="Y134" i="140" s="1"/>
  <c r="Z134" i="140" s="1"/>
  <c r="C135" i="140"/>
  <c r="D135" i="140"/>
  <c r="E135" i="140"/>
  <c r="Y135" i="140" s="1"/>
  <c r="F135" i="140"/>
  <c r="G135" i="140"/>
  <c r="H135" i="140"/>
  <c r="I135" i="140"/>
  <c r="O135" i="140"/>
  <c r="V135" i="140" s="1"/>
  <c r="S135" i="140"/>
  <c r="X135" i="140"/>
  <c r="Z135" i="140" s="1"/>
  <c r="H136" i="140"/>
  <c r="O136" i="140"/>
  <c r="V136" i="140" s="1"/>
  <c r="S136" i="140"/>
  <c r="T136" i="140"/>
  <c r="U136" i="140"/>
  <c r="X136" i="140"/>
  <c r="Y136" i="140"/>
  <c r="Z136" i="140" s="1"/>
  <c r="C137" i="140"/>
  <c r="D137" i="140"/>
  <c r="F137" i="140"/>
  <c r="J137" i="140" s="1"/>
  <c r="G137" i="140"/>
  <c r="H137" i="140"/>
  <c r="I137" i="140"/>
  <c r="K137" i="140"/>
  <c r="O137" i="140"/>
  <c r="S137" i="140"/>
  <c r="T137" i="140"/>
  <c r="U137" i="140"/>
  <c r="V137" i="140"/>
  <c r="X137" i="140"/>
  <c r="Y137" i="140"/>
  <c r="Z137" i="140"/>
  <c r="F138" i="140"/>
  <c r="H138" i="140"/>
  <c r="I138" i="140"/>
  <c r="J138" i="140"/>
  <c r="K138" i="140"/>
  <c r="O138" i="140"/>
  <c r="P138" i="140"/>
  <c r="S138" i="140" s="1"/>
  <c r="Q138" i="140"/>
  <c r="R138" i="140"/>
  <c r="U138" i="140"/>
  <c r="V138" i="140"/>
  <c r="X138" i="140"/>
  <c r="Z138" i="140" s="1"/>
  <c r="Y138" i="140"/>
  <c r="AA138" i="140"/>
  <c r="H139" i="140"/>
  <c r="O139" i="140"/>
  <c r="S139" i="140"/>
  <c r="T139" i="140"/>
  <c r="U139" i="140"/>
  <c r="V139" i="140"/>
  <c r="X139" i="140"/>
  <c r="Y139" i="140"/>
  <c r="Z139" i="140" s="1"/>
  <c r="AA139" i="140" s="1"/>
  <c r="E140" i="140"/>
  <c r="F140" i="140"/>
  <c r="T140" i="140" s="1"/>
  <c r="S140" i="140"/>
  <c r="X140" i="140"/>
  <c r="Y140" i="140"/>
  <c r="M141" i="140"/>
  <c r="Y142" i="140"/>
  <c r="D143" i="140"/>
  <c r="I143" i="140"/>
  <c r="J143" i="140"/>
  <c r="K143" i="140"/>
  <c r="S143" i="140"/>
  <c r="T143" i="140"/>
  <c r="U143" i="140"/>
  <c r="X143" i="140"/>
  <c r="Y143" i="140"/>
  <c r="H144" i="140"/>
  <c r="I144" i="140"/>
  <c r="J144" i="140"/>
  <c r="K144" i="140"/>
  <c r="O144" i="140"/>
  <c r="P144" i="140"/>
  <c r="Q144" i="140"/>
  <c r="R144" i="140"/>
  <c r="T144" i="140"/>
  <c r="U144" i="140"/>
  <c r="X144" i="140"/>
  <c r="Z144" i="140" s="1"/>
  <c r="AA144" i="140" s="1"/>
  <c r="Y144" i="140"/>
  <c r="I145" i="140"/>
  <c r="J145" i="140"/>
  <c r="K145" i="140"/>
  <c r="O145" i="140"/>
  <c r="P145" i="140" s="1"/>
  <c r="Q145" i="140" s="1"/>
  <c r="T145" i="140" s="1"/>
  <c r="R145" i="140"/>
  <c r="Y145" i="140"/>
  <c r="H146" i="140"/>
  <c r="I146" i="140"/>
  <c r="J146" i="140"/>
  <c r="K146" i="140"/>
  <c r="O146" i="140"/>
  <c r="P146" i="140"/>
  <c r="Q146" i="140"/>
  <c r="R146" i="140"/>
  <c r="U146" i="140" s="1"/>
  <c r="S146" i="140"/>
  <c r="V146" i="140"/>
  <c r="X146" i="140"/>
  <c r="Y146" i="140"/>
  <c r="C147" i="140"/>
  <c r="H147" i="140"/>
  <c r="O147" i="140"/>
  <c r="P147" i="140"/>
  <c r="Q147" i="140"/>
  <c r="T147" i="140" s="1"/>
  <c r="U147" i="140"/>
  <c r="Y147" i="140"/>
  <c r="H148" i="140"/>
  <c r="I148" i="140"/>
  <c r="J148" i="140"/>
  <c r="K148" i="140"/>
  <c r="O148" i="140"/>
  <c r="S148" i="140"/>
  <c r="T148" i="140"/>
  <c r="U148" i="140"/>
  <c r="V148" i="140"/>
  <c r="X148" i="140"/>
  <c r="Y148" i="140"/>
  <c r="Z148" i="140" s="1"/>
  <c r="AA148" i="140" s="1"/>
  <c r="C149" i="140"/>
  <c r="C367" i="140" s="1"/>
  <c r="E149" i="140"/>
  <c r="F149" i="140"/>
  <c r="T149" i="140" s="1"/>
  <c r="G149" i="140"/>
  <c r="U149" i="140" s="1"/>
  <c r="S149" i="140"/>
  <c r="X149" i="140"/>
  <c r="Z149" i="140" s="1"/>
  <c r="Y149" i="140"/>
  <c r="M150" i="140"/>
  <c r="N151" i="140"/>
  <c r="O151" i="140" s="1"/>
  <c r="H151" i="140" s="1"/>
  <c r="Y151" i="140"/>
  <c r="Y152" i="140"/>
  <c r="H153" i="140"/>
  <c r="I153" i="140"/>
  <c r="J153" i="140"/>
  <c r="K153" i="140"/>
  <c r="O153" i="140"/>
  <c r="V153" i="140" s="1"/>
  <c r="S153" i="140"/>
  <c r="T153" i="140"/>
  <c r="U153" i="140"/>
  <c r="X153" i="140"/>
  <c r="Y153" i="140"/>
  <c r="Z153" i="140"/>
  <c r="H154" i="140"/>
  <c r="I154" i="140"/>
  <c r="J154" i="140"/>
  <c r="K154" i="140"/>
  <c r="O154" i="140"/>
  <c r="P154" i="140"/>
  <c r="Q154" i="140"/>
  <c r="T154" i="140" s="1"/>
  <c r="R154" i="140"/>
  <c r="X154" i="140"/>
  <c r="Y154" i="140"/>
  <c r="H155" i="140"/>
  <c r="I155" i="140"/>
  <c r="J155" i="140"/>
  <c r="K155" i="140"/>
  <c r="O155" i="140"/>
  <c r="P155" i="140"/>
  <c r="Q155" i="140"/>
  <c r="R155" i="140"/>
  <c r="T155" i="140"/>
  <c r="U155" i="140"/>
  <c r="Y155" i="140"/>
  <c r="H156" i="140"/>
  <c r="S156" i="140"/>
  <c r="T156" i="140"/>
  <c r="U156" i="140"/>
  <c r="V156" i="140"/>
  <c r="X156" i="140"/>
  <c r="Y156" i="140"/>
  <c r="Z156" i="140"/>
  <c r="E157" i="140"/>
  <c r="F157" i="140"/>
  <c r="T157" i="140" s="1"/>
  <c r="G157" i="140"/>
  <c r="S157" i="140"/>
  <c r="V157" i="140"/>
  <c r="X157" i="140"/>
  <c r="Y157" i="140"/>
  <c r="Z157" i="140" s="1"/>
  <c r="I158" i="140"/>
  <c r="J158" i="140"/>
  <c r="K158" i="140"/>
  <c r="S158" i="140"/>
  <c r="T158" i="140"/>
  <c r="U158" i="140"/>
  <c r="X158" i="140"/>
  <c r="Y158" i="140"/>
  <c r="H159" i="140"/>
  <c r="I159" i="140"/>
  <c r="J159" i="140"/>
  <c r="K159" i="140"/>
  <c r="O159" i="140"/>
  <c r="S159" i="140"/>
  <c r="T159" i="140"/>
  <c r="U159" i="140"/>
  <c r="V159" i="140"/>
  <c r="X159" i="140"/>
  <c r="Y159" i="140"/>
  <c r="H160" i="140"/>
  <c r="I160" i="140"/>
  <c r="J160" i="140"/>
  <c r="K160" i="140"/>
  <c r="O160" i="140"/>
  <c r="P160" i="140"/>
  <c r="Q160" i="140"/>
  <c r="T160" i="140" s="1"/>
  <c r="R160" i="140"/>
  <c r="U160" i="140"/>
  <c r="Y160" i="140"/>
  <c r="H161" i="140"/>
  <c r="I161" i="140"/>
  <c r="J161" i="140"/>
  <c r="J379" i="140" s="1"/>
  <c r="K161" i="140"/>
  <c r="O161" i="140"/>
  <c r="P161" i="140"/>
  <c r="S161" i="140"/>
  <c r="T161" i="140"/>
  <c r="U161" i="140"/>
  <c r="Y161" i="140"/>
  <c r="D162" i="140"/>
  <c r="I162" i="140"/>
  <c r="J162" i="140"/>
  <c r="K162" i="140"/>
  <c r="P162" i="140"/>
  <c r="Q162" i="140"/>
  <c r="R162" i="140"/>
  <c r="U162" i="140" s="1"/>
  <c r="T162" i="140"/>
  <c r="Y162" i="140"/>
  <c r="D163" i="140"/>
  <c r="E163" i="140"/>
  <c r="F163" i="140"/>
  <c r="G163" i="140"/>
  <c r="H163" i="140"/>
  <c r="J163" i="140"/>
  <c r="J381" i="140" s="1"/>
  <c r="K163" i="140"/>
  <c r="O163" i="140"/>
  <c r="Q163" i="140"/>
  <c r="R163" i="140"/>
  <c r="T163" i="140"/>
  <c r="U163" i="140"/>
  <c r="H164" i="140"/>
  <c r="I164" i="140"/>
  <c r="J164" i="140"/>
  <c r="K164" i="140"/>
  <c r="O164" i="140"/>
  <c r="V164" i="140" s="1"/>
  <c r="S164" i="140"/>
  <c r="T164" i="140"/>
  <c r="U164" i="140"/>
  <c r="X164" i="140"/>
  <c r="Y164" i="140"/>
  <c r="D165" i="140"/>
  <c r="H165" i="140" s="1"/>
  <c r="I165" i="140"/>
  <c r="J165" i="140"/>
  <c r="K165" i="140"/>
  <c r="O165" i="140"/>
  <c r="V165" i="140" s="1"/>
  <c r="S165" i="140"/>
  <c r="T165" i="140"/>
  <c r="U165" i="140"/>
  <c r="X165" i="140"/>
  <c r="Y165" i="140"/>
  <c r="Z165" i="140"/>
  <c r="AA165" i="140" s="1"/>
  <c r="O166" i="140"/>
  <c r="S166" i="140"/>
  <c r="T166" i="140"/>
  <c r="U166" i="140"/>
  <c r="V166" i="140"/>
  <c r="X166" i="140"/>
  <c r="Y166" i="140" s="1"/>
  <c r="Z166" i="140" s="1"/>
  <c r="C167" i="140"/>
  <c r="C168" i="140" s="1"/>
  <c r="D167" i="140"/>
  <c r="H167" i="140" s="1"/>
  <c r="H385" i="140" s="1"/>
  <c r="E167" i="140"/>
  <c r="F167" i="140"/>
  <c r="G167" i="140"/>
  <c r="U167" i="140" s="1"/>
  <c r="I167" i="140"/>
  <c r="K167" i="140"/>
  <c r="O167" i="140"/>
  <c r="V167" i="140" s="1"/>
  <c r="S167" i="140"/>
  <c r="T167" i="140"/>
  <c r="X167" i="140"/>
  <c r="Y167" i="140"/>
  <c r="E168" i="140"/>
  <c r="Y168" i="140" s="1"/>
  <c r="Z168" i="140" s="1"/>
  <c r="S168" i="140"/>
  <c r="X168" i="140"/>
  <c r="C169" i="140"/>
  <c r="D169" i="140"/>
  <c r="F169" i="140"/>
  <c r="D170" i="140"/>
  <c r="E170" i="140"/>
  <c r="D171" i="140"/>
  <c r="E171" i="140"/>
  <c r="N172" i="140"/>
  <c r="N225" i="140" s="1"/>
  <c r="O172" i="140"/>
  <c r="O233" i="140" s="1"/>
  <c r="S172" i="140"/>
  <c r="T172" i="140"/>
  <c r="U172" i="140"/>
  <c r="X172" i="140"/>
  <c r="Y172" i="140"/>
  <c r="C179" i="140"/>
  <c r="D179" i="140"/>
  <c r="E179" i="140"/>
  <c r="F179" i="140"/>
  <c r="G179" i="140"/>
  <c r="M179" i="140"/>
  <c r="C180" i="140"/>
  <c r="D180" i="140"/>
  <c r="E180" i="140"/>
  <c r="F180" i="140"/>
  <c r="G180" i="140"/>
  <c r="M180" i="140"/>
  <c r="D181" i="140"/>
  <c r="H181" i="140"/>
  <c r="I181" i="140"/>
  <c r="J181" i="140"/>
  <c r="K181" i="140"/>
  <c r="S181" i="140"/>
  <c r="T181" i="140"/>
  <c r="U181" i="140"/>
  <c r="V181" i="140"/>
  <c r="C182" i="140"/>
  <c r="D182" i="140"/>
  <c r="E182" i="140"/>
  <c r="F182" i="140"/>
  <c r="G182" i="140"/>
  <c r="U182" i="140" s="1"/>
  <c r="H182" i="140"/>
  <c r="I182" i="140"/>
  <c r="J182" i="140"/>
  <c r="K182" i="140"/>
  <c r="M182" i="140"/>
  <c r="N182" i="140"/>
  <c r="O182" i="140"/>
  <c r="P182" i="140"/>
  <c r="Q182" i="140"/>
  <c r="R182" i="140"/>
  <c r="S182" i="140"/>
  <c r="T182" i="140"/>
  <c r="H183" i="140"/>
  <c r="O183" i="140"/>
  <c r="D183" i="140" s="1"/>
  <c r="C184" i="140"/>
  <c r="D184" i="140"/>
  <c r="E184" i="140"/>
  <c r="F184" i="140"/>
  <c r="G184" i="140"/>
  <c r="I184" i="140"/>
  <c r="M184" i="140"/>
  <c r="M178" i="140" s="1"/>
  <c r="N184" i="140"/>
  <c r="C185" i="140"/>
  <c r="D185" i="140"/>
  <c r="E185" i="140"/>
  <c r="F185" i="140"/>
  <c r="G185" i="140"/>
  <c r="C192" i="140"/>
  <c r="C206" i="140" s="1"/>
  <c r="D192" i="140"/>
  <c r="E192" i="140"/>
  <c r="F192" i="140"/>
  <c r="G192" i="140"/>
  <c r="R192" i="140" s="1"/>
  <c r="P192" i="140"/>
  <c r="C193" i="140"/>
  <c r="D193" i="140"/>
  <c r="E193" i="140"/>
  <c r="F193" i="140"/>
  <c r="G193" i="140"/>
  <c r="G200" i="140"/>
  <c r="C201" i="140"/>
  <c r="D201" i="140"/>
  <c r="E201" i="140"/>
  <c r="F201" i="140"/>
  <c r="G201" i="140"/>
  <c r="C202" i="140"/>
  <c r="D202" i="140"/>
  <c r="N82" i="140" s="1"/>
  <c r="E202" i="140"/>
  <c r="F202" i="140"/>
  <c r="G202" i="140"/>
  <c r="C203" i="140"/>
  <c r="D203" i="140"/>
  <c r="E203" i="140"/>
  <c r="E200" i="140" s="1"/>
  <c r="F203" i="140"/>
  <c r="G203" i="140"/>
  <c r="C204" i="140"/>
  <c r="D204" i="140"/>
  <c r="E204" i="140"/>
  <c r="F204" i="140"/>
  <c r="G204" i="140"/>
  <c r="O204" i="140"/>
  <c r="O200" i="140" s="1"/>
  <c r="D206" i="140"/>
  <c r="E206" i="140"/>
  <c r="G206" i="140"/>
  <c r="G207" i="140" s="1"/>
  <c r="P206" i="140"/>
  <c r="D207" i="140"/>
  <c r="E207" i="140"/>
  <c r="O207" i="140"/>
  <c r="P207" i="140" s="1"/>
  <c r="Q207" i="140" s="1"/>
  <c r="R207" i="140" s="1"/>
  <c r="C208" i="140"/>
  <c r="O210" i="140"/>
  <c r="P210" i="140"/>
  <c r="Q210" i="140"/>
  <c r="R210" i="140"/>
  <c r="C211" i="140"/>
  <c r="D211" i="140"/>
  <c r="E211" i="140"/>
  <c r="F211" i="140"/>
  <c r="G211" i="140"/>
  <c r="O211" i="140"/>
  <c r="Q211" i="140"/>
  <c r="Q69" i="140" s="1"/>
  <c r="R211" i="140"/>
  <c r="R69" i="140" s="1"/>
  <c r="C212" i="140"/>
  <c r="D212" i="140"/>
  <c r="E212" i="140"/>
  <c r="F212" i="140"/>
  <c r="G212" i="140"/>
  <c r="G210" i="140" s="1"/>
  <c r="O212" i="140"/>
  <c r="N83" i="140" s="1"/>
  <c r="O83" i="140" s="1"/>
  <c r="H83" i="140" s="1"/>
  <c r="H301" i="140" s="1"/>
  <c r="Q212" i="140"/>
  <c r="Q83" i="140" s="1"/>
  <c r="Q81" i="140" s="1"/>
  <c r="Q180" i="140" s="1"/>
  <c r="T180" i="140" s="1"/>
  <c r="R212" i="140"/>
  <c r="C213" i="140"/>
  <c r="C210" i="140" s="1"/>
  <c r="C418" i="140" s="1"/>
  <c r="D213" i="140"/>
  <c r="E213" i="140"/>
  <c r="F213" i="140"/>
  <c r="G213" i="140"/>
  <c r="O213" i="140"/>
  <c r="C214" i="140"/>
  <c r="D214" i="140"/>
  <c r="E214" i="140"/>
  <c r="F214" i="140"/>
  <c r="G214" i="140"/>
  <c r="C215" i="140"/>
  <c r="D215" i="140"/>
  <c r="E215" i="140"/>
  <c r="F215" i="140"/>
  <c r="G215" i="140"/>
  <c r="C216" i="140"/>
  <c r="D216" i="140"/>
  <c r="D424" i="140" s="1"/>
  <c r="E216" i="140"/>
  <c r="F216" i="140"/>
  <c r="G216" i="140"/>
  <c r="C217" i="140"/>
  <c r="D217" i="140"/>
  <c r="E217" i="140"/>
  <c r="F217" i="140"/>
  <c r="G217" i="140"/>
  <c r="C223" i="140"/>
  <c r="D223" i="140"/>
  <c r="E223" i="140"/>
  <c r="F223" i="140"/>
  <c r="C224" i="140"/>
  <c r="D224" i="140"/>
  <c r="E224" i="140"/>
  <c r="F224" i="140"/>
  <c r="G224" i="140"/>
  <c r="H224" i="140"/>
  <c r="M224" i="140"/>
  <c r="C225" i="140"/>
  <c r="D225" i="140"/>
  <c r="E225" i="140"/>
  <c r="F225" i="140"/>
  <c r="G225" i="140"/>
  <c r="U225" i="140" s="1"/>
  <c r="H225" i="140"/>
  <c r="I225" i="140"/>
  <c r="J225" i="140"/>
  <c r="K225" i="140"/>
  <c r="M225" i="140"/>
  <c r="O225" i="140"/>
  <c r="P225" i="140"/>
  <c r="Q225" i="140"/>
  <c r="R225" i="140"/>
  <c r="C226" i="140"/>
  <c r="D226" i="140"/>
  <c r="E226" i="140"/>
  <c r="S226" i="140" s="1"/>
  <c r="F226" i="140"/>
  <c r="T226" i="140" s="1"/>
  <c r="G226" i="140"/>
  <c r="H226" i="140"/>
  <c r="I226" i="140"/>
  <c r="J226" i="140"/>
  <c r="K226" i="140"/>
  <c r="M226" i="140"/>
  <c r="N226" i="140"/>
  <c r="O226" i="140"/>
  <c r="V226" i="140" s="1"/>
  <c r="P226" i="140"/>
  <c r="Q226" i="140"/>
  <c r="R226" i="140"/>
  <c r="U226" i="140"/>
  <c r="C227" i="140"/>
  <c r="D227" i="140"/>
  <c r="E227" i="140"/>
  <c r="S227" i="140" s="1"/>
  <c r="F227" i="140"/>
  <c r="T227" i="140" s="1"/>
  <c r="G227" i="140"/>
  <c r="H227" i="140"/>
  <c r="I227" i="140"/>
  <c r="J227" i="140"/>
  <c r="M227" i="140"/>
  <c r="N227" i="140"/>
  <c r="O227" i="140"/>
  <c r="V227" i="140" s="1"/>
  <c r="P227" i="140"/>
  <c r="Q227" i="140"/>
  <c r="R227" i="140"/>
  <c r="U227" i="140" s="1"/>
  <c r="C228" i="140"/>
  <c r="D228" i="140"/>
  <c r="E228" i="140"/>
  <c r="F228" i="140"/>
  <c r="G228" i="140"/>
  <c r="U228" i="140" s="1"/>
  <c r="H228" i="140"/>
  <c r="I228" i="140"/>
  <c r="J228" i="140"/>
  <c r="K228" i="140"/>
  <c r="M228" i="140"/>
  <c r="N228" i="140"/>
  <c r="O228" i="140"/>
  <c r="P228" i="140"/>
  <c r="Q228" i="140"/>
  <c r="R228" i="140"/>
  <c r="S228" i="140"/>
  <c r="T228" i="140"/>
  <c r="V228" i="140"/>
  <c r="C229" i="140"/>
  <c r="D229" i="140"/>
  <c r="E229" i="140"/>
  <c r="F229" i="140"/>
  <c r="G229" i="140"/>
  <c r="U229" i="140" s="1"/>
  <c r="H229" i="140"/>
  <c r="I229" i="140"/>
  <c r="J229" i="140"/>
  <c r="K229" i="140"/>
  <c r="M229" i="140"/>
  <c r="N229" i="140"/>
  <c r="P229" i="140"/>
  <c r="Q229" i="140"/>
  <c r="R229" i="140"/>
  <c r="S229" i="140"/>
  <c r="T229" i="140"/>
  <c r="C230" i="140"/>
  <c r="D230" i="140"/>
  <c r="E230" i="140"/>
  <c r="F230" i="140"/>
  <c r="G230" i="140"/>
  <c r="U230" i="140" s="1"/>
  <c r="H230" i="140"/>
  <c r="I230" i="140"/>
  <c r="J230" i="140"/>
  <c r="K230" i="140"/>
  <c r="M230" i="140"/>
  <c r="N230" i="140"/>
  <c r="P230" i="140"/>
  <c r="Q230" i="140"/>
  <c r="T230" i="140" s="1"/>
  <c r="R230" i="140"/>
  <c r="C231" i="140"/>
  <c r="D231" i="140"/>
  <c r="E231" i="140"/>
  <c r="S231" i="140" s="1"/>
  <c r="F231" i="140"/>
  <c r="T231" i="140" s="1"/>
  <c r="G231" i="140"/>
  <c r="H231" i="140"/>
  <c r="I231" i="140"/>
  <c r="J231" i="140"/>
  <c r="K231" i="140"/>
  <c r="M231" i="140"/>
  <c r="N231" i="140"/>
  <c r="O231" i="140"/>
  <c r="P231" i="140"/>
  <c r="Q231" i="140"/>
  <c r="R231" i="140"/>
  <c r="U231" i="140" s="1"/>
  <c r="V231" i="140"/>
  <c r="C232" i="140"/>
  <c r="D232" i="140"/>
  <c r="E232" i="140"/>
  <c r="F232" i="140"/>
  <c r="G232" i="140"/>
  <c r="H232" i="140"/>
  <c r="I232" i="140"/>
  <c r="J232" i="140"/>
  <c r="K232" i="140"/>
  <c r="M232" i="140"/>
  <c r="N232" i="140"/>
  <c r="O232" i="140"/>
  <c r="P232" i="140"/>
  <c r="V232" i="140" s="1"/>
  <c r="Q232" i="140"/>
  <c r="R232" i="140"/>
  <c r="S232" i="140"/>
  <c r="T232" i="140"/>
  <c r="U232" i="140"/>
  <c r="C233" i="140"/>
  <c r="D233" i="140"/>
  <c r="E233" i="140"/>
  <c r="F233" i="140"/>
  <c r="G233" i="140"/>
  <c r="H233" i="140"/>
  <c r="I233" i="140"/>
  <c r="J233" i="140"/>
  <c r="K233" i="140"/>
  <c r="M233" i="140"/>
  <c r="P233" i="140"/>
  <c r="V233" i="140" s="1"/>
  <c r="Q233" i="140"/>
  <c r="R233" i="140"/>
  <c r="S233" i="140"/>
  <c r="C234" i="140"/>
  <c r="D234" i="140"/>
  <c r="E234" i="140"/>
  <c r="F234" i="140"/>
  <c r="T234" i="140" s="1"/>
  <c r="G234" i="140"/>
  <c r="H234" i="140"/>
  <c r="I234" i="140"/>
  <c r="J234" i="140"/>
  <c r="K234" i="140"/>
  <c r="M234" i="140"/>
  <c r="N234" i="140"/>
  <c r="O234" i="140"/>
  <c r="P234" i="140"/>
  <c r="Q234" i="140"/>
  <c r="R234" i="140"/>
  <c r="U234" i="140"/>
  <c r="C235" i="140"/>
  <c r="D235" i="140"/>
  <c r="E235" i="140"/>
  <c r="S235" i="140" s="1"/>
  <c r="F235" i="140"/>
  <c r="G235" i="140"/>
  <c r="H235" i="140"/>
  <c r="I235" i="140"/>
  <c r="J235" i="140"/>
  <c r="K235" i="140"/>
  <c r="M235" i="140"/>
  <c r="N235" i="140"/>
  <c r="O235" i="140"/>
  <c r="P235" i="140"/>
  <c r="Q235" i="140"/>
  <c r="R235" i="140"/>
  <c r="T235" i="140"/>
  <c r="U235" i="140"/>
  <c r="V235" i="140"/>
  <c r="C236" i="140"/>
  <c r="D236" i="140"/>
  <c r="E236" i="140"/>
  <c r="F236" i="140"/>
  <c r="G236" i="140"/>
  <c r="H236" i="140"/>
  <c r="I236" i="140"/>
  <c r="J236" i="140"/>
  <c r="K236" i="140"/>
  <c r="M236" i="140"/>
  <c r="N236" i="140"/>
  <c r="O236" i="140"/>
  <c r="V236" i="140" s="1"/>
  <c r="P236" i="140"/>
  <c r="Q236" i="140"/>
  <c r="R236" i="140"/>
  <c r="S236" i="140"/>
  <c r="C237" i="140"/>
  <c r="D237" i="140"/>
  <c r="E237" i="140"/>
  <c r="F237" i="140"/>
  <c r="G237" i="140"/>
  <c r="H237" i="140"/>
  <c r="I237" i="140"/>
  <c r="J237" i="140"/>
  <c r="K237" i="140"/>
  <c r="M237" i="140"/>
  <c r="N237" i="140"/>
  <c r="O237" i="140"/>
  <c r="P237" i="140"/>
  <c r="V237" i="140" s="1"/>
  <c r="Q237" i="140"/>
  <c r="S237" i="140"/>
  <c r="C238" i="140"/>
  <c r="D238" i="140"/>
  <c r="E238" i="140"/>
  <c r="F238" i="140"/>
  <c r="G238" i="140"/>
  <c r="M238" i="140"/>
  <c r="N238" i="140"/>
  <c r="C239" i="140"/>
  <c r="D239" i="140"/>
  <c r="E239" i="140"/>
  <c r="S239" i="140" s="1"/>
  <c r="F239" i="140"/>
  <c r="G239" i="140"/>
  <c r="H239" i="140"/>
  <c r="J239" i="140"/>
  <c r="K239" i="140"/>
  <c r="M239" i="140"/>
  <c r="N239" i="140"/>
  <c r="O239" i="140"/>
  <c r="P239" i="140"/>
  <c r="Q239" i="140"/>
  <c r="R239" i="140"/>
  <c r="U239" i="140"/>
  <c r="V239" i="140"/>
  <c r="C240" i="140"/>
  <c r="D240" i="140"/>
  <c r="E240" i="140"/>
  <c r="F240" i="140"/>
  <c r="T240" i="140" s="1"/>
  <c r="G240" i="140"/>
  <c r="H240" i="140"/>
  <c r="I240" i="140"/>
  <c r="J240" i="140"/>
  <c r="K240" i="140"/>
  <c r="M240" i="140"/>
  <c r="N240" i="140"/>
  <c r="O240" i="140"/>
  <c r="V240" i="140" s="1"/>
  <c r="P240" i="140"/>
  <c r="Q240" i="140"/>
  <c r="R240" i="140"/>
  <c r="U240" i="140" s="1"/>
  <c r="S240" i="140"/>
  <c r="C241" i="140"/>
  <c r="D241" i="140"/>
  <c r="E241" i="140"/>
  <c r="F241" i="140"/>
  <c r="G241" i="140"/>
  <c r="H241" i="140"/>
  <c r="I241" i="140"/>
  <c r="J241" i="140"/>
  <c r="K241" i="140"/>
  <c r="M241" i="140"/>
  <c r="O241" i="140"/>
  <c r="P241" i="140"/>
  <c r="Q241" i="140"/>
  <c r="R241" i="140"/>
  <c r="U241" i="140"/>
  <c r="C242" i="140"/>
  <c r="D242" i="140"/>
  <c r="E242" i="140"/>
  <c r="F242" i="140"/>
  <c r="T242" i="140" s="1"/>
  <c r="G242" i="140"/>
  <c r="U242" i="140" s="1"/>
  <c r="H242" i="140"/>
  <c r="I242" i="140"/>
  <c r="K242" i="140"/>
  <c r="M242" i="140"/>
  <c r="N242" i="140"/>
  <c r="O242" i="140"/>
  <c r="P242" i="140"/>
  <c r="V242" i="140" s="1"/>
  <c r="Q242" i="140"/>
  <c r="R242" i="140"/>
  <c r="C243" i="140"/>
  <c r="D243" i="140"/>
  <c r="E243" i="140"/>
  <c r="S243" i="140" s="1"/>
  <c r="F243" i="140"/>
  <c r="G243" i="140"/>
  <c r="H243" i="140"/>
  <c r="I243" i="140"/>
  <c r="J243" i="140"/>
  <c r="K243" i="140"/>
  <c r="M243" i="140"/>
  <c r="N243" i="140"/>
  <c r="O243" i="140"/>
  <c r="P243" i="140"/>
  <c r="Q243" i="140"/>
  <c r="R243" i="140"/>
  <c r="T243" i="140"/>
  <c r="U243" i="140"/>
  <c r="V243" i="140"/>
  <c r="C244" i="140"/>
  <c r="D244" i="140"/>
  <c r="E244" i="140"/>
  <c r="F244" i="140"/>
  <c r="G244" i="140"/>
  <c r="H244" i="140"/>
  <c r="I244" i="140"/>
  <c r="J244" i="140"/>
  <c r="K244" i="140"/>
  <c r="M244" i="140"/>
  <c r="N244" i="140"/>
  <c r="O244" i="140"/>
  <c r="V244" i="140" s="1"/>
  <c r="P244" i="140"/>
  <c r="R244" i="140"/>
  <c r="S244" i="140"/>
  <c r="C245" i="140"/>
  <c r="D245" i="140"/>
  <c r="F245" i="140"/>
  <c r="G245" i="140"/>
  <c r="H245" i="140"/>
  <c r="J245" i="140"/>
  <c r="K245" i="140"/>
  <c r="M245" i="140"/>
  <c r="N245" i="140"/>
  <c r="P245" i="140"/>
  <c r="C246" i="140"/>
  <c r="D246" i="140"/>
  <c r="E246" i="140"/>
  <c r="S246" i="140" s="1"/>
  <c r="F246" i="140"/>
  <c r="G246" i="140"/>
  <c r="U246" i="140" s="1"/>
  <c r="H246" i="140"/>
  <c r="I246" i="140"/>
  <c r="J246" i="140"/>
  <c r="K246" i="140"/>
  <c r="M246" i="140"/>
  <c r="N246" i="140"/>
  <c r="P246" i="140"/>
  <c r="Q246" i="140"/>
  <c r="T246" i="140" s="1"/>
  <c r="R246" i="140"/>
  <c r="C247" i="140"/>
  <c r="D247" i="140"/>
  <c r="E247" i="140"/>
  <c r="F247" i="140"/>
  <c r="T247" i="140" s="1"/>
  <c r="G247" i="140"/>
  <c r="H247" i="140"/>
  <c r="I247" i="140"/>
  <c r="K247" i="140"/>
  <c r="M247" i="140"/>
  <c r="N247" i="140"/>
  <c r="O247" i="140"/>
  <c r="Q247" i="140"/>
  <c r="R247" i="140"/>
  <c r="U247" i="140"/>
  <c r="C248" i="140"/>
  <c r="D248" i="140"/>
  <c r="E248" i="140"/>
  <c r="F248" i="140"/>
  <c r="G248" i="140"/>
  <c r="U248" i="140" s="1"/>
  <c r="H248" i="140"/>
  <c r="I248" i="140"/>
  <c r="J248" i="140"/>
  <c r="K248" i="140"/>
  <c r="M248" i="140"/>
  <c r="N248" i="140"/>
  <c r="O248" i="140"/>
  <c r="P248" i="140"/>
  <c r="Q248" i="140"/>
  <c r="R248" i="140"/>
  <c r="T248" i="140"/>
  <c r="C249" i="140"/>
  <c r="D249" i="140"/>
  <c r="E249" i="140"/>
  <c r="F249" i="140"/>
  <c r="G249" i="140"/>
  <c r="U249" i="140" s="1"/>
  <c r="H249" i="140"/>
  <c r="I249" i="140"/>
  <c r="J249" i="140"/>
  <c r="K249" i="140"/>
  <c r="M249" i="140"/>
  <c r="N249" i="140"/>
  <c r="O249" i="140"/>
  <c r="P249" i="140"/>
  <c r="Q249" i="140"/>
  <c r="R249" i="140"/>
  <c r="C250" i="140"/>
  <c r="D250" i="140"/>
  <c r="E250" i="140"/>
  <c r="S250" i="140" s="1"/>
  <c r="F250" i="140"/>
  <c r="G250" i="140"/>
  <c r="U250" i="140" s="1"/>
  <c r="H250" i="140"/>
  <c r="I250" i="140"/>
  <c r="J250" i="140"/>
  <c r="K250" i="140"/>
  <c r="M250" i="140"/>
  <c r="N250" i="140"/>
  <c r="P250" i="140"/>
  <c r="Q250" i="140"/>
  <c r="R250" i="140"/>
  <c r="T250" i="140"/>
  <c r="C251" i="140"/>
  <c r="D251" i="140"/>
  <c r="E251" i="140"/>
  <c r="F251" i="140"/>
  <c r="G251" i="140"/>
  <c r="H251" i="140"/>
  <c r="I251" i="140"/>
  <c r="J251" i="140"/>
  <c r="K251" i="140"/>
  <c r="M251" i="140"/>
  <c r="N251" i="140"/>
  <c r="O251" i="140"/>
  <c r="P251" i="140"/>
  <c r="Q251" i="140"/>
  <c r="R251" i="140"/>
  <c r="S251" i="140"/>
  <c r="T251" i="140"/>
  <c r="U251" i="140"/>
  <c r="V251" i="140"/>
  <c r="C252" i="140"/>
  <c r="D252" i="140"/>
  <c r="E252" i="140"/>
  <c r="F252" i="140"/>
  <c r="G252" i="140"/>
  <c r="H252" i="140"/>
  <c r="I252" i="140"/>
  <c r="J252" i="140"/>
  <c r="K252" i="140"/>
  <c r="M252" i="140"/>
  <c r="N252" i="140"/>
  <c r="P252" i="140"/>
  <c r="Q252" i="140"/>
  <c r="T252" i="140" s="1"/>
  <c r="R252" i="140"/>
  <c r="S252" i="140"/>
  <c r="C253" i="140"/>
  <c r="D253" i="140"/>
  <c r="E253" i="140"/>
  <c r="S253" i="140" s="1"/>
  <c r="F253" i="140"/>
  <c r="G253" i="140"/>
  <c r="U253" i="140" s="1"/>
  <c r="H253" i="140"/>
  <c r="I253" i="140"/>
  <c r="J253" i="140"/>
  <c r="K253" i="140"/>
  <c r="M253" i="140"/>
  <c r="N253" i="140"/>
  <c r="O253" i="140"/>
  <c r="P253" i="140"/>
  <c r="V253" i="140" s="1"/>
  <c r="Q253" i="140"/>
  <c r="R253" i="140"/>
  <c r="T253" i="140"/>
  <c r="C254" i="140"/>
  <c r="D254" i="140"/>
  <c r="E254" i="140"/>
  <c r="F254" i="140"/>
  <c r="G254" i="140"/>
  <c r="H254" i="140"/>
  <c r="J254" i="140"/>
  <c r="M254" i="140"/>
  <c r="N254" i="140"/>
  <c r="D255" i="140"/>
  <c r="E255" i="140"/>
  <c r="F255" i="140"/>
  <c r="T255" i="140" s="1"/>
  <c r="G255" i="140"/>
  <c r="H255" i="140"/>
  <c r="I255" i="140"/>
  <c r="J255" i="140"/>
  <c r="K255" i="140"/>
  <c r="M255" i="140"/>
  <c r="N255" i="140"/>
  <c r="O255" i="140"/>
  <c r="P255" i="140"/>
  <c r="Q255" i="140"/>
  <c r="R255" i="140"/>
  <c r="S255" i="140"/>
  <c r="U255" i="140"/>
  <c r="V255" i="140"/>
  <c r="C256" i="140"/>
  <c r="D256" i="140"/>
  <c r="E256" i="140"/>
  <c r="F256" i="140"/>
  <c r="G256" i="140"/>
  <c r="H256" i="140"/>
  <c r="I256" i="140"/>
  <c r="J256" i="140"/>
  <c r="K256" i="140"/>
  <c r="M256" i="140"/>
  <c r="N256" i="140"/>
  <c r="O256" i="140"/>
  <c r="P256" i="140"/>
  <c r="Q256" i="140"/>
  <c r="R256" i="140"/>
  <c r="S256" i="140"/>
  <c r="T256" i="140"/>
  <c r="V256" i="140"/>
  <c r="C257" i="140"/>
  <c r="D257" i="140"/>
  <c r="E257" i="140"/>
  <c r="F257" i="140"/>
  <c r="T257" i="140" s="1"/>
  <c r="G257" i="140"/>
  <c r="U257" i="140" s="1"/>
  <c r="H257" i="140"/>
  <c r="I257" i="140"/>
  <c r="J257" i="140"/>
  <c r="K257" i="140"/>
  <c r="M257" i="140"/>
  <c r="N257" i="140"/>
  <c r="O257" i="140"/>
  <c r="P257" i="140"/>
  <c r="Q257" i="140"/>
  <c r="R257" i="140"/>
  <c r="C258" i="140"/>
  <c r="D258" i="140"/>
  <c r="E258" i="140"/>
  <c r="S258" i="140" s="1"/>
  <c r="F258" i="140"/>
  <c r="G258" i="140"/>
  <c r="H258" i="140"/>
  <c r="I258" i="140"/>
  <c r="J258" i="140"/>
  <c r="K258" i="140"/>
  <c r="M258" i="140"/>
  <c r="N258" i="140"/>
  <c r="O258" i="140"/>
  <c r="P258" i="140"/>
  <c r="Q258" i="140"/>
  <c r="R258" i="140"/>
  <c r="T258" i="140"/>
  <c r="U258" i="140"/>
  <c r="V258" i="140"/>
  <c r="C259" i="140"/>
  <c r="D259" i="140"/>
  <c r="E259" i="140"/>
  <c r="F259" i="140"/>
  <c r="G259" i="140"/>
  <c r="H259" i="140"/>
  <c r="I259" i="140"/>
  <c r="J259" i="140"/>
  <c r="K259" i="140"/>
  <c r="M259" i="140"/>
  <c r="N259" i="140"/>
  <c r="O259" i="140"/>
  <c r="V259" i="140" s="1"/>
  <c r="P259" i="140"/>
  <c r="Q259" i="140"/>
  <c r="R259" i="140"/>
  <c r="U259" i="140" s="1"/>
  <c r="S259" i="140"/>
  <c r="T259" i="140"/>
  <c r="C260" i="140"/>
  <c r="D260" i="140"/>
  <c r="E260" i="140"/>
  <c r="F260" i="140"/>
  <c r="G260" i="140"/>
  <c r="U260" i="140" s="1"/>
  <c r="H260" i="140"/>
  <c r="I260" i="140"/>
  <c r="J260" i="140"/>
  <c r="K260" i="140"/>
  <c r="M260" i="140"/>
  <c r="N260" i="140"/>
  <c r="O260" i="140"/>
  <c r="P260" i="140"/>
  <c r="Q260" i="140"/>
  <c r="R260" i="140"/>
  <c r="T260" i="140"/>
  <c r="C261" i="140"/>
  <c r="D261" i="140"/>
  <c r="E261" i="140"/>
  <c r="S261" i="140" s="1"/>
  <c r="F261" i="140"/>
  <c r="G261" i="140"/>
  <c r="H261" i="140"/>
  <c r="I261" i="140"/>
  <c r="J261" i="140"/>
  <c r="K261" i="140"/>
  <c r="M261" i="140"/>
  <c r="N261" i="140"/>
  <c r="O261" i="140"/>
  <c r="P261" i="140"/>
  <c r="Q261" i="140"/>
  <c r="R261" i="140"/>
  <c r="T261" i="140"/>
  <c r="U261" i="140"/>
  <c r="V261" i="140"/>
  <c r="D262" i="140"/>
  <c r="F262" i="140"/>
  <c r="G262" i="140"/>
  <c r="H262" i="140"/>
  <c r="J262" i="140"/>
  <c r="M262" i="140"/>
  <c r="N262" i="140"/>
  <c r="C263" i="140"/>
  <c r="D263" i="140"/>
  <c r="E263" i="140"/>
  <c r="F263" i="140"/>
  <c r="G263" i="140"/>
  <c r="I263" i="140"/>
  <c r="N263" i="140"/>
  <c r="C264" i="140"/>
  <c r="D264" i="140"/>
  <c r="E264" i="140"/>
  <c r="F264" i="140"/>
  <c r="T264" i="140" s="1"/>
  <c r="G264" i="140"/>
  <c r="U264" i="140" s="1"/>
  <c r="I264" i="140"/>
  <c r="J264" i="140"/>
  <c r="K264" i="140"/>
  <c r="M264" i="140"/>
  <c r="N264" i="140"/>
  <c r="O264" i="140"/>
  <c r="P264" i="140"/>
  <c r="V264" i="140" s="1"/>
  <c r="Q264" i="140"/>
  <c r="R264" i="140"/>
  <c r="C265" i="140"/>
  <c r="D265" i="140"/>
  <c r="E265" i="140"/>
  <c r="F265" i="140"/>
  <c r="G265" i="140"/>
  <c r="H265" i="140"/>
  <c r="I265" i="140"/>
  <c r="K265" i="140"/>
  <c r="M265" i="140"/>
  <c r="N265" i="140"/>
  <c r="O265" i="140"/>
  <c r="P265" i="140"/>
  <c r="S265" i="140" s="1"/>
  <c r="C266" i="140"/>
  <c r="E266" i="140"/>
  <c r="F266" i="140"/>
  <c r="G266" i="140"/>
  <c r="U266" i="140" s="1"/>
  <c r="I266" i="140"/>
  <c r="J266" i="140"/>
  <c r="K266" i="140"/>
  <c r="M266" i="140"/>
  <c r="N266" i="140"/>
  <c r="P266" i="140"/>
  <c r="Q266" i="140"/>
  <c r="R266" i="140"/>
  <c r="T266" i="140"/>
  <c r="C267" i="140"/>
  <c r="D267" i="140"/>
  <c r="E267" i="140"/>
  <c r="S267" i="140" s="1"/>
  <c r="F267" i="140"/>
  <c r="G267" i="140"/>
  <c r="H267" i="140"/>
  <c r="I267" i="140"/>
  <c r="J267" i="140"/>
  <c r="K267" i="140"/>
  <c r="M267" i="140"/>
  <c r="N267" i="140"/>
  <c r="O267" i="140"/>
  <c r="P267" i="140"/>
  <c r="Q267" i="140"/>
  <c r="T267" i="140" s="1"/>
  <c r="R267" i="140"/>
  <c r="U267" i="140" s="1"/>
  <c r="V267" i="140"/>
  <c r="C268" i="140"/>
  <c r="D268" i="140"/>
  <c r="E268" i="140"/>
  <c r="F268" i="140"/>
  <c r="T268" i="140" s="1"/>
  <c r="G268" i="140"/>
  <c r="U268" i="140" s="1"/>
  <c r="I268" i="140"/>
  <c r="J268" i="140"/>
  <c r="M268" i="140"/>
  <c r="N268" i="140"/>
  <c r="P268" i="140"/>
  <c r="Q268" i="140"/>
  <c r="R268" i="140"/>
  <c r="S268" i="140"/>
  <c r="C269" i="140"/>
  <c r="D269" i="140"/>
  <c r="E269" i="140"/>
  <c r="F269" i="140"/>
  <c r="G269" i="140"/>
  <c r="U269" i="140" s="1"/>
  <c r="H269" i="140"/>
  <c r="I269" i="140"/>
  <c r="J269" i="140"/>
  <c r="K269" i="140"/>
  <c r="M269" i="140"/>
  <c r="N269" i="140"/>
  <c r="O269" i="140"/>
  <c r="P269" i="140"/>
  <c r="V269" i="140" s="1"/>
  <c r="Q269" i="140"/>
  <c r="R269" i="140"/>
  <c r="S269" i="140"/>
  <c r="T269" i="140"/>
  <c r="C270" i="140"/>
  <c r="D270" i="140"/>
  <c r="E270" i="140"/>
  <c r="F270" i="140"/>
  <c r="G270" i="140"/>
  <c r="H270" i="140"/>
  <c r="I270" i="140"/>
  <c r="J270" i="140"/>
  <c r="K270" i="140"/>
  <c r="M270" i="140"/>
  <c r="N270" i="140"/>
  <c r="O270" i="140"/>
  <c r="P270" i="140"/>
  <c r="Q270" i="140"/>
  <c r="R270" i="140"/>
  <c r="U270" i="140"/>
  <c r="C271" i="140"/>
  <c r="D271" i="140"/>
  <c r="E271" i="140"/>
  <c r="S271" i="140" s="1"/>
  <c r="F271" i="140"/>
  <c r="G271" i="140"/>
  <c r="I271" i="140"/>
  <c r="K271" i="140"/>
  <c r="M271" i="140"/>
  <c r="N271" i="140"/>
  <c r="O271" i="140"/>
  <c r="V271" i="140" s="1"/>
  <c r="P271" i="140"/>
  <c r="Q271" i="140"/>
  <c r="R271" i="140"/>
  <c r="T271" i="140"/>
  <c r="U271" i="140"/>
  <c r="C272" i="140"/>
  <c r="E272" i="140"/>
  <c r="F272" i="140"/>
  <c r="T272" i="140" s="1"/>
  <c r="G272" i="140"/>
  <c r="I272" i="140"/>
  <c r="J272" i="140"/>
  <c r="K272" i="140"/>
  <c r="M272" i="140"/>
  <c r="N272" i="140"/>
  <c r="P272" i="140"/>
  <c r="Q272" i="140"/>
  <c r="R272" i="140"/>
  <c r="U272" i="140" s="1"/>
  <c r="S272" i="140"/>
  <c r="C273" i="140"/>
  <c r="D273" i="140"/>
  <c r="E273" i="140"/>
  <c r="F273" i="140"/>
  <c r="G273" i="140"/>
  <c r="M273" i="140"/>
  <c r="C274" i="140"/>
  <c r="D274" i="140"/>
  <c r="E274" i="140"/>
  <c r="F274" i="140"/>
  <c r="G274" i="140"/>
  <c r="M274" i="140"/>
  <c r="C275" i="140"/>
  <c r="D275" i="140"/>
  <c r="E275" i="140"/>
  <c r="S275" i="140" s="1"/>
  <c r="F275" i="140"/>
  <c r="G275" i="140"/>
  <c r="H275" i="140"/>
  <c r="I275" i="140"/>
  <c r="J275" i="140"/>
  <c r="K275" i="140"/>
  <c r="M275" i="140"/>
  <c r="N275" i="140"/>
  <c r="O275" i="140"/>
  <c r="P275" i="140"/>
  <c r="V275" i="140" s="1"/>
  <c r="Q275" i="140"/>
  <c r="T275" i="140" s="1"/>
  <c r="R275" i="140"/>
  <c r="C276" i="140"/>
  <c r="D276" i="140"/>
  <c r="E276" i="140"/>
  <c r="F276" i="140"/>
  <c r="T276" i="140" s="1"/>
  <c r="G276" i="140"/>
  <c r="U276" i="140" s="1"/>
  <c r="H276" i="140"/>
  <c r="J276" i="140"/>
  <c r="K276" i="140"/>
  <c r="M276" i="140"/>
  <c r="N276" i="140"/>
  <c r="O276" i="140"/>
  <c r="P276" i="140"/>
  <c r="V276" i="140" s="1"/>
  <c r="Q276" i="140"/>
  <c r="R276" i="140"/>
  <c r="C277" i="140"/>
  <c r="D277" i="140"/>
  <c r="E277" i="140"/>
  <c r="F277" i="140"/>
  <c r="G277" i="140"/>
  <c r="U277" i="140" s="1"/>
  <c r="H277" i="140"/>
  <c r="I277" i="140"/>
  <c r="J277" i="140"/>
  <c r="K277" i="140"/>
  <c r="M277" i="140"/>
  <c r="N277" i="140"/>
  <c r="O277" i="140"/>
  <c r="P277" i="140"/>
  <c r="Q277" i="140"/>
  <c r="R277" i="140"/>
  <c r="T277" i="140"/>
  <c r="C278" i="140"/>
  <c r="D278" i="140"/>
  <c r="E278" i="140"/>
  <c r="F278" i="140"/>
  <c r="G278" i="140"/>
  <c r="U278" i="140" s="1"/>
  <c r="H278" i="140"/>
  <c r="I278" i="140"/>
  <c r="J278" i="140"/>
  <c r="K278" i="140"/>
  <c r="M278" i="140"/>
  <c r="N278" i="140"/>
  <c r="O278" i="140"/>
  <c r="P278" i="140"/>
  <c r="Q278" i="140"/>
  <c r="R278" i="140"/>
  <c r="C279" i="140"/>
  <c r="D279" i="140"/>
  <c r="E279" i="140"/>
  <c r="S279" i="140" s="1"/>
  <c r="F279" i="140"/>
  <c r="G279" i="140"/>
  <c r="H279" i="140"/>
  <c r="I279" i="140"/>
  <c r="J279" i="140"/>
  <c r="K279" i="140"/>
  <c r="M279" i="140"/>
  <c r="N279" i="140"/>
  <c r="O279" i="140"/>
  <c r="P279" i="140"/>
  <c r="Q279" i="140"/>
  <c r="R279" i="140"/>
  <c r="T279" i="140"/>
  <c r="U279" i="140"/>
  <c r="V279" i="140"/>
  <c r="C280" i="140"/>
  <c r="D280" i="140"/>
  <c r="E280" i="140"/>
  <c r="F280" i="140"/>
  <c r="G280" i="140"/>
  <c r="H280" i="140"/>
  <c r="I280" i="140"/>
  <c r="J280" i="140"/>
  <c r="K280" i="140"/>
  <c r="M280" i="140"/>
  <c r="N280" i="140"/>
  <c r="O280" i="140"/>
  <c r="V280" i="140" s="1"/>
  <c r="P280" i="140"/>
  <c r="Q280" i="140"/>
  <c r="R280" i="140"/>
  <c r="U280" i="140" s="1"/>
  <c r="S280" i="140"/>
  <c r="T280" i="140"/>
  <c r="C281" i="140"/>
  <c r="D281" i="140"/>
  <c r="E281" i="140"/>
  <c r="S281" i="140" s="1"/>
  <c r="F281" i="140"/>
  <c r="G281" i="140"/>
  <c r="U281" i="140" s="1"/>
  <c r="H281" i="140"/>
  <c r="I281" i="140"/>
  <c r="J281" i="140"/>
  <c r="K281" i="140"/>
  <c r="M281" i="140"/>
  <c r="N281" i="140"/>
  <c r="O281" i="140"/>
  <c r="P281" i="140"/>
  <c r="V281" i="140" s="1"/>
  <c r="Q281" i="140"/>
  <c r="T281" i="140" s="1"/>
  <c r="R281" i="140"/>
  <c r="C282" i="140"/>
  <c r="D282" i="140"/>
  <c r="E282" i="140"/>
  <c r="G282" i="140"/>
  <c r="H282" i="140"/>
  <c r="I282" i="140"/>
  <c r="K282" i="140"/>
  <c r="M282" i="140"/>
  <c r="N282" i="140"/>
  <c r="O282" i="140"/>
  <c r="P282" i="140"/>
  <c r="Q282" i="140"/>
  <c r="R282" i="140"/>
  <c r="S282" i="140"/>
  <c r="U282" i="140"/>
  <c r="V282" i="140"/>
  <c r="C283" i="140"/>
  <c r="D283" i="140"/>
  <c r="E283" i="140"/>
  <c r="G283" i="140"/>
  <c r="H283" i="140"/>
  <c r="I283" i="140"/>
  <c r="J283" i="140"/>
  <c r="K283" i="140"/>
  <c r="M283" i="140"/>
  <c r="N283" i="140"/>
  <c r="C284" i="140"/>
  <c r="D284" i="140"/>
  <c r="E284" i="140"/>
  <c r="F284" i="140"/>
  <c r="G284" i="140"/>
  <c r="C285" i="140"/>
  <c r="D285" i="140"/>
  <c r="E285" i="140"/>
  <c r="F285" i="140"/>
  <c r="G285" i="140"/>
  <c r="M285" i="140"/>
  <c r="C286" i="140"/>
  <c r="D286" i="140"/>
  <c r="E286" i="140"/>
  <c r="F286" i="140"/>
  <c r="G286" i="140"/>
  <c r="M286" i="140"/>
  <c r="Q286" i="140"/>
  <c r="R286" i="140"/>
  <c r="U286" i="140"/>
  <c r="C287" i="140"/>
  <c r="D287" i="140"/>
  <c r="E287" i="140"/>
  <c r="F287" i="140"/>
  <c r="G287" i="140"/>
  <c r="M287" i="140"/>
  <c r="R287" i="140"/>
  <c r="U287" i="140"/>
  <c r="C288" i="140"/>
  <c r="D288" i="140"/>
  <c r="E288" i="140"/>
  <c r="F288" i="140"/>
  <c r="T288" i="140" s="1"/>
  <c r="G288" i="140"/>
  <c r="H288" i="140"/>
  <c r="I288" i="140"/>
  <c r="J288" i="140"/>
  <c r="K288" i="140"/>
  <c r="M288" i="140"/>
  <c r="N288" i="140"/>
  <c r="O288" i="140"/>
  <c r="V288" i="140" s="1"/>
  <c r="P288" i="140"/>
  <c r="Q288" i="140"/>
  <c r="R288" i="140"/>
  <c r="U288" i="140" s="1"/>
  <c r="S288" i="140"/>
  <c r="C289" i="140"/>
  <c r="D289" i="140"/>
  <c r="E289" i="140"/>
  <c r="F289" i="140"/>
  <c r="T289" i="140" s="1"/>
  <c r="G289" i="140"/>
  <c r="U289" i="140" s="1"/>
  <c r="H289" i="140"/>
  <c r="I289" i="140"/>
  <c r="J289" i="140"/>
  <c r="K289" i="140"/>
  <c r="M289" i="140"/>
  <c r="N289" i="140"/>
  <c r="O289" i="140"/>
  <c r="P289" i="140"/>
  <c r="V289" i="140" s="1"/>
  <c r="Q289" i="140"/>
  <c r="R289" i="140"/>
  <c r="C290" i="140"/>
  <c r="D290" i="140"/>
  <c r="E290" i="140"/>
  <c r="F290" i="140"/>
  <c r="G290" i="140"/>
  <c r="H290" i="140"/>
  <c r="I290" i="140"/>
  <c r="J290" i="140"/>
  <c r="K290" i="140"/>
  <c r="M290" i="140"/>
  <c r="N290" i="140"/>
  <c r="O290" i="140"/>
  <c r="P290" i="140"/>
  <c r="Q290" i="140"/>
  <c r="T290" i="140" s="1"/>
  <c r="R290" i="140"/>
  <c r="S290" i="140"/>
  <c r="U290" i="140"/>
  <c r="V290" i="140"/>
  <c r="C291" i="140"/>
  <c r="D291" i="140"/>
  <c r="E291" i="140"/>
  <c r="S291" i="140" s="1"/>
  <c r="F291" i="140"/>
  <c r="G291" i="140"/>
  <c r="U291" i="140" s="1"/>
  <c r="H291" i="140"/>
  <c r="J291" i="140"/>
  <c r="K291" i="140"/>
  <c r="M291" i="140"/>
  <c r="N291" i="140"/>
  <c r="O291" i="140"/>
  <c r="P291" i="140"/>
  <c r="Q291" i="140"/>
  <c r="T291" i="140" s="1"/>
  <c r="R291" i="140"/>
  <c r="V291" i="140"/>
  <c r="C292" i="140"/>
  <c r="D292" i="140"/>
  <c r="E292" i="140"/>
  <c r="F292" i="140"/>
  <c r="T292" i="140" s="1"/>
  <c r="G292" i="140"/>
  <c r="H292" i="140"/>
  <c r="I292" i="140"/>
  <c r="J292" i="140"/>
  <c r="K292" i="140"/>
  <c r="M292" i="140"/>
  <c r="N292" i="140"/>
  <c r="O292" i="140"/>
  <c r="P292" i="140"/>
  <c r="Q292" i="140"/>
  <c r="R292" i="140"/>
  <c r="S292" i="140"/>
  <c r="U292" i="140"/>
  <c r="V292" i="140"/>
  <c r="C293" i="140"/>
  <c r="D293" i="140"/>
  <c r="E293" i="140"/>
  <c r="G293" i="140"/>
  <c r="U293" i="140" s="1"/>
  <c r="H293" i="140"/>
  <c r="I293" i="140"/>
  <c r="J293" i="140"/>
  <c r="K293" i="140"/>
  <c r="M293" i="140"/>
  <c r="N293" i="140"/>
  <c r="O293" i="140"/>
  <c r="P293" i="140"/>
  <c r="V293" i="140" s="1"/>
  <c r="Q293" i="140"/>
  <c r="R293" i="140"/>
  <c r="S293" i="140"/>
  <c r="C294" i="140"/>
  <c r="D294" i="140"/>
  <c r="E294" i="140"/>
  <c r="F294" i="140"/>
  <c r="G294" i="140"/>
  <c r="U294" i="140" s="1"/>
  <c r="H294" i="140"/>
  <c r="I294" i="140"/>
  <c r="J294" i="140"/>
  <c r="K294" i="140"/>
  <c r="M294" i="140"/>
  <c r="N294" i="140"/>
  <c r="O294" i="140"/>
  <c r="P294" i="140"/>
  <c r="Q294" i="140"/>
  <c r="R294" i="140"/>
  <c r="C295" i="140"/>
  <c r="D295" i="140"/>
  <c r="E295" i="140"/>
  <c r="S295" i="140" s="1"/>
  <c r="F295" i="140"/>
  <c r="T295" i="140" s="1"/>
  <c r="G295" i="140"/>
  <c r="H295" i="140"/>
  <c r="I295" i="140"/>
  <c r="J295" i="140"/>
  <c r="K295" i="140"/>
  <c r="M295" i="140"/>
  <c r="N295" i="140"/>
  <c r="O295" i="140"/>
  <c r="P295" i="140"/>
  <c r="Q295" i="140"/>
  <c r="R295" i="140"/>
  <c r="U295" i="140" s="1"/>
  <c r="V295" i="140"/>
  <c r="C296" i="140"/>
  <c r="D296" i="140"/>
  <c r="E296" i="140"/>
  <c r="F296" i="140"/>
  <c r="T296" i="140" s="1"/>
  <c r="G296" i="140"/>
  <c r="H296" i="140"/>
  <c r="I296" i="140"/>
  <c r="J296" i="140"/>
  <c r="K296" i="140"/>
  <c r="M296" i="140"/>
  <c r="N296" i="140"/>
  <c r="O296" i="140"/>
  <c r="P296" i="140"/>
  <c r="Q296" i="140"/>
  <c r="R296" i="140"/>
  <c r="U296" i="140" s="1"/>
  <c r="S296" i="140"/>
  <c r="V296" i="140"/>
  <c r="C297" i="140"/>
  <c r="D297" i="140"/>
  <c r="E297" i="140"/>
  <c r="F297" i="140"/>
  <c r="G297" i="140"/>
  <c r="U297" i="140" s="1"/>
  <c r="H297" i="140"/>
  <c r="I297" i="140"/>
  <c r="J297" i="140"/>
  <c r="K297" i="140"/>
  <c r="M297" i="140"/>
  <c r="N297" i="140"/>
  <c r="O297" i="140"/>
  <c r="V297" i="140" s="1"/>
  <c r="P297" i="140"/>
  <c r="Q297" i="140"/>
  <c r="R297" i="140"/>
  <c r="S297" i="140"/>
  <c r="T297" i="140"/>
  <c r="C298" i="140"/>
  <c r="D298" i="140"/>
  <c r="G298" i="140"/>
  <c r="H298" i="140"/>
  <c r="I298" i="140"/>
  <c r="J298" i="140"/>
  <c r="K298" i="140"/>
  <c r="M298" i="140"/>
  <c r="N298" i="140"/>
  <c r="O298" i="140"/>
  <c r="V298" i="140" s="1"/>
  <c r="P298" i="140"/>
  <c r="Q298" i="140"/>
  <c r="R298" i="140"/>
  <c r="U298" i="140"/>
  <c r="C299" i="140"/>
  <c r="D299" i="140"/>
  <c r="E299" i="140"/>
  <c r="F299" i="140"/>
  <c r="G299" i="140"/>
  <c r="M299" i="140"/>
  <c r="Q299" i="140"/>
  <c r="T299" i="140" s="1"/>
  <c r="C300" i="140"/>
  <c r="D300" i="140"/>
  <c r="E300" i="140"/>
  <c r="F300" i="140"/>
  <c r="G300" i="140"/>
  <c r="U300" i="140" s="1"/>
  <c r="K300" i="140"/>
  <c r="M300" i="140"/>
  <c r="N300" i="140"/>
  <c r="Q300" i="140"/>
  <c r="R300" i="140"/>
  <c r="C301" i="140"/>
  <c r="D301" i="140"/>
  <c r="E301" i="140"/>
  <c r="F301" i="140"/>
  <c r="G301" i="140"/>
  <c r="J301" i="140"/>
  <c r="M301" i="140"/>
  <c r="N301" i="140"/>
  <c r="O301" i="140"/>
  <c r="Q301" i="140"/>
  <c r="R301" i="140"/>
  <c r="T301" i="140"/>
  <c r="U301" i="140"/>
  <c r="C302" i="140"/>
  <c r="D302" i="140"/>
  <c r="E302" i="140"/>
  <c r="F302" i="140"/>
  <c r="G302" i="140"/>
  <c r="H302" i="140"/>
  <c r="I302" i="140"/>
  <c r="J302" i="140"/>
  <c r="K302" i="140"/>
  <c r="M302" i="140"/>
  <c r="N302" i="140"/>
  <c r="O302" i="140"/>
  <c r="P302" i="140"/>
  <c r="Q302" i="140"/>
  <c r="R302" i="140"/>
  <c r="T302" i="140"/>
  <c r="C303" i="140"/>
  <c r="D303" i="140"/>
  <c r="E303" i="140"/>
  <c r="S303" i="140" s="1"/>
  <c r="F303" i="140"/>
  <c r="T303" i="140" s="1"/>
  <c r="G303" i="140"/>
  <c r="H303" i="140"/>
  <c r="I303" i="140"/>
  <c r="J303" i="140"/>
  <c r="K303" i="140"/>
  <c r="M303" i="140"/>
  <c r="N303" i="140"/>
  <c r="O303" i="140"/>
  <c r="P303" i="140"/>
  <c r="V303" i="140" s="1"/>
  <c r="Q303" i="140"/>
  <c r="R303" i="140"/>
  <c r="C304" i="140"/>
  <c r="D304" i="140"/>
  <c r="E304" i="140"/>
  <c r="S304" i="140" s="1"/>
  <c r="F304" i="140"/>
  <c r="G304" i="140"/>
  <c r="H304" i="140"/>
  <c r="I304" i="140"/>
  <c r="J304" i="140"/>
  <c r="K304" i="140"/>
  <c r="M304" i="140"/>
  <c r="N304" i="140"/>
  <c r="O304" i="140"/>
  <c r="P304" i="140"/>
  <c r="Q304" i="140"/>
  <c r="R304" i="140"/>
  <c r="T304" i="140"/>
  <c r="U304" i="140"/>
  <c r="V304" i="140"/>
  <c r="C305" i="140"/>
  <c r="D305" i="140"/>
  <c r="E305" i="140"/>
  <c r="F305" i="140"/>
  <c r="G305" i="140"/>
  <c r="H305" i="140"/>
  <c r="I305" i="140"/>
  <c r="J305" i="140"/>
  <c r="K305" i="140"/>
  <c r="M305" i="140"/>
  <c r="N305" i="140"/>
  <c r="O305" i="140"/>
  <c r="P305" i="140"/>
  <c r="Q305" i="140"/>
  <c r="R305" i="140"/>
  <c r="S305" i="140"/>
  <c r="V305" i="140"/>
  <c r="C306" i="140"/>
  <c r="D306" i="140"/>
  <c r="E306" i="140"/>
  <c r="F306" i="140"/>
  <c r="G306" i="140"/>
  <c r="U306" i="140" s="1"/>
  <c r="H306" i="140"/>
  <c r="I306" i="140"/>
  <c r="J306" i="140"/>
  <c r="K306" i="140"/>
  <c r="M306" i="140"/>
  <c r="N306" i="140"/>
  <c r="O306" i="140"/>
  <c r="P306" i="140"/>
  <c r="Q306" i="140"/>
  <c r="R306" i="140"/>
  <c r="C307" i="140"/>
  <c r="D307" i="140"/>
  <c r="E307" i="140"/>
  <c r="S307" i="140" s="1"/>
  <c r="F307" i="140"/>
  <c r="G307" i="140"/>
  <c r="I307" i="140"/>
  <c r="J307" i="140"/>
  <c r="K307" i="140"/>
  <c r="M307" i="140"/>
  <c r="N307" i="140"/>
  <c r="P307" i="140"/>
  <c r="Q307" i="140"/>
  <c r="T307" i="140" s="1"/>
  <c r="R307" i="140"/>
  <c r="U307" i="140"/>
  <c r="C308" i="140"/>
  <c r="D308" i="140"/>
  <c r="E308" i="140"/>
  <c r="F308" i="140"/>
  <c r="T308" i="140" s="1"/>
  <c r="G308" i="140"/>
  <c r="H308" i="140"/>
  <c r="I308" i="140"/>
  <c r="J308" i="140"/>
  <c r="K308" i="140"/>
  <c r="M308" i="140"/>
  <c r="N308" i="140"/>
  <c r="O308" i="140"/>
  <c r="P308" i="140"/>
  <c r="V308" i="140" s="1"/>
  <c r="Q308" i="140"/>
  <c r="R308" i="140"/>
  <c r="U308" i="140" s="1"/>
  <c r="S308" i="140"/>
  <c r="C309" i="140"/>
  <c r="D309" i="140"/>
  <c r="E309" i="140"/>
  <c r="F309" i="140"/>
  <c r="T309" i="140" s="1"/>
  <c r="G309" i="140"/>
  <c r="U309" i="140" s="1"/>
  <c r="I309" i="140"/>
  <c r="J309" i="140"/>
  <c r="K309" i="140"/>
  <c r="M309" i="140"/>
  <c r="N309" i="140"/>
  <c r="P309" i="140"/>
  <c r="Q309" i="140"/>
  <c r="R309" i="140"/>
  <c r="S309" i="140"/>
  <c r="C310" i="140"/>
  <c r="D310" i="140"/>
  <c r="E310" i="140"/>
  <c r="F310" i="140"/>
  <c r="G310" i="140"/>
  <c r="H310" i="140"/>
  <c r="I310" i="140"/>
  <c r="J310" i="140"/>
  <c r="K310" i="140"/>
  <c r="M310" i="140"/>
  <c r="N310" i="140"/>
  <c r="O310" i="140"/>
  <c r="P310" i="140"/>
  <c r="Q310" i="140"/>
  <c r="R310" i="140"/>
  <c r="T310" i="140"/>
  <c r="C311" i="140"/>
  <c r="D311" i="140"/>
  <c r="E311" i="140"/>
  <c r="F311" i="140"/>
  <c r="G311" i="140"/>
  <c r="I311" i="140"/>
  <c r="J311" i="140"/>
  <c r="K311" i="140"/>
  <c r="M311" i="140"/>
  <c r="N311" i="140"/>
  <c r="P311" i="140"/>
  <c r="Q311" i="140"/>
  <c r="T311" i="140" s="1"/>
  <c r="R311" i="140"/>
  <c r="U311" i="140"/>
  <c r="C312" i="140"/>
  <c r="D312" i="140"/>
  <c r="E312" i="140"/>
  <c r="F312" i="140"/>
  <c r="G312" i="140"/>
  <c r="H312" i="140"/>
  <c r="I312" i="140"/>
  <c r="J312" i="140"/>
  <c r="K312" i="140"/>
  <c r="M312" i="140"/>
  <c r="N312" i="140"/>
  <c r="O312" i="140"/>
  <c r="P312" i="140"/>
  <c r="Q312" i="140"/>
  <c r="R312" i="140"/>
  <c r="U312" i="140" s="1"/>
  <c r="S312" i="140"/>
  <c r="T312" i="140"/>
  <c r="V312" i="140"/>
  <c r="C313" i="140"/>
  <c r="D313" i="140"/>
  <c r="E313" i="140"/>
  <c r="F313" i="140"/>
  <c r="G313" i="140"/>
  <c r="U313" i="140" s="1"/>
  <c r="J313" i="140"/>
  <c r="K313" i="140"/>
  <c r="M313" i="140"/>
  <c r="N313" i="140"/>
  <c r="P313" i="140"/>
  <c r="Q313" i="140"/>
  <c r="R313" i="140"/>
  <c r="S313" i="140"/>
  <c r="C314" i="140"/>
  <c r="D314" i="140"/>
  <c r="E314" i="140"/>
  <c r="S314" i="140" s="1"/>
  <c r="F314" i="140"/>
  <c r="G314" i="140"/>
  <c r="H314" i="140"/>
  <c r="I314" i="140"/>
  <c r="J314" i="140"/>
  <c r="K314" i="140"/>
  <c r="M314" i="140"/>
  <c r="N314" i="140"/>
  <c r="O314" i="140"/>
  <c r="P314" i="140"/>
  <c r="Q314" i="140"/>
  <c r="R314" i="140"/>
  <c r="U314" i="140"/>
  <c r="V314" i="140"/>
  <c r="C315" i="140"/>
  <c r="E315" i="140"/>
  <c r="S315" i="140" s="1"/>
  <c r="F315" i="140"/>
  <c r="H315" i="140"/>
  <c r="I315" i="140"/>
  <c r="J315" i="140"/>
  <c r="K315" i="140"/>
  <c r="M315" i="140"/>
  <c r="N315" i="140"/>
  <c r="P315" i="140"/>
  <c r="Q315" i="140"/>
  <c r="R315" i="140"/>
  <c r="T315" i="140"/>
  <c r="C316" i="140"/>
  <c r="D316" i="140"/>
  <c r="E316" i="140"/>
  <c r="F316" i="140"/>
  <c r="G316" i="140"/>
  <c r="M316" i="140"/>
  <c r="N316" i="140"/>
  <c r="C317" i="140"/>
  <c r="D317" i="140"/>
  <c r="E317" i="140"/>
  <c r="F317" i="140"/>
  <c r="T317" i="140" s="1"/>
  <c r="G317" i="140"/>
  <c r="H317" i="140"/>
  <c r="I317" i="140"/>
  <c r="J317" i="140"/>
  <c r="K317" i="140"/>
  <c r="M317" i="140"/>
  <c r="N317" i="140"/>
  <c r="O317" i="140"/>
  <c r="P317" i="140"/>
  <c r="Q317" i="140"/>
  <c r="C318" i="140"/>
  <c r="D318" i="140"/>
  <c r="E318" i="140"/>
  <c r="F318" i="140"/>
  <c r="G318" i="140"/>
  <c r="U318" i="140" s="1"/>
  <c r="H318" i="140"/>
  <c r="I318" i="140"/>
  <c r="K318" i="140"/>
  <c r="M318" i="140"/>
  <c r="N318" i="140"/>
  <c r="O318" i="140"/>
  <c r="P318" i="140"/>
  <c r="Q318" i="140"/>
  <c r="T318" i="140" s="1"/>
  <c r="R318" i="140"/>
  <c r="C319" i="140"/>
  <c r="D319" i="140"/>
  <c r="E319" i="140"/>
  <c r="F319" i="140"/>
  <c r="G319" i="140"/>
  <c r="U319" i="140" s="1"/>
  <c r="H319" i="140"/>
  <c r="I319" i="140"/>
  <c r="K319" i="140"/>
  <c r="M319" i="140"/>
  <c r="N319" i="140"/>
  <c r="O319" i="140"/>
  <c r="P319" i="140"/>
  <c r="V319" i="140" s="1"/>
  <c r="Q319" i="140"/>
  <c r="R319" i="140"/>
  <c r="C320" i="140"/>
  <c r="D320" i="140"/>
  <c r="E320" i="140"/>
  <c r="S320" i="140" s="1"/>
  <c r="F320" i="140"/>
  <c r="T320" i="140" s="1"/>
  <c r="G320" i="140"/>
  <c r="H320" i="140"/>
  <c r="I320" i="140"/>
  <c r="J320" i="140"/>
  <c r="K320" i="140"/>
  <c r="M320" i="140"/>
  <c r="N320" i="140"/>
  <c r="O320" i="140"/>
  <c r="V320" i="140" s="1"/>
  <c r="P320" i="140"/>
  <c r="Q320" i="140"/>
  <c r="R320" i="140"/>
  <c r="U320" i="140" s="1"/>
  <c r="C321" i="140"/>
  <c r="D321" i="140"/>
  <c r="E321" i="140"/>
  <c r="F321" i="140"/>
  <c r="G321" i="140"/>
  <c r="U321" i="140" s="1"/>
  <c r="H321" i="140"/>
  <c r="I321" i="140"/>
  <c r="J321" i="140"/>
  <c r="K321" i="140"/>
  <c r="M321" i="140"/>
  <c r="N321" i="140"/>
  <c r="O321" i="140"/>
  <c r="P321" i="140"/>
  <c r="V321" i="140" s="1"/>
  <c r="Q321" i="140"/>
  <c r="R321" i="140"/>
  <c r="T321" i="140"/>
  <c r="C322" i="140"/>
  <c r="D322" i="140"/>
  <c r="E322" i="140"/>
  <c r="F322" i="140"/>
  <c r="G322" i="140"/>
  <c r="H322" i="140"/>
  <c r="I322" i="140"/>
  <c r="J322" i="140"/>
  <c r="K322" i="140"/>
  <c r="M322" i="140"/>
  <c r="N322" i="140"/>
  <c r="O322" i="140"/>
  <c r="P322" i="140"/>
  <c r="Q322" i="140"/>
  <c r="R322" i="140"/>
  <c r="T322" i="140"/>
  <c r="U322" i="140"/>
  <c r="V322" i="140"/>
  <c r="C323" i="140"/>
  <c r="D323" i="140"/>
  <c r="E323" i="140"/>
  <c r="F323" i="140"/>
  <c r="G323" i="140"/>
  <c r="H323" i="140"/>
  <c r="I323" i="140"/>
  <c r="K323" i="140"/>
  <c r="M323" i="140"/>
  <c r="N323" i="140"/>
  <c r="O323" i="140"/>
  <c r="P323" i="140"/>
  <c r="Q323" i="140"/>
  <c r="T323" i="140" s="1"/>
  <c r="R323" i="140"/>
  <c r="U323" i="140" s="1"/>
  <c r="S323" i="140"/>
  <c r="V323" i="140"/>
  <c r="C324" i="140"/>
  <c r="D324" i="140"/>
  <c r="E324" i="140"/>
  <c r="F324" i="140"/>
  <c r="T324" i="140" s="1"/>
  <c r="G324" i="140"/>
  <c r="U324" i="140" s="1"/>
  <c r="H324" i="140"/>
  <c r="I324" i="140"/>
  <c r="J324" i="140"/>
  <c r="K324" i="140"/>
  <c r="M324" i="140"/>
  <c r="N324" i="140"/>
  <c r="O324" i="140"/>
  <c r="P324" i="140"/>
  <c r="Q324" i="140"/>
  <c r="R324" i="140"/>
  <c r="C325" i="140"/>
  <c r="D325" i="140"/>
  <c r="E325" i="140"/>
  <c r="S325" i="140" s="1"/>
  <c r="F325" i="140"/>
  <c r="G325" i="140"/>
  <c r="U325" i="140" s="1"/>
  <c r="I325" i="140"/>
  <c r="J325" i="140"/>
  <c r="K325" i="140"/>
  <c r="M325" i="140"/>
  <c r="N325" i="140"/>
  <c r="O325" i="140"/>
  <c r="V325" i="140" s="1"/>
  <c r="P325" i="140"/>
  <c r="Q325" i="140"/>
  <c r="R325" i="140"/>
  <c r="T325" i="140"/>
  <c r="C326" i="140"/>
  <c r="D326" i="140"/>
  <c r="E326" i="140"/>
  <c r="F326" i="140"/>
  <c r="G326" i="140"/>
  <c r="U326" i="140" s="1"/>
  <c r="I326" i="140"/>
  <c r="M326" i="140"/>
  <c r="P326" i="140"/>
  <c r="Q326" i="140"/>
  <c r="R326" i="140"/>
  <c r="T326" i="140"/>
  <c r="C327" i="140"/>
  <c r="D327" i="140"/>
  <c r="E327" i="140"/>
  <c r="S327" i="140" s="1"/>
  <c r="F327" i="140"/>
  <c r="G327" i="140"/>
  <c r="U327" i="140" s="1"/>
  <c r="I327" i="140"/>
  <c r="J327" i="140"/>
  <c r="K327" i="140"/>
  <c r="M327" i="140"/>
  <c r="N327" i="140"/>
  <c r="P327" i="140"/>
  <c r="Q327" i="140"/>
  <c r="T327" i="140" s="1"/>
  <c r="R327" i="140"/>
  <c r="C328" i="140"/>
  <c r="D328" i="140"/>
  <c r="E328" i="140"/>
  <c r="F328" i="140"/>
  <c r="G328" i="140"/>
  <c r="H328" i="140"/>
  <c r="J328" i="140"/>
  <c r="K328" i="140"/>
  <c r="M328" i="140"/>
  <c r="N328" i="140"/>
  <c r="O328" i="140"/>
  <c r="V328" i="140" s="1"/>
  <c r="P328" i="140"/>
  <c r="Q328" i="140"/>
  <c r="R328" i="140"/>
  <c r="S328" i="140"/>
  <c r="T328" i="140"/>
  <c r="U328" i="140"/>
  <c r="C329" i="140"/>
  <c r="D329" i="140"/>
  <c r="E329" i="140"/>
  <c r="F329" i="140"/>
  <c r="G329" i="140"/>
  <c r="H329" i="140"/>
  <c r="I329" i="140"/>
  <c r="J329" i="140"/>
  <c r="K329" i="140"/>
  <c r="M329" i="140"/>
  <c r="N329" i="140"/>
  <c r="O329" i="140"/>
  <c r="P329" i="140"/>
  <c r="V329" i="140" s="1"/>
  <c r="Q329" i="140"/>
  <c r="R329" i="140"/>
  <c r="S329" i="140"/>
  <c r="T329" i="140"/>
  <c r="C330" i="140"/>
  <c r="D330" i="140"/>
  <c r="E330" i="140"/>
  <c r="S330" i="140" s="1"/>
  <c r="F330" i="140"/>
  <c r="G330" i="140"/>
  <c r="U330" i="140" s="1"/>
  <c r="H330" i="140"/>
  <c r="I330" i="140"/>
  <c r="J330" i="140"/>
  <c r="K330" i="140"/>
  <c r="M330" i="140"/>
  <c r="N330" i="140"/>
  <c r="O330" i="140"/>
  <c r="P330" i="140"/>
  <c r="V330" i="140" s="1"/>
  <c r="Q330" i="140"/>
  <c r="R330" i="140"/>
  <c r="T330" i="140"/>
  <c r="C331" i="140"/>
  <c r="D331" i="140"/>
  <c r="E331" i="140"/>
  <c r="S331" i="140" s="1"/>
  <c r="G331" i="140"/>
  <c r="I331" i="140"/>
  <c r="M331" i="140"/>
  <c r="N331" i="140"/>
  <c r="P331" i="140"/>
  <c r="Q331" i="140"/>
  <c r="R331" i="140"/>
  <c r="C332" i="140"/>
  <c r="D332" i="140"/>
  <c r="E332" i="140"/>
  <c r="F332" i="140"/>
  <c r="T332" i="140" s="1"/>
  <c r="G332" i="140"/>
  <c r="U332" i="140" s="1"/>
  <c r="H332" i="140"/>
  <c r="I332" i="140"/>
  <c r="J332" i="140"/>
  <c r="K332" i="140"/>
  <c r="M332" i="140"/>
  <c r="N332" i="140"/>
  <c r="O332" i="140"/>
  <c r="P332" i="140"/>
  <c r="V332" i="140" s="1"/>
  <c r="Q332" i="140"/>
  <c r="R332" i="140"/>
  <c r="S332" i="140"/>
  <c r="M333" i="140"/>
  <c r="N333" i="140"/>
  <c r="P333" i="140"/>
  <c r="Q333" i="140"/>
  <c r="R333" i="140"/>
  <c r="C334" i="140"/>
  <c r="D334" i="140"/>
  <c r="E334" i="140"/>
  <c r="F334" i="140"/>
  <c r="G334" i="140"/>
  <c r="U334" i="140" s="1"/>
  <c r="H334" i="140"/>
  <c r="I334" i="140"/>
  <c r="J334" i="140"/>
  <c r="K334" i="140"/>
  <c r="M334" i="140"/>
  <c r="N334" i="140"/>
  <c r="O334" i="140"/>
  <c r="P334" i="140"/>
  <c r="Q334" i="140"/>
  <c r="R334" i="140"/>
  <c r="T334" i="140"/>
  <c r="C335" i="140"/>
  <c r="D335" i="140"/>
  <c r="E335" i="140"/>
  <c r="F335" i="140"/>
  <c r="G335" i="140"/>
  <c r="M335" i="140"/>
  <c r="C336" i="140"/>
  <c r="D336" i="140"/>
  <c r="E336" i="140"/>
  <c r="F336" i="140"/>
  <c r="G336" i="140"/>
  <c r="M336" i="140"/>
  <c r="C337" i="140"/>
  <c r="D337" i="140"/>
  <c r="E337" i="140"/>
  <c r="S337" i="140" s="1"/>
  <c r="F337" i="140"/>
  <c r="G337" i="140"/>
  <c r="H337" i="140"/>
  <c r="I337" i="140"/>
  <c r="J337" i="140"/>
  <c r="K337" i="140"/>
  <c r="M337" i="140"/>
  <c r="N337" i="140"/>
  <c r="O337" i="140"/>
  <c r="P337" i="140"/>
  <c r="Q337" i="140"/>
  <c r="R337" i="140"/>
  <c r="T337" i="140"/>
  <c r="V337" i="140"/>
  <c r="C338" i="140"/>
  <c r="D338" i="140"/>
  <c r="E338" i="140"/>
  <c r="F338" i="140"/>
  <c r="G338" i="140"/>
  <c r="U338" i="140" s="1"/>
  <c r="H338" i="140"/>
  <c r="I338" i="140"/>
  <c r="K338" i="140"/>
  <c r="M338" i="140"/>
  <c r="N338" i="140"/>
  <c r="O338" i="140"/>
  <c r="P338" i="140"/>
  <c r="V338" i="140" s="1"/>
  <c r="Q338" i="140"/>
  <c r="R338" i="140"/>
  <c r="S338" i="140"/>
  <c r="T338" i="140"/>
  <c r="C339" i="140"/>
  <c r="E339" i="140"/>
  <c r="F339" i="140"/>
  <c r="G339" i="140"/>
  <c r="K339" i="140"/>
  <c r="M339" i="140"/>
  <c r="N339" i="140"/>
  <c r="P339" i="140"/>
  <c r="Q339" i="140"/>
  <c r="T339" i="140" s="1"/>
  <c r="R339" i="140"/>
  <c r="S339" i="140"/>
  <c r="C340" i="140"/>
  <c r="D340" i="140"/>
  <c r="E340" i="140"/>
  <c r="F340" i="140"/>
  <c r="T340" i="140" s="1"/>
  <c r="G340" i="140"/>
  <c r="U340" i="140" s="1"/>
  <c r="H340" i="140"/>
  <c r="I340" i="140"/>
  <c r="J340" i="140"/>
  <c r="K340" i="140"/>
  <c r="M340" i="140"/>
  <c r="N340" i="140"/>
  <c r="O340" i="140"/>
  <c r="P340" i="140"/>
  <c r="V340" i="140" s="1"/>
  <c r="Q340" i="140"/>
  <c r="R340" i="140"/>
  <c r="C341" i="140"/>
  <c r="D341" i="140"/>
  <c r="E341" i="140"/>
  <c r="F341" i="140"/>
  <c r="G341" i="140"/>
  <c r="U341" i="140" s="1"/>
  <c r="I341" i="140"/>
  <c r="J341" i="140"/>
  <c r="M341" i="140"/>
  <c r="N341" i="140"/>
  <c r="O341" i="140"/>
  <c r="V341" i="140" s="1"/>
  <c r="P341" i="140"/>
  <c r="Q341" i="140"/>
  <c r="R341" i="140"/>
  <c r="S341" i="140"/>
  <c r="T341" i="140"/>
  <c r="C342" i="140"/>
  <c r="E342" i="140"/>
  <c r="F342" i="140"/>
  <c r="G342" i="140"/>
  <c r="I342" i="140"/>
  <c r="J342" i="140"/>
  <c r="K342" i="140"/>
  <c r="M342" i="140"/>
  <c r="N342" i="140"/>
  <c r="P342" i="140"/>
  <c r="Q342" i="140"/>
  <c r="R342" i="140"/>
  <c r="S342" i="140"/>
  <c r="C343" i="140"/>
  <c r="D343" i="140"/>
  <c r="E343" i="140"/>
  <c r="F343" i="140"/>
  <c r="G343" i="140"/>
  <c r="M343" i="140"/>
  <c r="C344" i="140"/>
  <c r="D344" i="140"/>
  <c r="E344" i="140"/>
  <c r="F344" i="140"/>
  <c r="G344" i="140"/>
  <c r="H344" i="140"/>
  <c r="M344" i="140"/>
  <c r="N344" i="140"/>
  <c r="C345" i="140"/>
  <c r="D345" i="140"/>
  <c r="E345" i="140"/>
  <c r="F345" i="140"/>
  <c r="G345" i="140"/>
  <c r="M345" i="140"/>
  <c r="C346" i="140"/>
  <c r="D346" i="140"/>
  <c r="E346" i="140"/>
  <c r="F346" i="140"/>
  <c r="G346" i="140"/>
  <c r="H346" i="140"/>
  <c r="I346" i="140"/>
  <c r="J346" i="140"/>
  <c r="K346" i="140"/>
  <c r="M346" i="140"/>
  <c r="N346" i="140"/>
  <c r="O346" i="140"/>
  <c r="P346" i="140"/>
  <c r="Q346" i="140"/>
  <c r="R346" i="140"/>
  <c r="T346" i="140"/>
  <c r="U346" i="140"/>
  <c r="C347" i="140"/>
  <c r="D347" i="140"/>
  <c r="E347" i="140"/>
  <c r="F347" i="140"/>
  <c r="G347" i="140"/>
  <c r="H347" i="140"/>
  <c r="I347" i="140"/>
  <c r="J347" i="140"/>
  <c r="K347" i="140"/>
  <c r="M347" i="140"/>
  <c r="N347" i="140"/>
  <c r="P347" i="140"/>
  <c r="Q347" i="140"/>
  <c r="T347" i="140" s="1"/>
  <c r="R347" i="140"/>
  <c r="S347" i="140"/>
  <c r="U347" i="140"/>
  <c r="C348" i="140"/>
  <c r="D348" i="140"/>
  <c r="E348" i="140"/>
  <c r="F348" i="140"/>
  <c r="T348" i="140" s="1"/>
  <c r="G348" i="140"/>
  <c r="I348" i="140"/>
  <c r="J348" i="140"/>
  <c r="K348" i="140"/>
  <c r="M348" i="140"/>
  <c r="N348" i="140"/>
  <c r="P348" i="140"/>
  <c r="Q348" i="140"/>
  <c r="R348" i="140"/>
  <c r="S348" i="140"/>
  <c r="U348" i="140"/>
  <c r="C349" i="140"/>
  <c r="D349" i="140"/>
  <c r="E349" i="140"/>
  <c r="F349" i="140"/>
  <c r="G349" i="140"/>
  <c r="H349" i="140"/>
  <c r="I349" i="140"/>
  <c r="J349" i="140"/>
  <c r="K349" i="140"/>
  <c r="M349" i="140"/>
  <c r="N349" i="140"/>
  <c r="O349" i="140"/>
  <c r="P349" i="140"/>
  <c r="V349" i="140" s="1"/>
  <c r="R349" i="140"/>
  <c r="S349" i="140"/>
  <c r="U349" i="140"/>
  <c r="C350" i="140"/>
  <c r="D350" i="140"/>
  <c r="E350" i="140"/>
  <c r="F350" i="140"/>
  <c r="T350" i="140" s="1"/>
  <c r="G350" i="140"/>
  <c r="H350" i="140"/>
  <c r="I350" i="140"/>
  <c r="J350" i="140"/>
  <c r="K350" i="140"/>
  <c r="M350" i="140"/>
  <c r="N350" i="140"/>
  <c r="O350" i="140"/>
  <c r="P350" i="140"/>
  <c r="Q350" i="140"/>
  <c r="R350" i="140"/>
  <c r="D351" i="140"/>
  <c r="E351" i="140"/>
  <c r="S351" i="140" s="1"/>
  <c r="F351" i="140"/>
  <c r="T351" i="140" s="1"/>
  <c r="G351" i="140"/>
  <c r="H351" i="140"/>
  <c r="I351" i="140"/>
  <c r="J351" i="140"/>
  <c r="K351" i="140"/>
  <c r="M351" i="140"/>
  <c r="N351" i="140"/>
  <c r="O351" i="140"/>
  <c r="V351" i="140" s="1"/>
  <c r="P351" i="140"/>
  <c r="Q351" i="140"/>
  <c r="R351" i="140"/>
  <c r="U351" i="140"/>
  <c r="C352" i="140"/>
  <c r="D352" i="140"/>
  <c r="E352" i="140"/>
  <c r="S352" i="140" s="1"/>
  <c r="F352" i="140"/>
  <c r="G352" i="140"/>
  <c r="H352" i="140"/>
  <c r="I352" i="140"/>
  <c r="J352" i="140"/>
  <c r="K352" i="140"/>
  <c r="M352" i="140"/>
  <c r="N352" i="140"/>
  <c r="O352" i="140"/>
  <c r="P352" i="140"/>
  <c r="Q352" i="140"/>
  <c r="R352" i="140"/>
  <c r="T352" i="140"/>
  <c r="U352" i="140"/>
  <c r="V352" i="140"/>
  <c r="C353" i="140"/>
  <c r="D353" i="140"/>
  <c r="E353" i="140"/>
  <c r="F353" i="140"/>
  <c r="H353" i="140"/>
  <c r="I353" i="140"/>
  <c r="M353" i="140"/>
  <c r="N353" i="140"/>
  <c r="O353" i="140"/>
  <c r="P353" i="140"/>
  <c r="Q353" i="140"/>
  <c r="R353" i="140"/>
  <c r="S353" i="140"/>
  <c r="V353" i="140"/>
  <c r="C354" i="140"/>
  <c r="D354" i="140"/>
  <c r="E354" i="140"/>
  <c r="F354" i="140"/>
  <c r="G354" i="140"/>
  <c r="U354" i="140" s="1"/>
  <c r="H354" i="140"/>
  <c r="I354" i="140"/>
  <c r="J354" i="140"/>
  <c r="K354" i="140"/>
  <c r="M354" i="140"/>
  <c r="N354" i="140"/>
  <c r="O354" i="140"/>
  <c r="P354" i="140"/>
  <c r="Q354" i="140"/>
  <c r="R354" i="140"/>
  <c r="S354" i="140"/>
  <c r="C355" i="140"/>
  <c r="D355" i="140"/>
  <c r="E355" i="140"/>
  <c r="S355" i="140" s="1"/>
  <c r="F355" i="140"/>
  <c r="G355" i="140"/>
  <c r="H355" i="140"/>
  <c r="I355" i="140"/>
  <c r="J355" i="140"/>
  <c r="K355" i="140"/>
  <c r="M355" i="140"/>
  <c r="N355" i="140"/>
  <c r="O355" i="140"/>
  <c r="P355" i="140"/>
  <c r="Q355" i="140"/>
  <c r="R355" i="140"/>
  <c r="T355" i="140"/>
  <c r="U355" i="140"/>
  <c r="V355" i="140"/>
  <c r="C356" i="140"/>
  <c r="D356" i="140"/>
  <c r="E356" i="140"/>
  <c r="F356" i="140"/>
  <c r="T356" i="140" s="1"/>
  <c r="G356" i="140"/>
  <c r="H356" i="140"/>
  <c r="I356" i="140"/>
  <c r="J356" i="140"/>
  <c r="K356" i="140"/>
  <c r="M356" i="140"/>
  <c r="N356" i="140"/>
  <c r="O356" i="140"/>
  <c r="P356" i="140"/>
  <c r="V356" i="140" s="1"/>
  <c r="Q356" i="140"/>
  <c r="R356" i="140"/>
  <c r="U356" i="140" s="1"/>
  <c r="S356" i="140"/>
  <c r="C357" i="140"/>
  <c r="D357" i="140"/>
  <c r="E357" i="140"/>
  <c r="F357" i="140"/>
  <c r="G357" i="140"/>
  <c r="U357" i="140" s="1"/>
  <c r="H357" i="140"/>
  <c r="I357" i="140"/>
  <c r="J357" i="140"/>
  <c r="K357" i="140"/>
  <c r="M357" i="140"/>
  <c r="N357" i="140"/>
  <c r="O357" i="140"/>
  <c r="P357" i="140"/>
  <c r="V357" i="140" s="1"/>
  <c r="Q357" i="140"/>
  <c r="R357" i="140"/>
  <c r="E358" i="140"/>
  <c r="F358" i="140"/>
  <c r="H358" i="140"/>
  <c r="I358" i="140"/>
  <c r="J358" i="140"/>
  <c r="K358" i="140"/>
  <c r="M358" i="140"/>
  <c r="N358" i="140"/>
  <c r="P358" i="140"/>
  <c r="Q358" i="140"/>
  <c r="R358" i="140"/>
  <c r="C359" i="140"/>
  <c r="D359" i="140"/>
  <c r="E359" i="140"/>
  <c r="F359" i="140"/>
  <c r="G359" i="140"/>
  <c r="M359" i="140"/>
  <c r="C360" i="140"/>
  <c r="D360" i="140"/>
  <c r="E360" i="140"/>
  <c r="F360" i="140"/>
  <c r="G360" i="140"/>
  <c r="M360" i="140"/>
  <c r="C361" i="140"/>
  <c r="D361" i="140"/>
  <c r="E361" i="140"/>
  <c r="F361" i="140"/>
  <c r="T361" i="140" s="1"/>
  <c r="G361" i="140"/>
  <c r="I361" i="140"/>
  <c r="J361" i="140"/>
  <c r="K361" i="140"/>
  <c r="M361" i="140"/>
  <c r="N361" i="140"/>
  <c r="P361" i="140"/>
  <c r="Q361" i="140"/>
  <c r="R361" i="140"/>
  <c r="S361" i="140"/>
  <c r="U361" i="140"/>
  <c r="C362" i="140"/>
  <c r="D362" i="140"/>
  <c r="E362" i="140"/>
  <c r="S362" i="140" s="1"/>
  <c r="F362" i="140"/>
  <c r="T362" i="140" s="1"/>
  <c r="G362" i="140"/>
  <c r="H362" i="140"/>
  <c r="I362" i="140"/>
  <c r="J362" i="140"/>
  <c r="K362" i="140"/>
  <c r="M362" i="140"/>
  <c r="N362" i="140"/>
  <c r="O362" i="140"/>
  <c r="P362" i="140"/>
  <c r="Q362" i="140"/>
  <c r="R362" i="140"/>
  <c r="C363" i="140"/>
  <c r="D363" i="140"/>
  <c r="E363" i="140"/>
  <c r="S363" i="140" s="1"/>
  <c r="F363" i="140"/>
  <c r="G363" i="140"/>
  <c r="H363" i="140"/>
  <c r="I363" i="140"/>
  <c r="J363" i="140"/>
  <c r="K363" i="140"/>
  <c r="M363" i="140"/>
  <c r="N363" i="140"/>
  <c r="O363" i="140"/>
  <c r="P363" i="140"/>
  <c r="Q363" i="140"/>
  <c r="T363" i="140" s="1"/>
  <c r="V363" i="140"/>
  <c r="C364" i="140"/>
  <c r="D364" i="140"/>
  <c r="E364" i="140"/>
  <c r="F364" i="140"/>
  <c r="G364" i="140"/>
  <c r="U364" i="140" s="1"/>
  <c r="H364" i="140"/>
  <c r="I364" i="140"/>
  <c r="J364" i="140"/>
  <c r="K364" i="140"/>
  <c r="M364" i="140"/>
  <c r="N364" i="140"/>
  <c r="O364" i="140"/>
  <c r="P364" i="140"/>
  <c r="R364" i="140"/>
  <c r="S364" i="140"/>
  <c r="V364" i="140"/>
  <c r="C365" i="140"/>
  <c r="D365" i="140"/>
  <c r="E365" i="140"/>
  <c r="F365" i="140"/>
  <c r="G365" i="140"/>
  <c r="U365" i="140" s="1"/>
  <c r="H365" i="140"/>
  <c r="I365" i="140"/>
  <c r="J365" i="140"/>
  <c r="K365" i="140"/>
  <c r="M365" i="140"/>
  <c r="N365" i="140"/>
  <c r="O365" i="140"/>
  <c r="P365" i="140"/>
  <c r="Q365" i="140"/>
  <c r="R365" i="140"/>
  <c r="S365" i="140"/>
  <c r="C366" i="140"/>
  <c r="D366" i="140"/>
  <c r="E366" i="140"/>
  <c r="S366" i="140" s="1"/>
  <c r="F366" i="140"/>
  <c r="T366" i="140" s="1"/>
  <c r="G366" i="140"/>
  <c r="H366" i="140"/>
  <c r="I366" i="140"/>
  <c r="J366" i="140"/>
  <c r="K366" i="140"/>
  <c r="M366" i="140"/>
  <c r="N366" i="140"/>
  <c r="O366" i="140"/>
  <c r="P366" i="140"/>
  <c r="Q366" i="140"/>
  <c r="R366" i="140"/>
  <c r="U366" i="140"/>
  <c r="V366" i="140"/>
  <c r="E367" i="140"/>
  <c r="F367" i="140"/>
  <c r="G367" i="140"/>
  <c r="H367" i="140"/>
  <c r="I367" i="140"/>
  <c r="J367" i="140"/>
  <c r="K367" i="140"/>
  <c r="M367" i="140"/>
  <c r="N367" i="140"/>
  <c r="P367" i="140"/>
  <c r="Q367" i="140"/>
  <c r="R367" i="140"/>
  <c r="S367" i="140"/>
  <c r="T367" i="140"/>
  <c r="C368" i="140"/>
  <c r="D368" i="140"/>
  <c r="E368" i="140"/>
  <c r="F368" i="140"/>
  <c r="G368" i="140"/>
  <c r="C369" i="140"/>
  <c r="D369" i="140"/>
  <c r="E369" i="140"/>
  <c r="F369" i="140"/>
  <c r="G369" i="140"/>
  <c r="H369" i="140"/>
  <c r="M369" i="140"/>
  <c r="N369" i="140"/>
  <c r="O369" i="140"/>
  <c r="C370" i="140"/>
  <c r="D370" i="140"/>
  <c r="E370" i="140"/>
  <c r="F370" i="140"/>
  <c r="G370" i="140"/>
  <c r="M370" i="140"/>
  <c r="C371" i="140"/>
  <c r="D371" i="140"/>
  <c r="E371" i="140"/>
  <c r="S371" i="140" s="1"/>
  <c r="F371" i="140"/>
  <c r="T371" i="140" s="1"/>
  <c r="G371" i="140"/>
  <c r="H371" i="140"/>
  <c r="I371" i="140"/>
  <c r="J371" i="140"/>
  <c r="K371" i="140"/>
  <c r="M371" i="140"/>
  <c r="N371" i="140"/>
  <c r="P371" i="140"/>
  <c r="Q371" i="140"/>
  <c r="R371" i="140"/>
  <c r="C372" i="140"/>
  <c r="D372" i="140"/>
  <c r="E372" i="140"/>
  <c r="F372" i="140"/>
  <c r="G372" i="140"/>
  <c r="H372" i="140"/>
  <c r="I372" i="140"/>
  <c r="J372" i="140"/>
  <c r="K372" i="140"/>
  <c r="M372" i="140"/>
  <c r="N372" i="140"/>
  <c r="O372" i="140"/>
  <c r="P372" i="140"/>
  <c r="Q372" i="140"/>
  <c r="S372" i="140"/>
  <c r="T372" i="140"/>
  <c r="C373" i="140"/>
  <c r="D373" i="140"/>
  <c r="E373" i="140"/>
  <c r="S373" i="140" s="1"/>
  <c r="F373" i="140"/>
  <c r="G373" i="140"/>
  <c r="H373" i="140"/>
  <c r="I373" i="140"/>
  <c r="J373" i="140"/>
  <c r="K373" i="140"/>
  <c r="M373" i="140"/>
  <c r="N373" i="140"/>
  <c r="O373" i="140"/>
  <c r="P373" i="140"/>
  <c r="V373" i="140" s="1"/>
  <c r="Q373" i="140"/>
  <c r="R373" i="140"/>
  <c r="T373" i="140"/>
  <c r="C374" i="140"/>
  <c r="D374" i="140"/>
  <c r="E374" i="140"/>
  <c r="S374" i="140" s="1"/>
  <c r="F374" i="140"/>
  <c r="G374" i="140"/>
  <c r="H374" i="140"/>
  <c r="I374" i="140"/>
  <c r="J374" i="140"/>
  <c r="K374" i="140"/>
  <c r="M374" i="140"/>
  <c r="N374" i="140"/>
  <c r="O374" i="140"/>
  <c r="P374" i="140"/>
  <c r="Q374" i="140"/>
  <c r="R374" i="140"/>
  <c r="U374" i="140"/>
  <c r="V374" i="140"/>
  <c r="C375" i="140"/>
  <c r="D375" i="140"/>
  <c r="E375" i="140"/>
  <c r="F375" i="140"/>
  <c r="H375" i="140"/>
  <c r="I375" i="140"/>
  <c r="J375" i="140"/>
  <c r="K375" i="140"/>
  <c r="M375" i="140"/>
  <c r="N375" i="140"/>
  <c r="O375" i="140"/>
  <c r="P375" i="140"/>
  <c r="Q375" i="140"/>
  <c r="R375" i="140"/>
  <c r="S375" i="140"/>
  <c r="T375" i="140"/>
  <c r="V375" i="140"/>
  <c r="C376" i="140"/>
  <c r="E376" i="140"/>
  <c r="F376" i="140"/>
  <c r="G376" i="140"/>
  <c r="U376" i="140" s="1"/>
  <c r="I376" i="140"/>
  <c r="J376" i="140"/>
  <c r="K376" i="140"/>
  <c r="M376" i="140"/>
  <c r="N376" i="140"/>
  <c r="P376" i="140"/>
  <c r="Q376" i="140"/>
  <c r="R376" i="140"/>
  <c r="S376" i="140"/>
  <c r="C377" i="140"/>
  <c r="D377" i="140"/>
  <c r="E377" i="140"/>
  <c r="F377" i="140"/>
  <c r="G377" i="140"/>
  <c r="U377" i="140" s="1"/>
  <c r="H377" i="140"/>
  <c r="I377" i="140"/>
  <c r="J377" i="140"/>
  <c r="K377" i="140"/>
  <c r="M377" i="140"/>
  <c r="N377" i="140"/>
  <c r="O377" i="140"/>
  <c r="P377" i="140"/>
  <c r="V377" i="140" s="1"/>
  <c r="Q377" i="140"/>
  <c r="R377" i="140"/>
  <c r="T377" i="140"/>
  <c r="C378" i="140"/>
  <c r="D378" i="140"/>
  <c r="E378" i="140"/>
  <c r="F378" i="140"/>
  <c r="G378" i="140"/>
  <c r="H378" i="140"/>
  <c r="I378" i="140"/>
  <c r="J378" i="140"/>
  <c r="K378" i="140"/>
  <c r="M378" i="140"/>
  <c r="N378" i="140"/>
  <c r="O378" i="140"/>
  <c r="V378" i="140" s="1"/>
  <c r="P378" i="140"/>
  <c r="Q378" i="140"/>
  <c r="R378" i="140"/>
  <c r="U378" i="140" s="1"/>
  <c r="S378" i="140"/>
  <c r="C379" i="140"/>
  <c r="D379" i="140"/>
  <c r="E379" i="140"/>
  <c r="F379" i="140"/>
  <c r="T379" i="140" s="1"/>
  <c r="G379" i="140"/>
  <c r="U379" i="140" s="1"/>
  <c r="H379" i="140"/>
  <c r="I379" i="140"/>
  <c r="K379" i="140"/>
  <c r="M379" i="140"/>
  <c r="N379" i="140"/>
  <c r="O379" i="140"/>
  <c r="P379" i="140"/>
  <c r="V379" i="140" s="1"/>
  <c r="Q379" i="140"/>
  <c r="R379" i="140"/>
  <c r="C380" i="140"/>
  <c r="D380" i="140"/>
  <c r="E380" i="140"/>
  <c r="F380" i="140"/>
  <c r="T380" i="140" s="1"/>
  <c r="G380" i="140"/>
  <c r="I380" i="140"/>
  <c r="J380" i="140"/>
  <c r="K380" i="140"/>
  <c r="M380" i="140"/>
  <c r="N380" i="140"/>
  <c r="P380" i="140"/>
  <c r="Q380" i="140"/>
  <c r="R380" i="140"/>
  <c r="S380" i="140"/>
  <c r="U380" i="140"/>
  <c r="C381" i="140"/>
  <c r="D381" i="140"/>
  <c r="E381" i="140"/>
  <c r="F381" i="140"/>
  <c r="G381" i="140"/>
  <c r="U381" i="140" s="1"/>
  <c r="H381" i="140"/>
  <c r="K381" i="140"/>
  <c r="M381" i="140"/>
  <c r="N381" i="140"/>
  <c r="O381" i="140"/>
  <c r="Q381" i="140"/>
  <c r="T381" i="140" s="1"/>
  <c r="R381" i="140"/>
  <c r="C382" i="140"/>
  <c r="D382" i="140"/>
  <c r="E382" i="140"/>
  <c r="S382" i="140" s="1"/>
  <c r="F382" i="140"/>
  <c r="G382" i="140"/>
  <c r="H382" i="140"/>
  <c r="I382" i="140"/>
  <c r="J382" i="140"/>
  <c r="K382" i="140"/>
  <c r="M382" i="140"/>
  <c r="N382" i="140"/>
  <c r="O382" i="140"/>
  <c r="V382" i="140" s="1"/>
  <c r="P382" i="140"/>
  <c r="Q382" i="140"/>
  <c r="R382" i="140"/>
  <c r="U382" i="140"/>
  <c r="C383" i="140"/>
  <c r="D383" i="140"/>
  <c r="E383" i="140"/>
  <c r="S383" i="140" s="1"/>
  <c r="F383" i="140"/>
  <c r="G383" i="140"/>
  <c r="U383" i="140" s="1"/>
  <c r="H383" i="140"/>
  <c r="I383" i="140"/>
  <c r="J383" i="140"/>
  <c r="K383" i="140"/>
  <c r="M383" i="140"/>
  <c r="N383" i="140"/>
  <c r="O383" i="140"/>
  <c r="P383" i="140"/>
  <c r="Q383" i="140"/>
  <c r="R383" i="140"/>
  <c r="T383" i="140"/>
  <c r="V383" i="140"/>
  <c r="C384" i="140"/>
  <c r="D384" i="140"/>
  <c r="E384" i="140"/>
  <c r="F384" i="140"/>
  <c r="T384" i="140" s="1"/>
  <c r="G384" i="140"/>
  <c r="U384" i="140" s="1"/>
  <c r="H384" i="140"/>
  <c r="I384" i="140"/>
  <c r="J384" i="140"/>
  <c r="K384" i="140"/>
  <c r="M384" i="140"/>
  <c r="N384" i="140"/>
  <c r="O384" i="140"/>
  <c r="P384" i="140"/>
  <c r="V384" i="140" s="1"/>
  <c r="Q384" i="140"/>
  <c r="R384" i="140"/>
  <c r="S384" i="140"/>
  <c r="C385" i="140"/>
  <c r="D385" i="140"/>
  <c r="E385" i="140"/>
  <c r="F385" i="140"/>
  <c r="G385" i="140"/>
  <c r="U385" i="140" s="1"/>
  <c r="I385" i="140"/>
  <c r="K385" i="140"/>
  <c r="M385" i="140"/>
  <c r="N385" i="140"/>
  <c r="O385" i="140"/>
  <c r="P385" i="140"/>
  <c r="V385" i="140" s="1"/>
  <c r="Q385" i="140"/>
  <c r="R385" i="140"/>
  <c r="T385" i="140"/>
  <c r="C386" i="140"/>
  <c r="E386" i="140"/>
  <c r="H386" i="140"/>
  <c r="I386" i="140"/>
  <c r="J386" i="140"/>
  <c r="K386" i="140"/>
  <c r="M386" i="140"/>
  <c r="N386" i="140"/>
  <c r="P386" i="140"/>
  <c r="Q386" i="140"/>
  <c r="R386" i="140"/>
  <c r="S386" i="140"/>
  <c r="C387" i="140"/>
  <c r="D387" i="140"/>
  <c r="E387" i="140"/>
  <c r="F387" i="140"/>
  <c r="D388" i="140"/>
  <c r="E388" i="140"/>
  <c r="D389" i="140"/>
  <c r="E389" i="140"/>
  <c r="M395" i="140"/>
  <c r="C396" i="140"/>
  <c r="D396" i="140"/>
  <c r="E396" i="140"/>
  <c r="F396" i="140"/>
  <c r="G396" i="140"/>
  <c r="M396" i="140"/>
  <c r="C397" i="140"/>
  <c r="D397" i="140"/>
  <c r="E397" i="140"/>
  <c r="F397" i="140"/>
  <c r="T397" i="140" s="1"/>
  <c r="G397" i="140"/>
  <c r="M397" i="140"/>
  <c r="Q397" i="140"/>
  <c r="C398" i="140"/>
  <c r="D398" i="140"/>
  <c r="E398" i="140"/>
  <c r="F398" i="140"/>
  <c r="G398" i="140"/>
  <c r="U398" i="140" s="1"/>
  <c r="H398" i="140"/>
  <c r="I398" i="140"/>
  <c r="J398" i="140"/>
  <c r="K398" i="140"/>
  <c r="M398" i="140"/>
  <c r="N398" i="140"/>
  <c r="O398" i="140"/>
  <c r="P398" i="140"/>
  <c r="V398" i="140" s="1"/>
  <c r="Q398" i="140"/>
  <c r="R398" i="140"/>
  <c r="T398" i="140"/>
  <c r="C399" i="140"/>
  <c r="D399" i="140"/>
  <c r="E399" i="140"/>
  <c r="F399" i="140"/>
  <c r="G399" i="140"/>
  <c r="H399" i="140"/>
  <c r="I399" i="140"/>
  <c r="J399" i="140"/>
  <c r="K399" i="140"/>
  <c r="M399" i="140"/>
  <c r="N399" i="140"/>
  <c r="O399" i="140"/>
  <c r="V399" i="140" s="1"/>
  <c r="P399" i="140"/>
  <c r="Q399" i="140"/>
  <c r="R399" i="140"/>
  <c r="U399" i="140" s="1"/>
  <c r="S399" i="140"/>
  <c r="C400" i="140"/>
  <c r="D400" i="140"/>
  <c r="H400" i="140"/>
  <c r="M400" i="140"/>
  <c r="N400" i="140"/>
  <c r="O400" i="140"/>
  <c r="C401" i="140"/>
  <c r="D401" i="140"/>
  <c r="E401" i="140"/>
  <c r="F401" i="140"/>
  <c r="G401" i="140"/>
  <c r="M401" i="140"/>
  <c r="N401" i="140"/>
  <c r="C402" i="140"/>
  <c r="D402" i="140"/>
  <c r="E402" i="140"/>
  <c r="F402" i="140"/>
  <c r="G402" i="140"/>
  <c r="E408" i="140"/>
  <c r="G408" i="140"/>
  <c r="H408" i="140"/>
  <c r="I408" i="140"/>
  <c r="J408" i="140"/>
  <c r="K408" i="140"/>
  <c r="O408" i="140"/>
  <c r="C409" i="140"/>
  <c r="D409" i="140"/>
  <c r="E409" i="140"/>
  <c r="F409" i="140"/>
  <c r="G409" i="140"/>
  <c r="H409" i="140"/>
  <c r="I409" i="140"/>
  <c r="J409" i="140"/>
  <c r="K409" i="140"/>
  <c r="O409" i="140"/>
  <c r="Q409" i="140"/>
  <c r="R409" i="140"/>
  <c r="C410" i="140"/>
  <c r="D410" i="140"/>
  <c r="E410" i="140"/>
  <c r="F410" i="140"/>
  <c r="G410" i="140"/>
  <c r="H410" i="140"/>
  <c r="I410" i="140"/>
  <c r="J410" i="140"/>
  <c r="K410" i="140"/>
  <c r="O410" i="140"/>
  <c r="Q410" i="140"/>
  <c r="R410" i="140"/>
  <c r="C411" i="140"/>
  <c r="D411" i="140"/>
  <c r="E411" i="140"/>
  <c r="F411" i="140"/>
  <c r="G411" i="140"/>
  <c r="H411" i="140"/>
  <c r="I411" i="140"/>
  <c r="J411" i="140"/>
  <c r="K411" i="140"/>
  <c r="O411" i="140"/>
  <c r="C412" i="140"/>
  <c r="D412" i="140"/>
  <c r="E412" i="140"/>
  <c r="F412" i="140"/>
  <c r="G412" i="140"/>
  <c r="H412" i="140"/>
  <c r="I412" i="140"/>
  <c r="J412" i="140"/>
  <c r="K412" i="140"/>
  <c r="O412" i="140"/>
  <c r="C414" i="140"/>
  <c r="D414" i="140"/>
  <c r="E414" i="140"/>
  <c r="G414" i="140"/>
  <c r="H414" i="140"/>
  <c r="I414" i="140"/>
  <c r="J414" i="140"/>
  <c r="K414" i="140"/>
  <c r="P414" i="140"/>
  <c r="C415" i="140"/>
  <c r="D415" i="140"/>
  <c r="E415" i="140"/>
  <c r="G415" i="140"/>
  <c r="H415" i="140"/>
  <c r="I415" i="140"/>
  <c r="J415" i="140"/>
  <c r="K415" i="140"/>
  <c r="O415" i="140"/>
  <c r="P415" i="140"/>
  <c r="Q415" i="140"/>
  <c r="R415" i="140"/>
  <c r="C416" i="140"/>
  <c r="D416" i="140"/>
  <c r="E416" i="140"/>
  <c r="F416" i="140"/>
  <c r="G416" i="140"/>
  <c r="H416" i="140"/>
  <c r="I416" i="140"/>
  <c r="J416" i="140"/>
  <c r="K416" i="140"/>
  <c r="G418" i="140"/>
  <c r="H418" i="140"/>
  <c r="I418" i="140"/>
  <c r="J418" i="140"/>
  <c r="K418" i="140"/>
  <c r="O418" i="140"/>
  <c r="P418" i="140"/>
  <c r="Q418" i="140"/>
  <c r="R418" i="140"/>
  <c r="C419" i="140"/>
  <c r="D419" i="140"/>
  <c r="E419" i="140"/>
  <c r="F419" i="140"/>
  <c r="G419" i="140"/>
  <c r="H419" i="140"/>
  <c r="I419" i="140"/>
  <c r="J419" i="140"/>
  <c r="K419" i="140"/>
  <c r="O419" i="140"/>
  <c r="Q419" i="140"/>
  <c r="R419" i="140"/>
  <c r="C420" i="140"/>
  <c r="D420" i="140"/>
  <c r="E420" i="140"/>
  <c r="F420" i="140"/>
  <c r="G420" i="140"/>
  <c r="H420" i="140"/>
  <c r="I420" i="140"/>
  <c r="J420" i="140"/>
  <c r="K420" i="140"/>
  <c r="O420" i="140"/>
  <c r="Q420" i="140"/>
  <c r="R420" i="140"/>
  <c r="C421" i="140"/>
  <c r="D421" i="140"/>
  <c r="E421" i="140"/>
  <c r="F421" i="140"/>
  <c r="G421" i="140"/>
  <c r="H421" i="140"/>
  <c r="I421" i="140"/>
  <c r="J421" i="140"/>
  <c r="K421" i="140"/>
  <c r="O421" i="140"/>
  <c r="P421" i="140"/>
  <c r="Q421" i="140"/>
  <c r="R421" i="140"/>
  <c r="C422" i="140"/>
  <c r="D422" i="140"/>
  <c r="E422" i="140"/>
  <c r="F422" i="140"/>
  <c r="G422" i="140"/>
  <c r="H422" i="140"/>
  <c r="I422" i="140"/>
  <c r="J422" i="140"/>
  <c r="K422" i="140"/>
  <c r="C423" i="140"/>
  <c r="D423" i="140"/>
  <c r="E423" i="140"/>
  <c r="F423" i="140"/>
  <c r="G423" i="140"/>
  <c r="H423" i="140"/>
  <c r="I423" i="140"/>
  <c r="J423" i="140"/>
  <c r="K423" i="140"/>
  <c r="C424" i="140"/>
  <c r="E424" i="140"/>
  <c r="F424" i="140"/>
  <c r="G424" i="140"/>
  <c r="H424" i="140"/>
  <c r="I424" i="140"/>
  <c r="J424" i="140"/>
  <c r="K424" i="140"/>
  <c r="C425" i="140"/>
  <c r="D425" i="140"/>
  <c r="E425" i="140"/>
  <c r="F425" i="140"/>
  <c r="G425" i="140"/>
  <c r="H425" i="140"/>
  <c r="I425" i="140"/>
  <c r="J425" i="140"/>
  <c r="K425" i="140"/>
  <c r="B4" i="139"/>
  <c r="C4" i="139"/>
  <c r="D4" i="139"/>
  <c r="E4" i="139"/>
  <c r="F4" i="139"/>
  <c r="G4" i="139"/>
  <c r="H4" i="139"/>
  <c r="I4" i="139"/>
  <c r="J4" i="139"/>
  <c r="K4" i="139"/>
  <c r="L4" i="139"/>
  <c r="B5" i="139"/>
  <c r="C5" i="139"/>
  <c r="D5" i="139"/>
  <c r="E5" i="139"/>
  <c r="F5" i="139"/>
  <c r="G5" i="139"/>
  <c r="H5" i="139"/>
  <c r="I5" i="139"/>
  <c r="J5" i="139"/>
  <c r="K5" i="139"/>
  <c r="L5" i="139"/>
  <c r="B6" i="139"/>
  <c r="C6" i="139"/>
  <c r="D6" i="139"/>
  <c r="E6" i="139"/>
  <c r="F6" i="139"/>
  <c r="G6" i="139"/>
  <c r="H6" i="139"/>
  <c r="I6" i="139"/>
  <c r="J6" i="139"/>
  <c r="K6" i="139"/>
  <c r="L6" i="139"/>
  <c r="D8" i="139"/>
  <c r="E8" i="139"/>
  <c r="F8" i="139"/>
  <c r="H8" i="139"/>
  <c r="L8" i="139"/>
  <c r="B9" i="139"/>
  <c r="C9" i="139"/>
  <c r="D9" i="139"/>
  <c r="E9" i="139"/>
  <c r="F9" i="139"/>
  <c r="G9" i="139"/>
  <c r="H9" i="139"/>
  <c r="I9" i="139"/>
  <c r="J9" i="139"/>
  <c r="K9" i="139"/>
  <c r="L9" i="139"/>
  <c r="B10" i="139"/>
  <c r="C10" i="139"/>
  <c r="D10" i="139"/>
  <c r="E10" i="139"/>
  <c r="F10" i="139"/>
  <c r="G10" i="139"/>
  <c r="H10" i="139"/>
  <c r="I10" i="139"/>
  <c r="J10" i="139"/>
  <c r="K10" i="139"/>
  <c r="L10" i="139"/>
  <c r="B11" i="139"/>
  <c r="C11" i="139"/>
  <c r="D11" i="139"/>
  <c r="E11" i="139"/>
  <c r="F11" i="139"/>
  <c r="G11" i="139"/>
  <c r="H11" i="139"/>
  <c r="I11" i="139"/>
  <c r="J11" i="139"/>
  <c r="K11" i="139"/>
  <c r="L11" i="139"/>
  <c r="B12" i="139"/>
  <c r="C12" i="139"/>
  <c r="D12" i="139"/>
  <c r="E12" i="139"/>
  <c r="F12" i="139"/>
  <c r="G12" i="139"/>
  <c r="H12" i="139"/>
  <c r="I12" i="139"/>
  <c r="J12" i="139"/>
  <c r="K12" i="139"/>
  <c r="L12" i="139"/>
  <c r="B13" i="139"/>
  <c r="C13" i="139"/>
  <c r="D13" i="139"/>
  <c r="E13" i="139"/>
  <c r="F13" i="139"/>
  <c r="G13" i="139"/>
  <c r="H13" i="139"/>
  <c r="I13" i="139"/>
  <c r="J13" i="139"/>
  <c r="K13" i="139"/>
  <c r="L13" i="139"/>
  <c r="B14" i="139"/>
  <c r="C14" i="139"/>
  <c r="D14" i="139"/>
  <c r="E14" i="139"/>
  <c r="F14" i="139"/>
  <c r="G14" i="139"/>
  <c r="H14" i="139"/>
  <c r="I14" i="139"/>
  <c r="J14" i="139"/>
  <c r="K14" i="139"/>
  <c r="L14" i="139"/>
  <c r="B15" i="139"/>
  <c r="C15" i="139"/>
  <c r="D15" i="139"/>
  <c r="E15" i="139"/>
  <c r="F15" i="139"/>
  <c r="G15" i="139"/>
  <c r="H15" i="139"/>
  <c r="I15" i="139"/>
  <c r="J15" i="139"/>
  <c r="K15" i="139"/>
  <c r="L15" i="139"/>
  <c r="B16" i="139"/>
  <c r="C16" i="139"/>
  <c r="D16" i="139"/>
  <c r="E16" i="139"/>
  <c r="F16" i="139"/>
  <c r="G16" i="139"/>
  <c r="H16" i="139"/>
  <c r="I16" i="139"/>
  <c r="J16" i="139"/>
  <c r="K16" i="139"/>
  <c r="L16" i="139"/>
  <c r="B17" i="139"/>
  <c r="C17" i="139"/>
  <c r="D17" i="139"/>
  <c r="E17" i="139"/>
  <c r="F17" i="139"/>
  <c r="G17" i="139"/>
  <c r="H17" i="139"/>
  <c r="I17" i="139"/>
  <c r="J17" i="139"/>
  <c r="K17" i="139"/>
  <c r="L17" i="139"/>
  <c r="B18" i="139"/>
  <c r="C18" i="139"/>
  <c r="D18" i="139"/>
  <c r="E18" i="139"/>
  <c r="F18" i="139"/>
  <c r="G18" i="139"/>
  <c r="H18" i="139"/>
  <c r="I18" i="139"/>
  <c r="J18" i="139"/>
  <c r="K18" i="139"/>
  <c r="L18" i="139"/>
  <c r="B19" i="139"/>
  <c r="C19" i="139"/>
  <c r="D19" i="139"/>
  <c r="E19" i="139"/>
  <c r="F19" i="139"/>
  <c r="G19" i="139"/>
  <c r="H19" i="139"/>
  <c r="I19" i="139"/>
  <c r="J19" i="139"/>
  <c r="K19" i="139"/>
  <c r="L19" i="139"/>
  <c r="B20" i="139"/>
  <c r="C20" i="139"/>
  <c r="D20" i="139"/>
  <c r="E20" i="139"/>
  <c r="F20" i="139"/>
  <c r="G20" i="139"/>
  <c r="H20" i="139"/>
  <c r="I20" i="139"/>
  <c r="J20" i="139"/>
  <c r="K20" i="139"/>
  <c r="L20" i="139"/>
  <c r="B21" i="139"/>
  <c r="C21" i="139"/>
  <c r="D21" i="139"/>
  <c r="E21" i="139"/>
  <c r="F21" i="139"/>
  <c r="G21" i="139"/>
  <c r="H21" i="139"/>
  <c r="I21" i="139"/>
  <c r="J21" i="139"/>
  <c r="K21" i="139"/>
  <c r="L21" i="139"/>
  <c r="B22" i="139"/>
  <c r="J22" i="139"/>
  <c r="K22" i="139"/>
  <c r="B23" i="139"/>
  <c r="C23" i="139"/>
  <c r="D23" i="139"/>
  <c r="E23" i="139"/>
  <c r="F23" i="139"/>
  <c r="G23" i="139"/>
  <c r="H23" i="139"/>
  <c r="I23" i="139"/>
  <c r="J23" i="139"/>
  <c r="K23" i="139"/>
  <c r="L23" i="139"/>
  <c r="B24" i="139"/>
  <c r="C24" i="139"/>
  <c r="D24" i="139"/>
  <c r="E24" i="139"/>
  <c r="F24" i="139"/>
  <c r="G24" i="139"/>
  <c r="H24" i="139"/>
  <c r="I24" i="139"/>
  <c r="J24" i="139"/>
  <c r="K24" i="139"/>
  <c r="L24" i="139"/>
  <c r="B25" i="139"/>
  <c r="C25" i="139"/>
  <c r="D25" i="139"/>
  <c r="E25" i="139"/>
  <c r="F25" i="139"/>
  <c r="G25" i="139"/>
  <c r="H25" i="139"/>
  <c r="I25" i="139"/>
  <c r="J25" i="139"/>
  <c r="K25" i="139"/>
  <c r="L25" i="139"/>
  <c r="B26" i="139"/>
  <c r="C26" i="139"/>
  <c r="D26" i="139"/>
  <c r="E26" i="139"/>
  <c r="F26" i="139"/>
  <c r="G26" i="139"/>
  <c r="H26" i="139"/>
  <c r="I26" i="139"/>
  <c r="J26" i="139"/>
  <c r="K26" i="139"/>
  <c r="L26" i="139"/>
  <c r="B27" i="139"/>
  <c r="C27" i="139"/>
  <c r="D27" i="139"/>
  <c r="E27" i="139"/>
  <c r="F27" i="139"/>
  <c r="G27" i="139"/>
  <c r="H27" i="139"/>
  <c r="I27" i="139"/>
  <c r="J27" i="139"/>
  <c r="K27" i="139"/>
  <c r="L27" i="139"/>
  <c r="B28" i="139"/>
  <c r="C28" i="139"/>
  <c r="D28" i="139"/>
  <c r="E28" i="139"/>
  <c r="F28" i="139"/>
  <c r="G28" i="139"/>
  <c r="H28" i="139"/>
  <c r="I28" i="139"/>
  <c r="J28" i="139"/>
  <c r="K28" i="139"/>
  <c r="L28" i="139"/>
  <c r="B29" i="139"/>
  <c r="C29" i="139"/>
  <c r="D29" i="139"/>
  <c r="E29" i="139"/>
  <c r="F29" i="139"/>
  <c r="G29" i="139"/>
  <c r="H29" i="139"/>
  <c r="I29" i="139"/>
  <c r="J29" i="139"/>
  <c r="K29" i="139"/>
  <c r="L29" i="139"/>
  <c r="B30" i="139"/>
  <c r="C30" i="139"/>
  <c r="D30" i="139"/>
  <c r="E30" i="139"/>
  <c r="F30" i="139"/>
  <c r="G30" i="139"/>
  <c r="H30" i="139"/>
  <c r="I30" i="139"/>
  <c r="J30" i="139"/>
  <c r="K30" i="139"/>
  <c r="L30" i="139"/>
  <c r="B31" i="139"/>
  <c r="C31" i="139"/>
  <c r="D31" i="139"/>
  <c r="E31" i="139"/>
  <c r="F31" i="139"/>
  <c r="G31" i="139"/>
  <c r="H31" i="139"/>
  <c r="I31" i="139"/>
  <c r="J31" i="139"/>
  <c r="K31" i="139"/>
  <c r="L31" i="139"/>
  <c r="F32" i="139"/>
  <c r="H32" i="139"/>
  <c r="L32" i="139"/>
  <c r="B33" i="139"/>
  <c r="C33" i="139"/>
  <c r="D33" i="139"/>
  <c r="E33" i="139"/>
  <c r="F33" i="139"/>
  <c r="G33" i="139"/>
  <c r="H33" i="139"/>
  <c r="I33" i="139"/>
  <c r="J33" i="139"/>
  <c r="K33" i="139"/>
  <c r="L33" i="139"/>
  <c r="B34" i="139"/>
  <c r="C34" i="139"/>
  <c r="D34" i="139"/>
  <c r="E34" i="139"/>
  <c r="F34" i="139"/>
  <c r="G34" i="139"/>
  <c r="H34" i="139"/>
  <c r="I34" i="139"/>
  <c r="J34" i="139"/>
  <c r="K34" i="139"/>
  <c r="L34" i="139"/>
  <c r="B35" i="139"/>
  <c r="C35" i="139"/>
  <c r="D35" i="139"/>
  <c r="E35" i="139"/>
  <c r="F35" i="139"/>
  <c r="G35" i="139"/>
  <c r="H35" i="139"/>
  <c r="I35" i="139"/>
  <c r="J35" i="139"/>
  <c r="K35" i="139"/>
  <c r="L35" i="139"/>
  <c r="B36" i="139"/>
  <c r="C36" i="139"/>
  <c r="D36" i="139"/>
  <c r="E36" i="139"/>
  <c r="F36" i="139"/>
  <c r="G36" i="139"/>
  <c r="H36" i="139"/>
  <c r="I36" i="139"/>
  <c r="J36" i="139"/>
  <c r="K36" i="139"/>
  <c r="L36" i="139"/>
  <c r="E37" i="139"/>
  <c r="F37" i="139"/>
  <c r="G37" i="139"/>
  <c r="I37" i="139"/>
  <c r="B38" i="139"/>
  <c r="C38" i="139"/>
  <c r="D38" i="139"/>
  <c r="E38" i="139"/>
  <c r="F38" i="139"/>
  <c r="G38" i="139"/>
  <c r="H38" i="139"/>
  <c r="I38" i="139"/>
  <c r="J38" i="139"/>
  <c r="K38" i="139"/>
  <c r="L38" i="139"/>
  <c r="B39" i="139"/>
  <c r="C39" i="139"/>
  <c r="D39" i="139"/>
  <c r="E39" i="139"/>
  <c r="F39" i="139"/>
  <c r="G39" i="139"/>
  <c r="H39" i="139"/>
  <c r="I39" i="139"/>
  <c r="J39" i="139"/>
  <c r="K39" i="139"/>
  <c r="L39" i="139"/>
  <c r="B40" i="139"/>
  <c r="C40" i="139"/>
  <c r="D40" i="139"/>
  <c r="E40" i="139"/>
  <c r="F40" i="139"/>
  <c r="G40" i="139"/>
  <c r="H40" i="139"/>
  <c r="I40" i="139"/>
  <c r="J40" i="139"/>
  <c r="K40" i="139"/>
  <c r="L40" i="139"/>
  <c r="K41" i="139"/>
  <c r="B42" i="139"/>
  <c r="C42" i="139"/>
  <c r="D42" i="139"/>
  <c r="E42" i="139"/>
  <c r="F42" i="139"/>
  <c r="G42" i="139"/>
  <c r="H42" i="139"/>
  <c r="I42" i="139"/>
  <c r="J42" i="139"/>
  <c r="K42" i="139"/>
  <c r="L42" i="139"/>
  <c r="B43" i="139"/>
  <c r="C43" i="139"/>
  <c r="D43" i="139"/>
  <c r="E43" i="139"/>
  <c r="F43" i="139"/>
  <c r="G43" i="139"/>
  <c r="H43" i="139"/>
  <c r="I43" i="139"/>
  <c r="J43" i="139"/>
  <c r="K43" i="139"/>
  <c r="L43" i="139"/>
  <c r="B44" i="139"/>
  <c r="C44" i="139"/>
  <c r="D44" i="139"/>
  <c r="E44" i="139"/>
  <c r="F44" i="139"/>
  <c r="G44" i="139"/>
  <c r="H44" i="139"/>
  <c r="I44" i="139"/>
  <c r="J44" i="139"/>
  <c r="K44" i="139"/>
  <c r="L44" i="139"/>
  <c r="B45" i="139"/>
  <c r="C45" i="139"/>
  <c r="D45" i="139"/>
  <c r="E45" i="139"/>
  <c r="F45" i="139"/>
  <c r="G45" i="139"/>
  <c r="H45" i="139"/>
  <c r="I45" i="139"/>
  <c r="J45" i="139"/>
  <c r="K45" i="139"/>
  <c r="L45" i="139"/>
  <c r="B46" i="139"/>
  <c r="C46" i="139"/>
  <c r="D46" i="139"/>
  <c r="E46" i="139"/>
  <c r="F46" i="139"/>
  <c r="G46" i="139"/>
  <c r="H46" i="139"/>
  <c r="I46" i="139"/>
  <c r="J46" i="139"/>
  <c r="K46" i="139"/>
  <c r="L46" i="139"/>
  <c r="B51" i="139"/>
  <c r="C51" i="139"/>
  <c r="D51" i="139"/>
  <c r="E51" i="139"/>
  <c r="F51" i="139"/>
  <c r="G51" i="139"/>
  <c r="H51" i="139"/>
  <c r="I51" i="139"/>
  <c r="J51" i="139"/>
  <c r="K51" i="139"/>
  <c r="L51" i="139"/>
  <c r="B52" i="139"/>
  <c r="C52" i="139"/>
  <c r="D52" i="139"/>
  <c r="E52" i="139"/>
  <c r="F52" i="139"/>
  <c r="G52" i="139"/>
  <c r="H52" i="139"/>
  <c r="I52" i="139"/>
  <c r="J52" i="139"/>
  <c r="K52" i="139"/>
  <c r="L52" i="139"/>
  <c r="B53" i="139"/>
  <c r="C53" i="139"/>
  <c r="D53" i="139"/>
  <c r="E53" i="139"/>
  <c r="F53" i="139"/>
  <c r="G53" i="139"/>
  <c r="H53" i="139"/>
  <c r="I53" i="139"/>
  <c r="J53" i="139"/>
  <c r="K53" i="139"/>
  <c r="L53" i="139"/>
  <c r="B54" i="139"/>
  <c r="C54" i="139"/>
  <c r="D54" i="139"/>
  <c r="E54" i="139"/>
  <c r="F54" i="139"/>
  <c r="G54" i="139"/>
  <c r="H54" i="139"/>
  <c r="I54" i="139"/>
  <c r="J54" i="139"/>
  <c r="K54" i="139"/>
  <c r="L54" i="139"/>
  <c r="B55" i="139"/>
  <c r="C55" i="139"/>
  <c r="D55" i="139"/>
  <c r="E55" i="139"/>
  <c r="F55" i="139"/>
  <c r="G55" i="139"/>
  <c r="H55" i="139"/>
  <c r="I55" i="139"/>
  <c r="J55" i="139"/>
  <c r="K55" i="139"/>
  <c r="L55" i="139"/>
  <c r="B56" i="139"/>
  <c r="C56" i="139"/>
  <c r="D56" i="139"/>
  <c r="E56" i="139"/>
  <c r="F56" i="139"/>
  <c r="G56" i="139"/>
  <c r="H56" i="139"/>
  <c r="I56" i="139"/>
  <c r="J56" i="139"/>
  <c r="K56" i="139"/>
  <c r="L56" i="139"/>
  <c r="C58" i="139"/>
  <c r="I58" i="139"/>
  <c r="K58" i="139"/>
  <c r="B59" i="139"/>
  <c r="C59" i="139"/>
  <c r="D59" i="139"/>
  <c r="E59" i="139"/>
  <c r="F59" i="139"/>
  <c r="G59" i="139"/>
  <c r="H59" i="139"/>
  <c r="I59" i="139"/>
  <c r="J59" i="139"/>
  <c r="K59" i="139"/>
  <c r="L59" i="139"/>
  <c r="B60" i="139"/>
  <c r="C60" i="139"/>
  <c r="D60" i="139"/>
  <c r="E60" i="139"/>
  <c r="F60" i="139"/>
  <c r="G60" i="139"/>
  <c r="H60" i="139"/>
  <c r="I60" i="139"/>
  <c r="J60" i="139"/>
  <c r="K60" i="139"/>
  <c r="L60" i="139"/>
  <c r="B61" i="139"/>
  <c r="C61" i="139"/>
  <c r="D61" i="139"/>
  <c r="E61" i="139"/>
  <c r="F61" i="139"/>
  <c r="G61" i="139"/>
  <c r="H61" i="139"/>
  <c r="I61" i="139"/>
  <c r="J61" i="139"/>
  <c r="K61" i="139"/>
  <c r="L61" i="139"/>
  <c r="G62" i="139"/>
  <c r="B63" i="139"/>
  <c r="B64" i="139"/>
  <c r="C64" i="139"/>
  <c r="D64" i="139"/>
  <c r="E64" i="139"/>
  <c r="F64" i="139"/>
  <c r="G64" i="139"/>
  <c r="H64" i="139"/>
  <c r="I64" i="139"/>
  <c r="J64" i="139"/>
  <c r="K64" i="139"/>
  <c r="L64" i="139"/>
  <c r="B65" i="139"/>
  <c r="C65" i="139"/>
  <c r="D65" i="139"/>
  <c r="E65" i="139"/>
  <c r="F65" i="139"/>
  <c r="G65" i="139"/>
  <c r="H65" i="139"/>
  <c r="I65" i="139"/>
  <c r="J65" i="139"/>
  <c r="K65" i="139"/>
  <c r="L65" i="139"/>
  <c r="B66" i="139"/>
  <c r="C66" i="139"/>
  <c r="D66" i="139"/>
  <c r="E66" i="139"/>
  <c r="F66" i="139"/>
  <c r="G66" i="139"/>
  <c r="H66" i="139"/>
  <c r="I66" i="139"/>
  <c r="J66" i="139"/>
  <c r="K66" i="139"/>
  <c r="L66" i="139"/>
  <c r="B67" i="139"/>
  <c r="C67" i="139"/>
  <c r="D67" i="139"/>
  <c r="E67" i="139"/>
  <c r="F67" i="139"/>
  <c r="G67" i="139"/>
  <c r="H67" i="139"/>
  <c r="I67" i="139"/>
  <c r="J67" i="139"/>
  <c r="K67" i="139"/>
  <c r="L67" i="139"/>
  <c r="B68" i="139"/>
  <c r="C68" i="139"/>
  <c r="D68" i="139"/>
  <c r="E68" i="139"/>
  <c r="F68" i="139"/>
  <c r="G68" i="139"/>
  <c r="H68" i="139"/>
  <c r="I68" i="139"/>
  <c r="J68" i="139"/>
  <c r="K68" i="139"/>
  <c r="L68" i="139"/>
  <c r="B69" i="139"/>
  <c r="C69" i="139"/>
  <c r="D69" i="139"/>
  <c r="E69" i="139"/>
  <c r="F69" i="139"/>
  <c r="G69" i="139"/>
  <c r="H69" i="139"/>
  <c r="I69" i="139"/>
  <c r="J69" i="139"/>
  <c r="K69" i="139"/>
  <c r="L69" i="139"/>
  <c r="B70" i="139"/>
  <c r="C70" i="139"/>
  <c r="D70" i="139"/>
  <c r="E70" i="139"/>
  <c r="F70" i="139"/>
  <c r="G70" i="139"/>
  <c r="H70" i="139"/>
  <c r="I70" i="139"/>
  <c r="J70" i="139"/>
  <c r="K70" i="139"/>
  <c r="L70" i="139"/>
  <c r="B71" i="139"/>
  <c r="C71" i="139"/>
  <c r="D71" i="139"/>
  <c r="E71" i="139"/>
  <c r="F71" i="139"/>
  <c r="G71" i="139"/>
  <c r="H71" i="139"/>
  <c r="I71" i="139"/>
  <c r="J71" i="139"/>
  <c r="K71" i="139"/>
  <c r="L71" i="139"/>
  <c r="B72" i="139"/>
  <c r="C72" i="139"/>
  <c r="D72" i="139"/>
  <c r="E72" i="139"/>
  <c r="F72" i="139"/>
  <c r="G72" i="139"/>
  <c r="H72" i="139"/>
  <c r="I72" i="139"/>
  <c r="J72" i="139"/>
  <c r="K72" i="139"/>
  <c r="L72" i="139"/>
  <c r="B73" i="139"/>
  <c r="C73" i="139"/>
  <c r="D73" i="139"/>
  <c r="E73" i="139"/>
  <c r="F73" i="139"/>
  <c r="G73" i="139"/>
  <c r="H73" i="139"/>
  <c r="I73" i="139"/>
  <c r="J73" i="139"/>
  <c r="K73" i="139"/>
  <c r="L73" i="139"/>
  <c r="B74" i="139"/>
  <c r="C74" i="139"/>
  <c r="D74" i="139"/>
  <c r="E74" i="139"/>
  <c r="F74" i="139"/>
  <c r="G74" i="139"/>
  <c r="H74" i="139"/>
  <c r="I74" i="139"/>
  <c r="J74" i="139"/>
  <c r="K74" i="139"/>
  <c r="L74" i="139"/>
  <c r="B75" i="139"/>
  <c r="C75" i="139"/>
  <c r="D75" i="139"/>
  <c r="E75" i="139"/>
  <c r="F75" i="139"/>
  <c r="G75" i="139"/>
  <c r="H75" i="139"/>
  <c r="I75" i="139"/>
  <c r="J75" i="139"/>
  <c r="K75" i="139"/>
  <c r="L75" i="139"/>
  <c r="B76" i="139"/>
  <c r="C76" i="139"/>
  <c r="D76" i="139"/>
  <c r="E76" i="139"/>
  <c r="F76" i="139"/>
  <c r="G76" i="139"/>
  <c r="H76" i="139"/>
  <c r="I76" i="139"/>
  <c r="J76" i="139"/>
  <c r="K76" i="139"/>
  <c r="L76" i="139"/>
  <c r="B77" i="139"/>
  <c r="C77" i="139"/>
  <c r="D77" i="139"/>
  <c r="E77" i="139"/>
  <c r="F77" i="139"/>
  <c r="G77" i="139"/>
  <c r="H77" i="139"/>
  <c r="I77" i="139"/>
  <c r="J77" i="139"/>
  <c r="K77" i="139"/>
  <c r="L77" i="139"/>
  <c r="B78" i="139"/>
  <c r="C78" i="139"/>
  <c r="D78" i="139"/>
  <c r="E78" i="139"/>
  <c r="F78" i="139"/>
  <c r="G78" i="139"/>
  <c r="H78" i="139"/>
  <c r="I78" i="139"/>
  <c r="J78" i="139"/>
  <c r="K78" i="139"/>
  <c r="L78" i="139"/>
  <c r="B81" i="139"/>
  <c r="C81" i="139"/>
  <c r="D81" i="139"/>
  <c r="E81" i="139"/>
  <c r="F81" i="139"/>
  <c r="G81" i="139"/>
  <c r="H81" i="139"/>
  <c r="I81" i="139"/>
  <c r="J81" i="139"/>
  <c r="K81" i="139"/>
  <c r="L81" i="139"/>
  <c r="B82" i="139"/>
  <c r="C82" i="139"/>
  <c r="D82" i="139"/>
  <c r="E82" i="139"/>
  <c r="F82" i="139"/>
  <c r="G82" i="139"/>
  <c r="H82" i="139"/>
  <c r="I82" i="139"/>
  <c r="J82" i="139"/>
  <c r="K82" i="139"/>
  <c r="L82" i="139"/>
  <c r="B83" i="139"/>
  <c r="C83" i="139"/>
  <c r="D83" i="139"/>
  <c r="E83" i="139"/>
  <c r="F83" i="139"/>
  <c r="G83" i="139"/>
  <c r="H83" i="139"/>
  <c r="I83" i="139"/>
  <c r="J83" i="139"/>
  <c r="K83" i="139"/>
  <c r="L83" i="139"/>
  <c r="B84" i="139"/>
  <c r="C84" i="139"/>
  <c r="D84" i="139"/>
  <c r="E84" i="139"/>
  <c r="F84" i="139"/>
  <c r="G84" i="139"/>
  <c r="H84" i="139"/>
  <c r="I84" i="139"/>
  <c r="J84" i="139"/>
  <c r="K84" i="139"/>
  <c r="L84" i="139"/>
  <c r="B85" i="139"/>
  <c r="C85" i="139"/>
  <c r="D85" i="139"/>
  <c r="E85" i="139"/>
  <c r="F85" i="139"/>
  <c r="G85" i="139"/>
  <c r="H85" i="139"/>
  <c r="I85" i="139"/>
  <c r="J85" i="139"/>
  <c r="K85" i="139"/>
  <c r="L85" i="139"/>
  <c r="B86" i="139"/>
  <c r="C86" i="139"/>
  <c r="D86" i="139"/>
  <c r="E86" i="139"/>
  <c r="F86" i="139"/>
  <c r="G86" i="139"/>
  <c r="H86" i="139"/>
  <c r="I86" i="139"/>
  <c r="J86" i="139"/>
  <c r="K86" i="139"/>
  <c r="L86" i="139"/>
  <c r="B87" i="139"/>
  <c r="C87" i="139"/>
  <c r="D87" i="139"/>
  <c r="E87" i="139"/>
  <c r="F87" i="139"/>
  <c r="G87" i="139"/>
  <c r="H87" i="139"/>
  <c r="I87" i="139"/>
  <c r="J87" i="139"/>
  <c r="K87" i="139"/>
  <c r="L87" i="139"/>
  <c r="B89" i="139"/>
  <c r="C89" i="139"/>
  <c r="D89" i="139"/>
  <c r="E89" i="139"/>
  <c r="F89" i="139"/>
  <c r="G89" i="139"/>
  <c r="H89" i="139"/>
  <c r="I89" i="139"/>
  <c r="J89" i="139"/>
  <c r="K89" i="139"/>
  <c r="L89" i="139"/>
  <c r="B90" i="139"/>
  <c r="C90" i="139"/>
  <c r="D90" i="139"/>
  <c r="E90" i="139"/>
  <c r="F90" i="139"/>
  <c r="G90" i="139"/>
  <c r="H90" i="139"/>
  <c r="I90" i="139"/>
  <c r="J90" i="139"/>
  <c r="K90" i="139"/>
  <c r="L90" i="139"/>
  <c r="O4" i="138"/>
  <c r="P4" i="138"/>
  <c r="Q4" i="138"/>
  <c r="R4" i="138"/>
  <c r="S4" i="138"/>
  <c r="T4" i="138"/>
  <c r="U4" i="138"/>
  <c r="V4" i="138"/>
  <c r="W4" i="138"/>
  <c r="X4" i="138"/>
  <c r="Y4" i="138"/>
  <c r="O5" i="138"/>
  <c r="P5" i="138"/>
  <c r="Q5" i="138"/>
  <c r="R5" i="138"/>
  <c r="S5" i="138"/>
  <c r="T5" i="138"/>
  <c r="U5" i="138"/>
  <c r="V5" i="138"/>
  <c r="W5" i="138"/>
  <c r="X5" i="138"/>
  <c r="Y5" i="138"/>
  <c r="O6" i="138"/>
  <c r="P6" i="138"/>
  <c r="Q6" i="138"/>
  <c r="R6" i="138"/>
  <c r="S6" i="138"/>
  <c r="T6" i="138"/>
  <c r="U6" i="138"/>
  <c r="V6" i="138"/>
  <c r="W6" i="138"/>
  <c r="X6" i="138"/>
  <c r="Y6" i="138"/>
  <c r="E7" i="138"/>
  <c r="B8" i="138"/>
  <c r="B8" i="139" s="1"/>
  <c r="C8" i="138"/>
  <c r="D8" i="138"/>
  <c r="E8" i="138"/>
  <c r="F8" i="138"/>
  <c r="G8" i="138"/>
  <c r="H8" i="138"/>
  <c r="U8" i="138" s="1"/>
  <c r="I8" i="138"/>
  <c r="I7" i="138" s="1"/>
  <c r="J8" i="138"/>
  <c r="K8" i="138"/>
  <c r="L8" i="138"/>
  <c r="O8" i="138"/>
  <c r="Q8" i="138"/>
  <c r="R8" i="138"/>
  <c r="S8" i="138"/>
  <c r="W8" i="138"/>
  <c r="Y8" i="138"/>
  <c r="O9" i="138"/>
  <c r="P9" i="138"/>
  <c r="Q9" i="138"/>
  <c r="R9" i="138"/>
  <c r="S9" i="138"/>
  <c r="T9" i="138"/>
  <c r="U9" i="138"/>
  <c r="V9" i="138"/>
  <c r="W9" i="138"/>
  <c r="X9" i="138"/>
  <c r="Y9" i="138"/>
  <c r="O10" i="138"/>
  <c r="P10" i="138"/>
  <c r="Q10" i="138"/>
  <c r="R10" i="138"/>
  <c r="S10" i="138"/>
  <c r="T10" i="138"/>
  <c r="U10" i="138"/>
  <c r="V10" i="138"/>
  <c r="W10" i="138"/>
  <c r="X10" i="138"/>
  <c r="Y10" i="138"/>
  <c r="O11" i="138"/>
  <c r="P11" i="138"/>
  <c r="Q11" i="138"/>
  <c r="R11" i="138"/>
  <c r="S11" i="138"/>
  <c r="T11" i="138"/>
  <c r="U11" i="138"/>
  <c r="V11" i="138"/>
  <c r="W11" i="138"/>
  <c r="X11" i="138"/>
  <c r="Y11" i="138"/>
  <c r="O12" i="138"/>
  <c r="P12" i="138"/>
  <c r="Q12" i="138"/>
  <c r="R12" i="138"/>
  <c r="S12" i="138"/>
  <c r="T12" i="138"/>
  <c r="U12" i="138"/>
  <c r="V12" i="138"/>
  <c r="W12" i="138"/>
  <c r="X12" i="138"/>
  <c r="Y12" i="138"/>
  <c r="O13" i="138"/>
  <c r="P13" i="138"/>
  <c r="Q13" i="138"/>
  <c r="R13" i="138"/>
  <c r="S13" i="138"/>
  <c r="T13" i="138"/>
  <c r="U13" i="138"/>
  <c r="V13" i="138"/>
  <c r="W13" i="138"/>
  <c r="X13" i="138"/>
  <c r="Y13" i="138"/>
  <c r="O14" i="138"/>
  <c r="P14" i="138"/>
  <c r="Q14" i="138"/>
  <c r="R14" i="138"/>
  <c r="S14" i="138"/>
  <c r="T14" i="138"/>
  <c r="U14" i="138"/>
  <c r="V14" i="138"/>
  <c r="W14" i="138"/>
  <c r="X14" i="138"/>
  <c r="Y14" i="138"/>
  <c r="O15" i="138"/>
  <c r="P15" i="138"/>
  <c r="Q15" i="138"/>
  <c r="R15" i="138"/>
  <c r="S15" i="138"/>
  <c r="T15" i="138"/>
  <c r="U15" i="138"/>
  <c r="V15" i="138"/>
  <c r="W15" i="138"/>
  <c r="X15" i="138"/>
  <c r="Y15" i="138"/>
  <c r="O16" i="138"/>
  <c r="P16" i="138"/>
  <c r="Q16" i="138"/>
  <c r="R16" i="138"/>
  <c r="S16" i="138"/>
  <c r="T16" i="138"/>
  <c r="U16" i="138"/>
  <c r="V16" i="138"/>
  <c r="W16" i="138"/>
  <c r="X16" i="138"/>
  <c r="Y16" i="138"/>
  <c r="O17" i="138"/>
  <c r="P17" i="138"/>
  <c r="Q17" i="138"/>
  <c r="R17" i="138"/>
  <c r="S17" i="138"/>
  <c r="T17" i="138"/>
  <c r="U17" i="138"/>
  <c r="V17" i="138"/>
  <c r="W17" i="138"/>
  <c r="X17" i="138"/>
  <c r="Y17" i="138"/>
  <c r="O18" i="138"/>
  <c r="P18" i="138"/>
  <c r="Q18" i="138"/>
  <c r="R18" i="138"/>
  <c r="S18" i="138"/>
  <c r="T18" i="138"/>
  <c r="U18" i="138"/>
  <c r="V18" i="138"/>
  <c r="W18" i="138"/>
  <c r="X18" i="138"/>
  <c r="Y18" i="138"/>
  <c r="O19" i="138"/>
  <c r="P19" i="138"/>
  <c r="Q19" i="138"/>
  <c r="R19" i="138"/>
  <c r="S19" i="138"/>
  <c r="T19" i="138"/>
  <c r="U19" i="138"/>
  <c r="V19" i="138"/>
  <c r="W19" i="138"/>
  <c r="X19" i="138"/>
  <c r="Y19" i="138"/>
  <c r="O20" i="138"/>
  <c r="P20" i="138"/>
  <c r="Q20" i="138"/>
  <c r="R20" i="138"/>
  <c r="S20" i="138"/>
  <c r="T20" i="138"/>
  <c r="U20" i="138"/>
  <c r="V20" i="138"/>
  <c r="W20" i="138"/>
  <c r="X20" i="138"/>
  <c r="Y20" i="138"/>
  <c r="O21" i="138"/>
  <c r="P21" i="138"/>
  <c r="Q21" i="138"/>
  <c r="R21" i="138"/>
  <c r="S21" i="138"/>
  <c r="T21" i="138"/>
  <c r="U21" i="138"/>
  <c r="V21" i="138"/>
  <c r="W21" i="138"/>
  <c r="X21" i="138"/>
  <c r="Y21" i="138"/>
  <c r="B22" i="138"/>
  <c r="C22" i="138"/>
  <c r="C22" i="139" s="1"/>
  <c r="D22" i="138"/>
  <c r="E22" i="138"/>
  <c r="F22" i="138"/>
  <c r="G22" i="138"/>
  <c r="H22" i="138"/>
  <c r="H22" i="139" s="1"/>
  <c r="I22" i="138"/>
  <c r="I22" i="139" s="1"/>
  <c r="J22" i="138"/>
  <c r="K22" i="138"/>
  <c r="X22" i="138" s="1"/>
  <c r="L22" i="138"/>
  <c r="Y22" i="138" s="1"/>
  <c r="P22" i="138"/>
  <c r="R22" i="138"/>
  <c r="T22" i="138"/>
  <c r="U22" i="138"/>
  <c r="V22" i="138"/>
  <c r="O23" i="138"/>
  <c r="P23" i="138"/>
  <c r="Q23" i="138"/>
  <c r="R23" i="138"/>
  <c r="S23" i="138"/>
  <c r="T23" i="138"/>
  <c r="U23" i="138"/>
  <c r="V23" i="138"/>
  <c r="W23" i="138"/>
  <c r="X23" i="138"/>
  <c r="Y23" i="138"/>
  <c r="O24" i="138"/>
  <c r="P24" i="138"/>
  <c r="Q24" i="138"/>
  <c r="R24" i="138"/>
  <c r="S24" i="138"/>
  <c r="T24" i="138"/>
  <c r="U24" i="138"/>
  <c r="V24" i="138"/>
  <c r="W24" i="138"/>
  <c r="X24" i="138"/>
  <c r="Y24" i="138"/>
  <c r="O25" i="138"/>
  <c r="P25" i="138"/>
  <c r="Q25" i="138"/>
  <c r="R25" i="138"/>
  <c r="S25" i="138"/>
  <c r="T25" i="138"/>
  <c r="U25" i="138"/>
  <c r="V25" i="138"/>
  <c r="W25" i="138"/>
  <c r="X25" i="138"/>
  <c r="Y25" i="138"/>
  <c r="O26" i="138"/>
  <c r="P26" i="138"/>
  <c r="Q26" i="138"/>
  <c r="R26" i="138"/>
  <c r="S26" i="138"/>
  <c r="T26" i="138"/>
  <c r="U26" i="138"/>
  <c r="V26" i="138"/>
  <c r="W26" i="138"/>
  <c r="X26" i="138"/>
  <c r="Y26" i="138"/>
  <c r="O27" i="138"/>
  <c r="P27" i="138"/>
  <c r="Q27" i="138"/>
  <c r="R27" i="138"/>
  <c r="S27" i="138"/>
  <c r="T27" i="138"/>
  <c r="U27" i="138"/>
  <c r="V27" i="138"/>
  <c r="W27" i="138"/>
  <c r="X27" i="138"/>
  <c r="Y27" i="138"/>
  <c r="O28" i="138"/>
  <c r="P28" i="138"/>
  <c r="Q28" i="138"/>
  <c r="R28" i="138"/>
  <c r="S28" i="138"/>
  <c r="T28" i="138"/>
  <c r="U28" i="138"/>
  <c r="V28" i="138"/>
  <c r="W28" i="138"/>
  <c r="X28" i="138"/>
  <c r="Y28" i="138"/>
  <c r="O29" i="138"/>
  <c r="P29" i="138"/>
  <c r="Q29" i="138"/>
  <c r="R29" i="138"/>
  <c r="S29" i="138"/>
  <c r="T29" i="138"/>
  <c r="U29" i="138"/>
  <c r="V29" i="138"/>
  <c r="W29" i="138"/>
  <c r="X29" i="138"/>
  <c r="Y29" i="138"/>
  <c r="O30" i="138"/>
  <c r="P30" i="138"/>
  <c r="Q30" i="138"/>
  <c r="R30" i="138"/>
  <c r="S30" i="138"/>
  <c r="T30" i="138"/>
  <c r="U30" i="138"/>
  <c r="V30" i="138"/>
  <c r="W30" i="138"/>
  <c r="X30" i="138"/>
  <c r="Y30" i="138"/>
  <c r="O31" i="138"/>
  <c r="P31" i="138"/>
  <c r="Q31" i="138"/>
  <c r="R31" i="138"/>
  <c r="S31" i="138"/>
  <c r="T31" i="138"/>
  <c r="U31" i="138"/>
  <c r="V31" i="138"/>
  <c r="W31" i="138"/>
  <c r="X31" i="138"/>
  <c r="Y31" i="138"/>
  <c r="B32" i="138"/>
  <c r="C32" i="138"/>
  <c r="D32" i="139" s="1"/>
  <c r="D32" i="138"/>
  <c r="E32" i="138"/>
  <c r="R32" i="138" s="1"/>
  <c r="F32" i="138"/>
  <c r="G32" i="138"/>
  <c r="G32" i="139" s="1"/>
  <c r="H32" i="138"/>
  <c r="I32" i="138"/>
  <c r="J32" i="138"/>
  <c r="K32" i="138"/>
  <c r="L32" i="138"/>
  <c r="Q32" i="138"/>
  <c r="S32" i="138"/>
  <c r="T32" i="138"/>
  <c r="U32" i="138"/>
  <c r="W32" i="138"/>
  <c r="Y32" i="138"/>
  <c r="O33" i="138"/>
  <c r="P33" i="138"/>
  <c r="Q33" i="138"/>
  <c r="R33" i="138"/>
  <c r="S33" i="138"/>
  <c r="T33" i="138"/>
  <c r="U33" i="138"/>
  <c r="V33" i="138"/>
  <c r="W33" i="138"/>
  <c r="X33" i="138"/>
  <c r="Y33" i="138"/>
  <c r="O34" i="138"/>
  <c r="P34" i="138"/>
  <c r="Q34" i="138"/>
  <c r="R34" i="138"/>
  <c r="S34" i="138"/>
  <c r="T34" i="138"/>
  <c r="U34" i="138"/>
  <c r="V34" i="138"/>
  <c r="W34" i="138"/>
  <c r="X34" i="138"/>
  <c r="Y34" i="138"/>
  <c r="O35" i="138"/>
  <c r="P35" i="138"/>
  <c r="Q35" i="138"/>
  <c r="R35" i="138"/>
  <c r="S35" i="138"/>
  <c r="T35" i="138"/>
  <c r="U35" i="138"/>
  <c r="V35" i="138"/>
  <c r="W35" i="138"/>
  <c r="X35" i="138"/>
  <c r="Y35" i="138"/>
  <c r="O36" i="138"/>
  <c r="P36" i="138"/>
  <c r="Q36" i="138"/>
  <c r="R36" i="138"/>
  <c r="S36" i="138"/>
  <c r="T36" i="138"/>
  <c r="U36" i="138"/>
  <c r="V36" i="138"/>
  <c r="W36" i="138"/>
  <c r="X36" i="138"/>
  <c r="Y36" i="138"/>
  <c r="B37" i="138"/>
  <c r="B37" i="139" s="1"/>
  <c r="C37" i="138"/>
  <c r="D37" i="138"/>
  <c r="D37" i="139" s="1"/>
  <c r="E37" i="138"/>
  <c r="F37" i="138"/>
  <c r="G37" i="138"/>
  <c r="T37" i="138" s="1"/>
  <c r="H37" i="138"/>
  <c r="I37" i="138"/>
  <c r="V37" i="138" s="1"/>
  <c r="J37" i="138"/>
  <c r="J37" i="139" s="1"/>
  <c r="K37" i="138"/>
  <c r="L37" i="138"/>
  <c r="L37" i="139" s="1"/>
  <c r="O37" i="138"/>
  <c r="Q37" i="138"/>
  <c r="R37" i="138"/>
  <c r="S37" i="138"/>
  <c r="U37" i="138"/>
  <c r="Y37" i="138"/>
  <c r="O38" i="138"/>
  <c r="P38" i="138"/>
  <c r="Q38" i="138"/>
  <c r="R38" i="138"/>
  <c r="S38" i="138"/>
  <c r="T38" i="138"/>
  <c r="U38" i="138"/>
  <c r="V38" i="138"/>
  <c r="W38" i="138"/>
  <c r="X38" i="138"/>
  <c r="Y38" i="138"/>
  <c r="O39" i="138"/>
  <c r="P39" i="138"/>
  <c r="Q39" i="138"/>
  <c r="R39" i="138"/>
  <c r="S39" i="138"/>
  <c r="T39" i="138"/>
  <c r="U39" i="138"/>
  <c r="V39" i="138"/>
  <c r="W39" i="138"/>
  <c r="X39" i="138"/>
  <c r="Y39" i="138"/>
  <c r="O40" i="138"/>
  <c r="P40" i="138"/>
  <c r="Q40" i="138"/>
  <c r="R40" i="138"/>
  <c r="S40" i="138"/>
  <c r="T40" i="138"/>
  <c r="U40" i="138"/>
  <c r="V40" i="138"/>
  <c r="W40" i="138"/>
  <c r="X40" i="138"/>
  <c r="Y40" i="138"/>
  <c r="B41" i="138"/>
  <c r="O41" i="138" s="1"/>
  <c r="C41" i="138"/>
  <c r="D41" i="138"/>
  <c r="E41" i="138"/>
  <c r="F41" i="138"/>
  <c r="F41" i="139" s="1"/>
  <c r="G41" i="138"/>
  <c r="G41" i="139" s="1"/>
  <c r="H41" i="138"/>
  <c r="I41" i="138"/>
  <c r="J41" i="138"/>
  <c r="W41" i="138" s="1"/>
  <c r="K41" i="138"/>
  <c r="L41" i="138"/>
  <c r="P41" i="138"/>
  <c r="R41" i="138"/>
  <c r="S41" i="138"/>
  <c r="T41" i="138"/>
  <c r="V41" i="138"/>
  <c r="X41" i="138"/>
  <c r="O42" i="138"/>
  <c r="P42" i="138"/>
  <c r="Q42" i="138"/>
  <c r="R42" i="138"/>
  <c r="S42" i="138"/>
  <c r="T42" i="138"/>
  <c r="U42" i="138"/>
  <c r="V42" i="138"/>
  <c r="W42" i="138"/>
  <c r="X42" i="138"/>
  <c r="Y42" i="138"/>
  <c r="O43" i="138"/>
  <c r="P43" i="138"/>
  <c r="Q43" i="138"/>
  <c r="R43" i="138"/>
  <c r="S43" i="138"/>
  <c r="T43" i="138"/>
  <c r="U43" i="138"/>
  <c r="V43" i="138"/>
  <c r="W43" i="138"/>
  <c r="X43" i="138"/>
  <c r="Y43" i="138"/>
  <c r="O44" i="138"/>
  <c r="P44" i="138"/>
  <c r="Q44" i="138"/>
  <c r="R44" i="138"/>
  <c r="S44" i="138"/>
  <c r="T44" i="138"/>
  <c r="U44" i="138"/>
  <c r="V44" i="138"/>
  <c r="W44" i="138"/>
  <c r="X44" i="138"/>
  <c r="Y44" i="138"/>
  <c r="O45" i="138"/>
  <c r="P45" i="138"/>
  <c r="Q45" i="138"/>
  <c r="R45" i="138"/>
  <c r="S45" i="138"/>
  <c r="T45" i="138"/>
  <c r="U45" i="138"/>
  <c r="V45" i="138"/>
  <c r="W45" i="138"/>
  <c r="X45" i="138"/>
  <c r="Y45" i="138"/>
  <c r="O46" i="138"/>
  <c r="P46" i="138"/>
  <c r="Q46" i="138"/>
  <c r="R46" i="138"/>
  <c r="S46" i="138"/>
  <c r="T46" i="138"/>
  <c r="U46" i="138"/>
  <c r="V46" i="138"/>
  <c r="W46" i="138"/>
  <c r="X46" i="138"/>
  <c r="Y46" i="138"/>
  <c r="O51" i="138"/>
  <c r="P51" i="138"/>
  <c r="Q51" i="138"/>
  <c r="R51" i="138"/>
  <c r="S51" i="138"/>
  <c r="T51" i="138"/>
  <c r="U51" i="138"/>
  <c r="V51" i="138"/>
  <c r="W51" i="138"/>
  <c r="X51" i="138"/>
  <c r="Y51" i="138"/>
  <c r="O52" i="138"/>
  <c r="P52" i="138"/>
  <c r="Q52" i="138"/>
  <c r="R52" i="138"/>
  <c r="S52" i="138"/>
  <c r="T52" i="138"/>
  <c r="U52" i="138"/>
  <c r="V52" i="138"/>
  <c r="W52" i="138"/>
  <c r="X52" i="138"/>
  <c r="Y52" i="138"/>
  <c r="O53" i="138"/>
  <c r="P53" i="138"/>
  <c r="Q53" i="138"/>
  <c r="R53" i="138"/>
  <c r="S53" i="138"/>
  <c r="T53" i="138"/>
  <c r="U53" i="138"/>
  <c r="V53" i="138"/>
  <c r="W53" i="138"/>
  <c r="X53" i="138"/>
  <c r="Y53" i="138"/>
  <c r="O54" i="138"/>
  <c r="P54" i="138"/>
  <c r="Q54" i="138"/>
  <c r="R54" i="138"/>
  <c r="S54" i="138"/>
  <c r="T54" i="138"/>
  <c r="U54" i="138"/>
  <c r="V54" i="138"/>
  <c r="W54" i="138"/>
  <c r="X54" i="138"/>
  <c r="Y54" i="138"/>
  <c r="O55" i="138"/>
  <c r="P55" i="138"/>
  <c r="Q55" i="138"/>
  <c r="R55" i="138"/>
  <c r="S55" i="138"/>
  <c r="T55" i="138"/>
  <c r="U55" i="138"/>
  <c r="V55" i="138"/>
  <c r="W55" i="138"/>
  <c r="X55" i="138"/>
  <c r="Y55" i="138"/>
  <c r="O56" i="138"/>
  <c r="P56" i="138"/>
  <c r="Q56" i="138"/>
  <c r="R56" i="138"/>
  <c r="S56" i="138"/>
  <c r="T56" i="138"/>
  <c r="U56" i="138"/>
  <c r="V56" i="138"/>
  <c r="W56" i="138"/>
  <c r="X56" i="138"/>
  <c r="Y56" i="138"/>
  <c r="B58" i="138"/>
  <c r="C58" i="138"/>
  <c r="D58" i="138"/>
  <c r="D58" i="139" s="1"/>
  <c r="E58" i="138"/>
  <c r="F58" i="138"/>
  <c r="G58" i="138"/>
  <c r="H58" i="139" s="1"/>
  <c r="H58" i="138"/>
  <c r="I58" i="138"/>
  <c r="J58" i="138"/>
  <c r="K58" i="138"/>
  <c r="L58" i="138"/>
  <c r="L58" i="139" s="1"/>
  <c r="O58" i="138"/>
  <c r="P58" i="138"/>
  <c r="Q58" i="138"/>
  <c r="U58" i="138"/>
  <c r="W58" i="138"/>
  <c r="X58" i="138"/>
  <c r="Y58" i="138"/>
  <c r="O59" i="138"/>
  <c r="P59" i="138"/>
  <c r="Q59" i="138"/>
  <c r="R59" i="138"/>
  <c r="S59" i="138"/>
  <c r="T59" i="138"/>
  <c r="U59" i="138"/>
  <c r="V59" i="138"/>
  <c r="W59" i="138"/>
  <c r="X59" i="138"/>
  <c r="Y59" i="138"/>
  <c r="O60" i="138"/>
  <c r="P60" i="138"/>
  <c r="Q60" i="138"/>
  <c r="R60" i="138"/>
  <c r="S60" i="138"/>
  <c r="T60" i="138"/>
  <c r="U60" i="138"/>
  <c r="V60" i="138"/>
  <c r="W60" i="138"/>
  <c r="X60" i="138"/>
  <c r="Y60" i="138"/>
  <c r="O61" i="138"/>
  <c r="P61" i="138"/>
  <c r="Q61" i="138"/>
  <c r="R61" i="138"/>
  <c r="S61" i="138"/>
  <c r="T61" i="138"/>
  <c r="U61" i="138"/>
  <c r="V61" i="138"/>
  <c r="W61" i="138"/>
  <c r="X61" i="138"/>
  <c r="Y61" i="138"/>
  <c r="B62" i="138"/>
  <c r="C62" i="138"/>
  <c r="F62" i="138"/>
  <c r="G62" i="138"/>
  <c r="K62" i="138"/>
  <c r="P62" i="138"/>
  <c r="T62" i="138"/>
  <c r="X62" i="138"/>
  <c r="B63" i="138"/>
  <c r="C63" i="138"/>
  <c r="C63" i="139" s="1"/>
  <c r="D63" i="138"/>
  <c r="E63" i="138"/>
  <c r="F63" i="138"/>
  <c r="G63" i="138"/>
  <c r="G63" i="139" s="1"/>
  <c r="H63" i="138"/>
  <c r="U63" i="138" s="1"/>
  <c r="I63" i="138"/>
  <c r="I62" i="138" s="1"/>
  <c r="J63" i="138"/>
  <c r="J63" i="139" s="1"/>
  <c r="K63" i="138"/>
  <c r="K63" i="139" s="1"/>
  <c r="L63" i="138"/>
  <c r="O63" i="138"/>
  <c r="P63" i="138"/>
  <c r="S63" i="138"/>
  <c r="T63" i="138"/>
  <c r="V63" i="138"/>
  <c r="W63" i="138"/>
  <c r="X63" i="138"/>
  <c r="O64" i="138"/>
  <c r="P64" i="138"/>
  <c r="Q64" i="138"/>
  <c r="R64" i="138"/>
  <c r="S64" i="138"/>
  <c r="T64" i="138"/>
  <c r="U64" i="138"/>
  <c r="V64" i="138"/>
  <c r="W64" i="138"/>
  <c r="X64" i="138"/>
  <c r="Y64" i="138"/>
  <c r="O65" i="138"/>
  <c r="P65" i="138"/>
  <c r="Q65" i="138"/>
  <c r="R65" i="138"/>
  <c r="S65" i="138"/>
  <c r="T65" i="138"/>
  <c r="U65" i="138"/>
  <c r="V65" i="138"/>
  <c r="W65" i="138"/>
  <c r="X65" i="138"/>
  <c r="Y65" i="138"/>
  <c r="O66" i="138"/>
  <c r="P66" i="138"/>
  <c r="Q66" i="138"/>
  <c r="R66" i="138"/>
  <c r="S66" i="138"/>
  <c r="T66" i="138"/>
  <c r="U66" i="138"/>
  <c r="V66" i="138"/>
  <c r="W66" i="138"/>
  <c r="X66" i="138"/>
  <c r="Y66" i="138"/>
  <c r="O67" i="138"/>
  <c r="P67" i="138"/>
  <c r="Q67" i="138"/>
  <c r="R67" i="138"/>
  <c r="S67" i="138"/>
  <c r="T67" i="138"/>
  <c r="U67" i="138"/>
  <c r="V67" i="138"/>
  <c r="W67" i="138"/>
  <c r="X67" i="138"/>
  <c r="Y67" i="138"/>
  <c r="O68" i="138"/>
  <c r="P68" i="138"/>
  <c r="Q68" i="138"/>
  <c r="R68" i="138"/>
  <c r="S68" i="138"/>
  <c r="T68" i="138"/>
  <c r="U68" i="138"/>
  <c r="V68" i="138"/>
  <c r="W68" i="138"/>
  <c r="X68" i="138"/>
  <c r="Y68" i="138"/>
  <c r="O69" i="138"/>
  <c r="P69" i="138"/>
  <c r="Q69" i="138"/>
  <c r="R69" i="138"/>
  <c r="S69" i="138"/>
  <c r="T69" i="138"/>
  <c r="U69" i="138"/>
  <c r="V69" i="138"/>
  <c r="W69" i="138"/>
  <c r="X69" i="138"/>
  <c r="Y69" i="138"/>
  <c r="O70" i="138"/>
  <c r="P70" i="138"/>
  <c r="Q70" i="138"/>
  <c r="R70" i="138"/>
  <c r="S70" i="138"/>
  <c r="T70" i="138"/>
  <c r="U70" i="138"/>
  <c r="V70" i="138"/>
  <c r="W70" i="138"/>
  <c r="X70" i="138"/>
  <c r="Y70" i="138"/>
  <c r="O71" i="138"/>
  <c r="P71" i="138"/>
  <c r="Q71" i="138"/>
  <c r="R71" i="138"/>
  <c r="S71" i="138"/>
  <c r="T71" i="138"/>
  <c r="U71" i="138"/>
  <c r="V71" i="138"/>
  <c r="W71" i="138"/>
  <c r="X71" i="138"/>
  <c r="Y71" i="138"/>
  <c r="O72" i="138"/>
  <c r="P72" i="138"/>
  <c r="Q72" i="138"/>
  <c r="R72" i="138"/>
  <c r="S72" i="138"/>
  <c r="T72" i="138"/>
  <c r="U72" i="138"/>
  <c r="V72" i="138"/>
  <c r="W72" i="138"/>
  <c r="X72" i="138"/>
  <c r="Y72" i="138"/>
  <c r="O73" i="138"/>
  <c r="P73" i="138"/>
  <c r="Q73" i="138"/>
  <c r="R73" i="138"/>
  <c r="S73" i="138"/>
  <c r="T73" i="138"/>
  <c r="U73" i="138"/>
  <c r="V73" i="138"/>
  <c r="W73" i="138"/>
  <c r="X73" i="138"/>
  <c r="Y73" i="138"/>
  <c r="O74" i="138"/>
  <c r="P74" i="138"/>
  <c r="Q74" i="138"/>
  <c r="R74" i="138"/>
  <c r="S74" i="138"/>
  <c r="T74" i="138"/>
  <c r="U74" i="138"/>
  <c r="V74" i="138"/>
  <c r="W74" i="138"/>
  <c r="X74" i="138"/>
  <c r="Y74" i="138"/>
  <c r="O75" i="138"/>
  <c r="P75" i="138"/>
  <c r="Q75" i="138"/>
  <c r="R75" i="138"/>
  <c r="S75" i="138"/>
  <c r="T75" i="138"/>
  <c r="U75" i="138"/>
  <c r="V75" i="138"/>
  <c r="W75" i="138"/>
  <c r="X75" i="138"/>
  <c r="Y75" i="138"/>
  <c r="O76" i="138"/>
  <c r="P76" i="138"/>
  <c r="Q76" i="138"/>
  <c r="R76" i="138"/>
  <c r="S76" i="138"/>
  <c r="T76" i="138"/>
  <c r="U76" i="138"/>
  <c r="V76" i="138"/>
  <c r="W76" i="138"/>
  <c r="X76" i="138"/>
  <c r="Y76" i="138"/>
  <c r="O77" i="138"/>
  <c r="P77" i="138"/>
  <c r="Q77" i="138"/>
  <c r="R77" i="138"/>
  <c r="S77" i="138"/>
  <c r="T77" i="138"/>
  <c r="U77" i="138"/>
  <c r="V77" i="138"/>
  <c r="W77" i="138"/>
  <c r="X77" i="138"/>
  <c r="Y77" i="138"/>
  <c r="O78" i="138"/>
  <c r="P78" i="138"/>
  <c r="Q78" i="138"/>
  <c r="R78" i="138"/>
  <c r="S78" i="138"/>
  <c r="T78" i="138"/>
  <c r="U78" i="138"/>
  <c r="V78" i="138"/>
  <c r="W78" i="138"/>
  <c r="X78" i="138"/>
  <c r="Y78" i="138"/>
  <c r="B79" i="138"/>
  <c r="O79" i="138" s="1"/>
  <c r="E79" i="138"/>
  <c r="F79" i="138"/>
  <c r="G79" i="138"/>
  <c r="J79" i="138"/>
  <c r="S79" i="138"/>
  <c r="T79" i="138"/>
  <c r="W79" i="138"/>
  <c r="B80" i="138"/>
  <c r="B80" i="139" s="1"/>
  <c r="C80" i="138"/>
  <c r="D80" i="138"/>
  <c r="D79" i="138" s="1"/>
  <c r="E80" i="138"/>
  <c r="F80" i="138"/>
  <c r="F80" i="139" s="1"/>
  <c r="G80" i="138"/>
  <c r="T80" i="138" s="1"/>
  <c r="H80" i="138"/>
  <c r="I80" i="138"/>
  <c r="I79" i="138" s="1"/>
  <c r="V79" i="138" s="1"/>
  <c r="J80" i="138"/>
  <c r="J80" i="139" s="1"/>
  <c r="K80" i="138"/>
  <c r="L80" i="138"/>
  <c r="O80" i="138"/>
  <c r="R80" i="138"/>
  <c r="S80" i="138"/>
  <c r="U80" i="138"/>
  <c r="V80" i="138"/>
  <c r="W80" i="138"/>
  <c r="O81" i="138"/>
  <c r="P81" i="138"/>
  <c r="Q81" i="138"/>
  <c r="R81" i="138"/>
  <c r="S81" i="138"/>
  <c r="T81" i="138"/>
  <c r="U81" i="138"/>
  <c r="V81" i="138"/>
  <c r="W81" i="138"/>
  <c r="X81" i="138"/>
  <c r="Y81" i="138"/>
  <c r="O82" i="138"/>
  <c r="P82" i="138"/>
  <c r="Q82" i="138"/>
  <c r="R82" i="138"/>
  <c r="S82" i="138"/>
  <c r="T82" i="138"/>
  <c r="U82" i="138"/>
  <c r="V82" i="138"/>
  <c r="W82" i="138"/>
  <c r="X82" i="138"/>
  <c r="Y82" i="138"/>
  <c r="O83" i="138"/>
  <c r="P83" i="138"/>
  <c r="Q83" i="138"/>
  <c r="R83" i="138"/>
  <c r="S83" i="138"/>
  <c r="T83" i="138"/>
  <c r="U83" i="138"/>
  <c r="V83" i="138"/>
  <c r="W83" i="138"/>
  <c r="X83" i="138"/>
  <c r="Y83" i="138"/>
  <c r="O84" i="138"/>
  <c r="P84" i="138"/>
  <c r="Q84" i="138"/>
  <c r="R84" i="138"/>
  <c r="S84" i="138"/>
  <c r="T84" i="138"/>
  <c r="U84" i="138"/>
  <c r="V84" i="138"/>
  <c r="W84" i="138"/>
  <c r="X84" i="138"/>
  <c r="Y84" i="138"/>
  <c r="O85" i="138"/>
  <c r="P85" i="138"/>
  <c r="Q85" i="138"/>
  <c r="R85" i="138"/>
  <c r="S85" i="138"/>
  <c r="T85" i="138"/>
  <c r="U85" i="138"/>
  <c r="V85" i="138"/>
  <c r="W85" i="138"/>
  <c r="X85" i="138"/>
  <c r="Y85" i="138"/>
  <c r="O86" i="138"/>
  <c r="P86" i="138"/>
  <c r="Q86" i="138"/>
  <c r="R86" i="138"/>
  <c r="S86" i="138"/>
  <c r="T86" i="138"/>
  <c r="U86" i="138"/>
  <c r="V86" i="138"/>
  <c r="W86" i="138"/>
  <c r="X86" i="138"/>
  <c r="Y86" i="138"/>
  <c r="O87" i="138"/>
  <c r="P87" i="138"/>
  <c r="Q87" i="138"/>
  <c r="R87" i="138"/>
  <c r="S87" i="138"/>
  <c r="T87" i="138"/>
  <c r="U87" i="138"/>
  <c r="V87" i="138"/>
  <c r="W87" i="138"/>
  <c r="X87" i="138"/>
  <c r="Y87" i="138"/>
  <c r="B88" i="138"/>
  <c r="C88" i="138"/>
  <c r="P88" i="138" s="1"/>
  <c r="D88" i="138"/>
  <c r="E88" i="138"/>
  <c r="E88" i="139" s="1"/>
  <c r="F88" i="138"/>
  <c r="G88" i="139" s="1"/>
  <c r="G88" i="138"/>
  <c r="H88" i="138"/>
  <c r="H88" i="139" s="1"/>
  <c r="I88" i="138"/>
  <c r="J88" i="138"/>
  <c r="K88" i="138"/>
  <c r="X88" i="138" s="1"/>
  <c r="L88" i="138"/>
  <c r="R88" i="138"/>
  <c r="S88" i="138"/>
  <c r="T88" i="138"/>
  <c r="U88" i="138"/>
  <c r="O89" i="138"/>
  <c r="P89" i="138"/>
  <c r="Q89" i="138"/>
  <c r="R89" i="138"/>
  <c r="S89" i="138"/>
  <c r="T89" i="138"/>
  <c r="U89" i="138"/>
  <c r="V89" i="138"/>
  <c r="W89" i="138"/>
  <c r="X89" i="138"/>
  <c r="Y89" i="138"/>
  <c r="O90" i="138"/>
  <c r="P90" i="138"/>
  <c r="Q90" i="138"/>
  <c r="R90" i="138"/>
  <c r="S90" i="138"/>
  <c r="T90" i="138"/>
  <c r="U90" i="138"/>
  <c r="V90" i="138"/>
  <c r="W90" i="138"/>
  <c r="X90" i="138"/>
  <c r="Y90" i="138"/>
  <c r="B4" i="137"/>
  <c r="B8" i="137" s="1"/>
  <c r="B38" i="137" s="1"/>
  <c r="C4" i="137"/>
  <c r="D4" i="137"/>
  <c r="D39" i="137" s="1"/>
  <c r="D43" i="137" s="1"/>
  <c r="E4" i="137"/>
  <c r="F4" i="137"/>
  <c r="F8" i="137" s="1"/>
  <c r="G4" i="137"/>
  <c r="H4" i="137"/>
  <c r="E8" i="137"/>
  <c r="E38" i="137" s="1"/>
  <c r="G8" i="137"/>
  <c r="G38" i="137" s="1"/>
  <c r="H8" i="137"/>
  <c r="F38" i="137"/>
  <c r="H38" i="137"/>
  <c r="B39" i="137"/>
  <c r="E39" i="137"/>
  <c r="G39" i="137"/>
  <c r="G41" i="137" s="1"/>
  <c r="H39" i="137"/>
  <c r="B40" i="137"/>
  <c r="C40" i="137"/>
  <c r="D40" i="137"/>
  <c r="E40" i="137"/>
  <c r="F40" i="137"/>
  <c r="G40" i="137"/>
  <c r="H40" i="137"/>
  <c r="E41" i="137"/>
  <c r="H41" i="137"/>
  <c r="E43" i="137"/>
  <c r="G43" i="137"/>
  <c r="H43" i="137"/>
  <c r="C3" i="136"/>
  <c r="C5" i="136" s="1"/>
  <c r="C7" i="136" s="1"/>
  <c r="C9" i="136" s="1"/>
  <c r="D3" i="136"/>
  <c r="D5" i="136" s="1"/>
  <c r="D7" i="136" s="1"/>
  <c r="E3" i="136"/>
  <c r="F3" i="136"/>
  <c r="G3" i="136"/>
  <c r="H3" i="136"/>
  <c r="H5" i="136" s="1"/>
  <c r="H7" i="136" s="1"/>
  <c r="H9" i="136" s="1"/>
  <c r="I3" i="136"/>
  <c r="I5" i="136" s="1"/>
  <c r="I7" i="136" s="1"/>
  <c r="I9" i="136" s="1"/>
  <c r="J3" i="136"/>
  <c r="J5" i="136" s="1"/>
  <c r="J7" i="136" s="1"/>
  <c r="J9" i="136" s="1"/>
  <c r="K3" i="136"/>
  <c r="K5" i="136" s="1"/>
  <c r="K7" i="136" s="1"/>
  <c r="K9" i="136" s="1"/>
  <c r="C4" i="136"/>
  <c r="D4" i="136"/>
  <c r="E4" i="136"/>
  <c r="E5" i="136" s="1"/>
  <c r="E7" i="136" s="1"/>
  <c r="E9" i="136" s="1"/>
  <c r="F4" i="136"/>
  <c r="G4" i="136"/>
  <c r="H4" i="136"/>
  <c r="I4" i="136"/>
  <c r="J4" i="136"/>
  <c r="K4" i="136"/>
  <c r="F5" i="136"/>
  <c r="F7" i="136" s="1"/>
  <c r="F9" i="136" s="1"/>
  <c r="G5" i="136"/>
  <c r="G7" i="136" s="1"/>
  <c r="G9" i="136" s="1"/>
  <c r="C6" i="136"/>
  <c r="D6" i="136"/>
  <c r="E6" i="136"/>
  <c r="F6" i="136"/>
  <c r="G6" i="136"/>
  <c r="H6" i="136"/>
  <c r="I6" i="136"/>
  <c r="J6" i="136"/>
  <c r="K6" i="136"/>
  <c r="C8" i="136"/>
  <c r="D8" i="136"/>
  <c r="E8" i="136"/>
  <c r="F8" i="136"/>
  <c r="G8" i="136"/>
  <c r="H8" i="136"/>
  <c r="I8" i="136"/>
  <c r="J8" i="136"/>
  <c r="K8" i="136"/>
  <c r="D9" i="136"/>
  <c r="B17" i="136"/>
  <c r="C17" i="136"/>
  <c r="D17" i="136"/>
  <c r="E17" i="136"/>
  <c r="F17" i="136"/>
  <c r="G17" i="136"/>
  <c r="H17" i="136"/>
  <c r="I17" i="136"/>
  <c r="J17" i="136"/>
  <c r="K17" i="136"/>
  <c r="B3" i="135"/>
  <c r="B26" i="135" s="1"/>
  <c r="B27" i="135" s="1"/>
  <c r="C3" i="135"/>
  <c r="D3" i="135"/>
  <c r="D26" i="135" s="1"/>
  <c r="D27" i="135" s="1"/>
  <c r="E3" i="135"/>
  <c r="E26" i="135" s="1"/>
  <c r="E27" i="135" s="1"/>
  <c r="F3" i="135"/>
  <c r="G3" i="135"/>
  <c r="H3" i="135"/>
  <c r="I3" i="135"/>
  <c r="I26" i="135" s="1"/>
  <c r="I27" i="135" s="1"/>
  <c r="J3" i="135"/>
  <c r="K3" i="135"/>
  <c r="B15" i="135"/>
  <c r="C15" i="135"/>
  <c r="D15" i="135"/>
  <c r="E15" i="135"/>
  <c r="F15" i="135"/>
  <c r="G15" i="135"/>
  <c r="H15" i="135"/>
  <c r="I15" i="135"/>
  <c r="J15" i="135"/>
  <c r="K15" i="135"/>
  <c r="G17" i="135"/>
  <c r="G20" i="135"/>
  <c r="B22" i="135"/>
  <c r="C22" i="135"/>
  <c r="C26" i="135" s="1"/>
  <c r="C27" i="135" s="1"/>
  <c r="D22" i="135"/>
  <c r="E22" i="135"/>
  <c r="F22" i="135"/>
  <c r="H22" i="135"/>
  <c r="I22" i="135"/>
  <c r="J22" i="135"/>
  <c r="K22" i="135"/>
  <c r="K26" i="135" s="1"/>
  <c r="K27" i="135" s="1"/>
  <c r="G24" i="135"/>
  <c r="G22" i="135" s="1"/>
  <c r="H24" i="135"/>
  <c r="F26" i="135"/>
  <c r="G26" i="135"/>
  <c r="G27" i="135" s="1"/>
  <c r="H26" i="135"/>
  <c r="H27" i="135" s="1"/>
  <c r="J26" i="135"/>
  <c r="J27" i="135" s="1"/>
  <c r="F27" i="135"/>
  <c r="C3" i="134"/>
  <c r="D3" i="134"/>
  <c r="D10" i="134" s="1"/>
  <c r="E3" i="134"/>
  <c r="E10" i="134" s="1"/>
  <c r="F3" i="134"/>
  <c r="C4" i="134"/>
  <c r="F4" i="134" s="1"/>
  <c r="D4" i="134"/>
  <c r="E4" i="134"/>
  <c r="C5" i="134"/>
  <c r="D5" i="134"/>
  <c r="E5" i="134"/>
  <c r="F5" i="134"/>
  <c r="C6" i="134"/>
  <c r="F6" i="134" s="1"/>
  <c r="D6" i="134"/>
  <c r="E6" i="134"/>
  <c r="C7" i="134"/>
  <c r="D7" i="134"/>
  <c r="E7" i="134"/>
  <c r="F7" i="134"/>
  <c r="C8" i="134"/>
  <c r="F8" i="134" s="1"/>
  <c r="D8" i="134"/>
  <c r="E8" i="134"/>
  <c r="C9" i="134"/>
  <c r="D9" i="134"/>
  <c r="E9" i="134"/>
  <c r="F9" i="134" s="1"/>
  <c r="C4" i="133"/>
  <c r="D4" i="133"/>
  <c r="E4" i="133"/>
  <c r="F4" i="133"/>
  <c r="F33" i="133" s="1"/>
  <c r="G4" i="133"/>
  <c r="G33" i="133" s="1"/>
  <c r="H4" i="133"/>
  <c r="H33" i="133" s="1"/>
  <c r="C13" i="133"/>
  <c r="C42" i="133" s="1"/>
  <c r="D13" i="133"/>
  <c r="E13" i="133"/>
  <c r="F13" i="133"/>
  <c r="F42" i="133" s="1"/>
  <c r="G13" i="133"/>
  <c r="H13" i="133"/>
  <c r="H23" i="133" s="1"/>
  <c r="E33" i="133"/>
  <c r="C34" i="133"/>
  <c r="D34" i="133"/>
  <c r="E34" i="133"/>
  <c r="F34" i="133"/>
  <c r="G34" i="133"/>
  <c r="H34" i="133"/>
  <c r="C35" i="133"/>
  <c r="D35" i="133"/>
  <c r="E35" i="133"/>
  <c r="F35" i="133"/>
  <c r="G35" i="133"/>
  <c r="H35" i="133"/>
  <c r="C36" i="133"/>
  <c r="D36" i="133"/>
  <c r="E36" i="133"/>
  <c r="F36" i="133"/>
  <c r="G36" i="133"/>
  <c r="H36" i="133"/>
  <c r="C37" i="133"/>
  <c r="D37" i="133"/>
  <c r="E37" i="133"/>
  <c r="F37" i="133"/>
  <c r="G37" i="133"/>
  <c r="H37" i="133"/>
  <c r="C38" i="133"/>
  <c r="D38" i="133"/>
  <c r="E38" i="133"/>
  <c r="F38" i="133"/>
  <c r="G38" i="133"/>
  <c r="H38" i="133"/>
  <c r="C39" i="133"/>
  <c r="D39" i="133"/>
  <c r="E39" i="133"/>
  <c r="F39" i="133"/>
  <c r="G39" i="133"/>
  <c r="H39" i="133"/>
  <c r="C40" i="133"/>
  <c r="D40" i="133"/>
  <c r="E40" i="133"/>
  <c r="F40" i="133"/>
  <c r="G40" i="133"/>
  <c r="H40" i="133"/>
  <c r="C41" i="133"/>
  <c r="D41" i="133"/>
  <c r="E41" i="133"/>
  <c r="F41" i="133"/>
  <c r="G41" i="133"/>
  <c r="H41" i="133"/>
  <c r="D42" i="133"/>
  <c r="E42" i="133"/>
  <c r="G42" i="133"/>
  <c r="C43" i="133"/>
  <c r="D43" i="133"/>
  <c r="E43" i="133"/>
  <c r="F43" i="133"/>
  <c r="G43" i="133"/>
  <c r="H43" i="133"/>
  <c r="C44" i="133"/>
  <c r="D44" i="133"/>
  <c r="E44" i="133"/>
  <c r="F44" i="133"/>
  <c r="G44" i="133"/>
  <c r="H44" i="133"/>
  <c r="C45" i="133"/>
  <c r="D45" i="133"/>
  <c r="E45" i="133"/>
  <c r="F45" i="133"/>
  <c r="G45" i="133"/>
  <c r="H45" i="133"/>
  <c r="C46" i="133"/>
  <c r="D46" i="133"/>
  <c r="E46" i="133"/>
  <c r="F46" i="133"/>
  <c r="G46" i="133"/>
  <c r="H46" i="133"/>
  <c r="C47" i="133"/>
  <c r="D47" i="133"/>
  <c r="E47" i="133"/>
  <c r="F47" i="133"/>
  <c r="G47" i="133"/>
  <c r="H47" i="133"/>
  <c r="C48" i="133"/>
  <c r="D48" i="133"/>
  <c r="E48" i="133"/>
  <c r="F48" i="133"/>
  <c r="G48" i="133"/>
  <c r="H48" i="133"/>
  <c r="C49" i="133"/>
  <c r="D49" i="133"/>
  <c r="E49" i="133"/>
  <c r="F49" i="133"/>
  <c r="G49" i="133"/>
  <c r="H49" i="133"/>
  <c r="C50" i="133"/>
  <c r="D50" i="133"/>
  <c r="E50" i="133"/>
  <c r="F50" i="133"/>
  <c r="G50" i="133"/>
  <c r="H50" i="133"/>
  <c r="C51" i="133"/>
  <c r="D51" i="133"/>
  <c r="E51" i="133"/>
  <c r="F51" i="133"/>
  <c r="G51" i="133"/>
  <c r="H51" i="133"/>
  <c r="C54" i="133"/>
  <c r="D54" i="133"/>
  <c r="E54" i="133"/>
  <c r="F54" i="133"/>
  <c r="G54" i="133"/>
  <c r="B3" i="132"/>
  <c r="B9" i="132" s="1"/>
  <c r="C3" i="132"/>
  <c r="D3" i="132"/>
  <c r="E3" i="132"/>
  <c r="D7" i="132"/>
  <c r="E7" i="132"/>
  <c r="C9" i="132"/>
  <c r="D9" i="132"/>
  <c r="E9" i="132"/>
  <c r="B18" i="132"/>
  <c r="B17" i="132" s="1"/>
  <c r="C18" i="132"/>
  <c r="D18" i="132"/>
  <c r="E18" i="132"/>
  <c r="B19" i="132"/>
  <c r="C19" i="132"/>
  <c r="D19" i="132"/>
  <c r="D17" i="132" s="1"/>
  <c r="E19" i="132"/>
  <c r="E17" i="132" s="1"/>
  <c r="B20" i="132"/>
  <c r="C20" i="132"/>
  <c r="D20" i="132"/>
  <c r="E20" i="132"/>
  <c r="B22" i="132"/>
  <c r="C22" i="132"/>
  <c r="D22" i="132"/>
  <c r="E22" i="132"/>
  <c r="D23" i="132"/>
  <c r="D21" i="132" s="1"/>
  <c r="E23" i="132"/>
  <c r="E21" i="132" s="1"/>
  <c r="B24" i="132"/>
  <c r="C24" i="132"/>
  <c r="D24" i="132"/>
  <c r="E24" i="132"/>
  <c r="C12" i="131"/>
  <c r="D12" i="131"/>
  <c r="E12" i="131"/>
  <c r="F12" i="131"/>
  <c r="C14" i="131"/>
  <c r="D14" i="131"/>
  <c r="E14" i="131"/>
  <c r="F14" i="131"/>
  <c r="C20" i="131"/>
  <c r="C21" i="131"/>
  <c r="D21" i="131"/>
  <c r="C23" i="131"/>
  <c r="C24" i="131"/>
  <c r="C25" i="131"/>
  <c r="C26" i="131"/>
  <c r="C27" i="131"/>
  <c r="D27" i="131"/>
  <c r="E27" i="131"/>
  <c r="F27" i="131"/>
  <c r="F29" i="131" s="1"/>
  <c r="C28" i="131"/>
  <c r="D29" i="131"/>
  <c r="E29" i="131"/>
  <c r="C30" i="131"/>
  <c r="C31" i="131" s="1"/>
  <c r="D31" i="131"/>
  <c r="E31" i="131"/>
  <c r="F31" i="131"/>
  <c r="C3" i="130"/>
  <c r="C17" i="130" s="1"/>
  <c r="D3" i="130"/>
  <c r="C8" i="130"/>
  <c r="D8" i="130"/>
  <c r="D17" i="130"/>
  <c r="D5" i="129"/>
  <c r="E5" i="129"/>
  <c r="F5" i="129"/>
  <c r="G5" i="129"/>
  <c r="L4" i="128"/>
  <c r="L8" i="128" s="1"/>
  <c r="M4" i="128"/>
  <c r="N4" i="128"/>
  <c r="O4" i="128"/>
  <c r="B7" i="128"/>
  <c r="C7" i="128"/>
  <c r="D7" i="128"/>
  <c r="E7" i="128"/>
  <c r="F7" i="128"/>
  <c r="G7" i="128"/>
  <c r="H7" i="128"/>
  <c r="I7" i="128"/>
  <c r="J7" i="128"/>
  <c r="K7" i="128"/>
  <c r="L7" i="128"/>
  <c r="M7" i="128"/>
  <c r="N7" i="128"/>
  <c r="O7" i="128"/>
  <c r="M8" i="128"/>
  <c r="N8" i="128"/>
  <c r="O8" i="128"/>
  <c r="D5" i="127"/>
  <c r="E5" i="127"/>
  <c r="F5" i="127"/>
  <c r="G5" i="127"/>
  <c r="B6" i="126"/>
  <c r="C6" i="126"/>
  <c r="D6" i="126"/>
  <c r="E6" i="126"/>
  <c r="B4" i="125"/>
  <c r="C4" i="125"/>
  <c r="B6" i="125"/>
  <c r="C6" i="125"/>
  <c r="D6" i="125"/>
  <c r="E6" i="125"/>
  <c r="F6" i="125"/>
  <c r="G6" i="125"/>
  <c r="H6" i="125"/>
  <c r="J8" i="125"/>
  <c r="K8" i="125"/>
  <c r="L8" i="125"/>
  <c r="C10" i="125"/>
  <c r="D10" i="125"/>
  <c r="E10" i="125"/>
  <c r="F10" i="125"/>
  <c r="G10" i="125"/>
  <c r="H10" i="125"/>
  <c r="I10" i="125"/>
  <c r="J10" i="125"/>
  <c r="K10" i="125"/>
  <c r="L10" i="125"/>
  <c r="C11" i="125"/>
  <c r="C19" i="125" s="1"/>
  <c r="D11" i="125"/>
  <c r="E11" i="125"/>
  <c r="F11" i="125"/>
  <c r="G11" i="125"/>
  <c r="H11" i="125"/>
  <c r="I11" i="125"/>
  <c r="J11" i="125"/>
  <c r="K11" i="125"/>
  <c r="L11" i="125"/>
  <c r="C12" i="125"/>
  <c r="D12" i="125"/>
  <c r="E12" i="125"/>
  <c r="F12" i="125"/>
  <c r="G12" i="125"/>
  <c r="H12" i="125"/>
  <c r="I12" i="125"/>
  <c r="J12" i="125"/>
  <c r="K12" i="125"/>
  <c r="L12" i="125"/>
  <c r="C18" i="125"/>
  <c r="D18" i="125" s="1"/>
  <c r="E18" i="125" s="1"/>
  <c r="F18" i="125" s="1"/>
  <c r="G18" i="125" s="1"/>
  <c r="H18" i="125" s="1"/>
  <c r="I18" i="125" s="1"/>
  <c r="J18" i="125" s="1"/>
  <c r="K18" i="125" s="1"/>
  <c r="L18" i="125" s="1"/>
  <c r="B20" i="125"/>
  <c r="C20" i="125"/>
  <c r="D20" i="125" s="1"/>
  <c r="E20" i="125" s="1"/>
  <c r="F20" i="125" s="1"/>
  <c r="G20" i="125" s="1"/>
  <c r="H20" i="125" s="1"/>
  <c r="I20" i="125" s="1"/>
  <c r="J20" i="125" s="1"/>
  <c r="K20" i="125" s="1"/>
  <c r="L20" i="125" s="1"/>
  <c r="C5" i="124"/>
  <c r="D5" i="124"/>
  <c r="E5" i="124"/>
  <c r="B13" i="124"/>
  <c r="B12" i="124" s="1"/>
  <c r="C13" i="124"/>
  <c r="D13" i="124"/>
  <c r="E13" i="124"/>
  <c r="B14" i="124"/>
  <c r="C14" i="124"/>
  <c r="C12" i="124" s="1"/>
  <c r="D14" i="124"/>
  <c r="D12" i="124" s="1"/>
  <c r="E14" i="124"/>
  <c r="E12" i="124" s="1"/>
  <c r="B15" i="124"/>
  <c r="C15" i="124"/>
  <c r="D15" i="124"/>
  <c r="E15" i="124"/>
  <c r="E4" i="123"/>
  <c r="E11" i="123" s="1"/>
  <c r="F4" i="123"/>
  <c r="F11" i="123" s="1"/>
  <c r="G4" i="123" s="1"/>
  <c r="G11" i="123" s="1"/>
  <c r="H4" i="123" s="1"/>
  <c r="H11" i="123" s="1"/>
  <c r="B11" i="123"/>
  <c r="C4" i="123" s="1"/>
  <c r="C11" i="123" s="1"/>
  <c r="D4" i="123" s="1"/>
  <c r="D11" i="123" s="1"/>
  <c r="H12" i="123"/>
  <c r="B21" i="123"/>
  <c r="C15" i="123" s="1"/>
  <c r="C21" i="123" s="1"/>
  <c r="D15" i="123" s="1"/>
  <c r="D21" i="123" s="1"/>
  <c r="E15" i="123" s="1"/>
  <c r="E21" i="123" s="1"/>
  <c r="F15" i="123" s="1"/>
  <c r="F21" i="123" s="1"/>
  <c r="G15" i="123" s="1"/>
  <c r="G21" i="123" s="1"/>
  <c r="H15" i="123" s="1"/>
  <c r="H21" i="123" s="1"/>
  <c r="C4" i="122"/>
  <c r="D4" i="122"/>
  <c r="E4" i="122"/>
  <c r="F4" i="122"/>
  <c r="G4" i="122"/>
  <c r="H4" i="122"/>
  <c r="I4" i="122"/>
  <c r="E5" i="122"/>
  <c r="E6" i="122" s="1"/>
  <c r="F5" i="122"/>
  <c r="F6" i="122" s="1"/>
  <c r="I5" i="122"/>
  <c r="B6" i="122"/>
  <c r="C6" i="122"/>
  <c r="D6" i="122"/>
  <c r="G6" i="122"/>
  <c r="H6" i="122"/>
  <c r="I6" i="122"/>
  <c r="B5" i="121"/>
  <c r="C5" i="121"/>
  <c r="D5" i="121"/>
  <c r="E5" i="121"/>
  <c r="C7" i="119"/>
  <c r="G7" i="119"/>
  <c r="I7" i="119"/>
  <c r="C11" i="119"/>
  <c r="E11" i="119"/>
  <c r="G11" i="119"/>
  <c r="I11" i="119"/>
  <c r="B16" i="119"/>
  <c r="C16" i="119"/>
  <c r="C17" i="119" s="1"/>
  <c r="D16" i="119"/>
  <c r="E17" i="119"/>
  <c r="F16" i="119"/>
  <c r="G16" i="119"/>
  <c r="H16" i="119"/>
  <c r="I16" i="119"/>
  <c r="G17" i="119"/>
  <c r="I17" i="119"/>
  <c r="B3" i="118"/>
  <c r="D3" i="118"/>
  <c r="B7" i="118"/>
  <c r="D7" i="118"/>
  <c r="B13" i="118"/>
  <c r="D23" i="118"/>
  <c r="D28" i="118"/>
  <c r="D29" i="118"/>
  <c r="B9" i="117"/>
  <c r="C9" i="117" s="1"/>
  <c r="D9" i="117" s="1"/>
  <c r="E9" i="117" s="1"/>
  <c r="F9" i="117" s="1"/>
  <c r="G9" i="117" s="1"/>
  <c r="H9" i="117"/>
  <c r="I9" i="117" s="1"/>
  <c r="J9" i="117" s="1"/>
  <c r="K9" i="117" s="1"/>
  <c r="B10" i="117"/>
  <c r="C10" i="117" s="1"/>
  <c r="D10" i="117" s="1"/>
  <c r="E10" i="117" s="1"/>
  <c r="F10" i="117" s="1"/>
  <c r="G10" i="117" s="1"/>
  <c r="H10" i="117" s="1"/>
  <c r="I10" i="117" s="1"/>
  <c r="J10" i="117" s="1"/>
  <c r="K10" i="117" s="1"/>
  <c r="B11" i="117"/>
  <c r="C11" i="117"/>
  <c r="D11" i="117"/>
  <c r="E11" i="117"/>
  <c r="F11" i="117" s="1"/>
  <c r="G11" i="117" s="1"/>
  <c r="H11" i="117" s="1"/>
  <c r="I11" i="117" s="1"/>
  <c r="J11" i="117" s="1"/>
  <c r="K11" i="117" s="1"/>
  <c r="B23" i="117"/>
  <c r="C23" i="117"/>
  <c r="D23" i="117"/>
  <c r="E23" i="117" s="1"/>
  <c r="F23" i="117" s="1"/>
  <c r="G23" i="117" s="1"/>
  <c r="H23" i="117" s="1"/>
  <c r="I23" i="117" s="1"/>
  <c r="J23" i="117"/>
  <c r="K23" i="117"/>
  <c r="B24" i="117"/>
  <c r="C24" i="117" s="1"/>
  <c r="D24" i="117" s="1"/>
  <c r="E24" i="117" s="1"/>
  <c r="F24" i="117" s="1"/>
  <c r="G24" i="117" s="1"/>
  <c r="H24" i="117"/>
  <c r="I24" i="117" s="1"/>
  <c r="J24" i="117" s="1"/>
  <c r="K24" i="117" s="1"/>
  <c r="B25" i="117"/>
  <c r="C25" i="117" s="1"/>
  <c r="D25" i="117" s="1"/>
  <c r="E25" i="117" s="1"/>
  <c r="F25" i="117"/>
  <c r="G25" i="117"/>
  <c r="H25" i="117"/>
  <c r="I25" i="117" s="1"/>
  <c r="J25" i="117" s="1"/>
  <c r="K25" i="117" s="1"/>
  <c r="B26" i="117"/>
  <c r="C26" i="117"/>
  <c r="D26" i="117"/>
  <c r="E26" i="117" s="1"/>
  <c r="F26" i="117" s="1"/>
  <c r="G26" i="117" s="1"/>
  <c r="H26" i="117" s="1"/>
  <c r="I26" i="117" s="1"/>
  <c r="J26" i="117" s="1"/>
  <c r="K26" i="117" s="1"/>
  <c r="B27" i="117"/>
  <c r="C27" i="117"/>
  <c r="D27" i="117"/>
  <c r="E27" i="117" s="1"/>
  <c r="F27" i="117" s="1"/>
  <c r="G27" i="117" s="1"/>
  <c r="H27" i="117" s="1"/>
  <c r="I27" i="117" s="1"/>
  <c r="J27" i="117" s="1"/>
  <c r="K27" i="117" s="1"/>
  <c r="B28" i="117"/>
  <c r="C28" i="117" s="1"/>
  <c r="D28" i="117" s="1"/>
  <c r="E28" i="117" s="1"/>
  <c r="F28" i="117" s="1"/>
  <c r="G28" i="117" s="1"/>
  <c r="H28" i="117" s="1"/>
  <c r="I28" i="117" s="1"/>
  <c r="J28" i="117" s="1"/>
  <c r="K28" i="117" s="1"/>
  <c r="B29" i="117"/>
  <c r="C29" i="117" s="1"/>
  <c r="D29" i="117" s="1"/>
  <c r="E29" i="117" s="1"/>
  <c r="F29" i="117"/>
  <c r="G29" i="117" s="1"/>
  <c r="H29" i="117" s="1"/>
  <c r="I29" i="117" s="1"/>
  <c r="J29" i="117" s="1"/>
  <c r="K29" i="117" s="1"/>
  <c r="B40" i="117"/>
  <c r="C40" i="117"/>
  <c r="D40" i="117"/>
  <c r="E40" i="117"/>
  <c r="F40" i="117"/>
  <c r="G40" i="117" s="1"/>
  <c r="H40" i="117" s="1"/>
  <c r="I40" i="117" s="1"/>
  <c r="J40" i="117" s="1"/>
  <c r="K40" i="117" s="1"/>
  <c r="B41" i="117"/>
  <c r="C41" i="117" s="1"/>
  <c r="D41" i="117" s="1"/>
  <c r="E41" i="117" s="1"/>
  <c r="F41" i="117" s="1"/>
  <c r="G41" i="117" s="1"/>
  <c r="H41" i="117" s="1"/>
  <c r="I41" i="117" s="1"/>
  <c r="J41" i="117" s="1"/>
  <c r="K41" i="117" s="1"/>
  <c r="B42" i="117"/>
  <c r="C42" i="117" s="1"/>
  <c r="D42" i="117" s="1"/>
  <c r="E42" i="117" s="1"/>
  <c r="F42" i="117" s="1"/>
  <c r="G42" i="117" s="1"/>
  <c r="H42" i="117"/>
  <c r="I42" i="117"/>
  <c r="J42" i="117"/>
  <c r="K42" i="117" s="1"/>
  <c r="B43" i="117"/>
  <c r="C43" i="117" s="1"/>
  <c r="D43" i="117" s="1"/>
  <c r="E43" i="117" s="1"/>
  <c r="F43" i="117"/>
  <c r="G43" i="117" s="1"/>
  <c r="H43" i="117" s="1"/>
  <c r="I43" i="117" s="1"/>
  <c r="J43" i="117" s="1"/>
  <c r="K43" i="117" s="1"/>
  <c r="B44" i="117"/>
  <c r="C44" i="117"/>
  <c r="D44" i="117"/>
  <c r="E44" i="117"/>
  <c r="F44" i="117" s="1"/>
  <c r="G44" i="117" s="1"/>
  <c r="H44" i="117" s="1"/>
  <c r="I44" i="117" s="1"/>
  <c r="J44" i="117" s="1"/>
  <c r="K44" i="117" s="1"/>
  <c r="B45" i="117"/>
  <c r="C45" i="117" s="1"/>
  <c r="D45" i="117" s="1"/>
  <c r="E45" i="117" s="1"/>
  <c r="F45" i="117" s="1"/>
  <c r="G45" i="117" s="1"/>
  <c r="H45" i="117" s="1"/>
  <c r="I45" i="117" s="1"/>
  <c r="J45" i="117" s="1"/>
  <c r="K45" i="117" s="1"/>
  <c r="B14" i="116"/>
  <c r="C14" i="116" s="1"/>
  <c r="D14" i="116" s="1"/>
  <c r="E14" i="116" s="1"/>
  <c r="F14" i="116" s="1"/>
  <c r="G14" i="116" s="1"/>
  <c r="H14" i="116"/>
  <c r="I14" i="116" s="1"/>
  <c r="J14" i="116" s="1"/>
  <c r="K14" i="116" s="1"/>
  <c r="B15" i="116"/>
  <c r="C15" i="116" s="1"/>
  <c r="B16" i="116"/>
  <c r="C16" i="116"/>
  <c r="D16" i="116"/>
  <c r="E16" i="116"/>
  <c r="F16" i="116" s="1"/>
  <c r="G16" i="116" s="1"/>
  <c r="H16" i="116" s="1"/>
  <c r="I16" i="116" s="1"/>
  <c r="J16" i="116" s="1"/>
  <c r="K16" i="116" s="1"/>
  <c r="B17" i="116"/>
  <c r="C17" i="116"/>
  <c r="D17" i="116"/>
  <c r="E17" i="116" s="1"/>
  <c r="F17" i="116" s="1"/>
  <c r="G17" i="116" s="1"/>
  <c r="H17" i="116" s="1"/>
  <c r="I17" i="116" s="1"/>
  <c r="J17" i="116"/>
  <c r="K17" i="116"/>
  <c r="B18" i="116"/>
  <c r="C18" i="116" s="1"/>
  <c r="D18" i="116" s="1"/>
  <c r="E18" i="116" s="1"/>
  <c r="F18" i="116" s="1"/>
  <c r="G18" i="116" s="1"/>
  <c r="H18" i="116"/>
  <c r="I18" i="116" s="1"/>
  <c r="J18" i="116" s="1"/>
  <c r="K18" i="116" s="1"/>
  <c r="B19" i="116"/>
  <c r="C19" i="116" s="1"/>
  <c r="D19" i="116" s="1"/>
  <c r="E19" i="116" s="1"/>
  <c r="F19" i="116"/>
  <c r="G19" i="116"/>
  <c r="H19" i="116"/>
  <c r="I19" i="116" s="1"/>
  <c r="J19" i="116" s="1"/>
  <c r="K19" i="116" s="1"/>
  <c r="B20" i="116"/>
  <c r="C20" i="116"/>
  <c r="D20" i="116"/>
  <c r="E20" i="116" s="1"/>
  <c r="F20" i="116" s="1"/>
  <c r="G20" i="116" s="1"/>
  <c r="H20" i="116" s="1"/>
  <c r="I20" i="116" s="1"/>
  <c r="J20" i="116" s="1"/>
  <c r="K20" i="116" s="1"/>
  <c r="B21" i="116"/>
  <c r="C21" i="116"/>
  <c r="D21" i="116"/>
  <c r="E21" i="116" s="1"/>
  <c r="F21" i="116" s="1"/>
  <c r="G21" i="116" s="1"/>
  <c r="H21" i="116" s="1"/>
  <c r="I21" i="116" s="1"/>
  <c r="J21" i="116" s="1"/>
  <c r="K21" i="116" s="1"/>
  <c r="B22" i="116"/>
  <c r="B5" i="114"/>
  <c r="B7" i="114" s="1"/>
  <c r="B9" i="114" s="1"/>
  <c r="C5" i="114"/>
  <c r="C7" i="114" s="1"/>
  <c r="C9" i="114" s="1"/>
  <c r="D5" i="114"/>
  <c r="E5" i="114"/>
  <c r="F5" i="114"/>
  <c r="G5" i="114"/>
  <c r="H5" i="114"/>
  <c r="H7" i="114" s="1"/>
  <c r="H9" i="114" s="1"/>
  <c r="I5" i="114"/>
  <c r="I7" i="114" s="1"/>
  <c r="I9" i="114" s="1"/>
  <c r="J5" i="114"/>
  <c r="J7" i="114" s="1"/>
  <c r="J9" i="114" s="1"/>
  <c r="D7" i="114"/>
  <c r="E7" i="114"/>
  <c r="F7" i="114"/>
  <c r="G7" i="114"/>
  <c r="G9" i="114" s="1"/>
  <c r="D9" i="114"/>
  <c r="E9" i="114"/>
  <c r="F9" i="114"/>
  <c r="C2" i="113"/>
  <c r="D2" i="113"/>
  <c r="E2" i="113" s="1"/>
  <c r="F2" i="113" s="1"/>
  <c r="G2" i="113" s="1"/>
  <c r="H2" i="113" s="1"/>
  <c r="I2" i="113" s="1"/>
  <c r="J2" i="113" s="1"/>
  <c r="K2" i="113" s="1"/>
  <c r="L2" i="113" s="1"/>
  <c r="M2" i="113" s="1"/>
  <c r="N2" i="113" s="1"/>
  <c r="O2" i="113" s="1"/>
  <c r="P2" i="113" s="1"/>
  <c r="Q2" i="113" s="1"/>
  <c r="R2" i="113" s="1"/>
  <c r="S2" i="113" s="1"/>
  <c r="T2" i="113" s="1"/>
  <c r="U2" i="113" s="1"/>
  <c r="V2" i="113" s="1"/>
  <c r="W2" i="113" s="1"/>
  <c r="X2" i="113" s="1"/>
  <c r="Y2" i="113" s="1"/>
  <c r="Z2" i="113" s="1"/>
  <c r="B6" i="112"/>
  <c r="C6" i="112"/>
  <c r="D6" i="112"/>
  <c r="E6" i="112"/>
  <c r="F6" i="112"/>
  <c r="G6" i="112"/>
  <c r="H6" i="112"/>
  <c r="I6" i="112"/>
  <c r="B9" i="112"/>
  <c r="B8" i="112" s="1"/>
  <c r="C9" i="112"/>
  <c r="C8" i="112" s="1"/>
  <c r="D9" i="112"/>
  <c r="D8" i="112" s="1"/>
  <c r="E9" i="112"/>
  <c r="E8" i="112" s="1"/>
  <c r="F9" i="112"/>
  <c r="F8" i="112" s="1"/>
  <c r="G9" i="112"/>
  <c r="G8" i="112" s="1"/>
  <c r="H9" i="112"/>
  <c r="H8" i="112" s="1"/>
  <c r="I9" i="112"/>
  <c r="I8" i="112" s="1"/>
  <c r="B10" i="112"/>
  <c r="C10" i="112"/>
  <c r="D10" i="112"/>
  <c r="E10" i="112"/>
  <c r="F10" i="112"/>
  <c r="G10" i="112"/>
  <c r="H10" i="112"/>
  <c r="I10" i="112"/>
  <c r="B11" i="112"/>
  <c r="C11" i="112"/>
  <c r="D11" i="112"/>
  <c r="E11" i="112"/>
  <c r="F11" i="112"/>
  <c r="G11" i="112"/>
  <c r="H11" i="112"/>
  <c r="I11" i="112"/>
  <c r="B13" i="112"/>
  <c r="C13" i="112"/>
  <c r="D13" i="112"/>
  <c r="E13" i="112"/>
  <c r="F13" i="112"/>
  <c r="G13" i="112"/>
  <c r="H13" i="112"/>
  <c r="I13" i="112"/>
  <c r="H3" i="111"/>
  <c r="H4" i="111"/>
  <c r="C5" i="111"/>
  <c r="D5" i="111"/>
  <c r="E5" i="111"/>
  <c r="F5" i="111"/>
  <c r="G5" i="111"/>
  <c r="B5" i="108"/>
  <c r="C5" i="108"/>
  <c r="D5" i="108"/>
  <c r="E5" i="108"/>
  <c r="D3" i="107"/>
  <c r="D5" i="107"/>
  <c r="D6" i="107"/>
  <c r="D7" i="107"/>
  <c r="D8" i="107"/>
  <c r="D9" i="107"/>
  <c r="D10" i="107"/>
  <c r="D11" i="107"/>
  <c r="D12" i="107"/>
  <c r="D13" i="107"/>
  <c r="D14" i="107"/>
  <c r="B3" i="106"/>
  <c r="C3" i="106"/>
  <c r="D3" i="106"/>
  <c r="E3" i="106"/>
  <c r="C12" i="104"/>
  <c r="C7" i="103"/>
  <c r="C9" i="103" s="1"/>
  <c r="D7" i="103"/>
  <c r="E7" i="103"/>
  <c r="F7" i="103"/>
  <c r="B3" i="102"/>
  <c r="B5" i="102"/>
  <c r="B32" i="102" s="1"/>
  <c r="B33" i="102" s="1"/>
  <c r="B6" i="102"/>
  <c r="C6" i="102"/>
  <c r="C5" i="102" s="1"/>
  <c r="C32" i="102" s="1"/>
  <c r="C33" i="102" s="1"/>
  <c r="D6" i="102"/>
  <c r="D5" i="102" s="1"/>
  <c r="D32" i="102" s="1"/>
  <c r="D33" i="102" s="1"/>
  <c r="E6" i="102"/>
  <c r="B11" i="102"/>
  <c r="C11" i="102"/>
  <c r="D11" i="102"/>
  <c r="E11" i="102"/>
  <c r="B15" i="102"/>
  <c r="C15" i="102"/>
  <c r="D15" i="102"/>
  <c r="E15" i="102"/>
  <c r="B22" i="102"/>
  <c r="C22" i="102"/>
  <c r="D22" i="102"/>
  <c r="E22" i="102"/>
  <c r="B5" i="101"/>
  <c r="C5" i="101"/>
  <c r="D5" i="101"/>
  <c r="D7" i="101" s="1"/>
  <c r="E5" i="101"/>
  <c r="E7" i="101" s="1"/>
  <c r="F5" i="101"/>
  <c r="F7" i="101" s="1"/>
  <c r="G5" i="101"/>
  <c r="G7" i="101" s="1"/>
  <c r="H5" i="101"/>
  <c r="I5" i="101"/>
  <c r="J5" i="101"/>
  <c r="H6" i="101"/>
  <c r="I6" i="101"/>
  <c r="J6" i="101"/>
  <c r="J7" i="101" s="1"/>
  <c r="B7" i="101"/>
  <c r="C7" i="101"/>
  <c r="H7" i="101"/>
  <c r="I7" i="101"/>
  <c r="Z140" i="140" l="1"/>
  <c r="AA140" i="140" s="1"/>
  <c r="T358" i="140"/>
  <c r="D4" i="107"/>
  <c r="W37" i="138"/>
  <c r="F23" i="133"/>
  <c r="D23" i="133"/>
  <c r="D52" i="133" s="1"/>
  <c r="H42" i="133"/>
  <c r="E23" i="133"/>
  <c r="E52" i="133" s="1"/>
  <c r="C23" i="133"/>
  <c r="C24" i="133" s="1"/>
  <c r="C53" i="133" s="1"/>
  <c r="C52" i="133"/>
  <c r="C33" i="133"/>
  <c r="D33" i="133"/>
  <c r="C29" i="131"/>
  <c r="B7" i="132"/>
  <c r="B23" i="132"/>
  <c r="D79" i="139"/>
  <c r="Q79" i="138"/>
  <c r="E58" i="139"/>
  <c r="R58" i="138"/>
  <c r="E57" i="138"/>
  <c r="V277" i="140"/>
  <c r="S277" i="140"/>
  <c r="C80" i="139"/>
  <c r="C79" i="138"/>
  <c r="P80" i="138"/>
  <c r="G8" i="139"/>
  <c r="T8" i="138"/>
  <c r="G7" i="138"/>
  <c r="V318" i="140"/>
  <c r="S318" i="140"/>
  <c r="I401" i="140"/>
  <c r="T146" i="140"/>
  <c r="Q364" i="140"/>
  <c r="T364" i="140" s="1"/>
  <c r="U145" i="140"/>
  <c r="R363" i="140"/>
  <c r="U363" i="140" s="1"/>
  <c r="D19" i="125"/>
  <c r="E19" i="125" s="1"/>
  <c r="F19" i="125" s="1"/>
  <c r="G19" i="125" s="1"/>
  <c r="H19" i="125" s="1"/>
  <c r="I19" i="125" s="1"/>
  <c r="J19" i="125" s="1"/>
  <c r="K19" i="125" s="1"/>
  <c r="L19" i="125" s="1"/>
  <c r="D24" i="133"/>
  <c r="D53" i="133" s="1"/>
  <c r="D8" i="137"/>
  <c r="D38" i="137" s="1"/>
  <c r="F79" i="139"/>
  <c r="L62" i="138"/>
  <c r="Y63" i="138"/>
  <c r="L63" i="139"/>
  <c r="D62" i="138"/>
  <c r="Q63" i="138"/>
  <c r="D63" i="139"/>
  <c r="S22" i="138"/>
  <c r="F7" i="138"/>
  <c r="F22" i="139"/>
  <c r="E7" i="139"/>
  <c r="R7" i="138"/>
  <c r="E3" i="138"/>
  <c r="U339" i="140"/>
  <c r="M368" i="140"/>
  <c r="C17" i="132"/>
  <c r="V32" i="140"/>
  <c r="O250" i="140"/>
  <c r="V250" i="140" s="1"/>
  <c r="D41" i="137"/>
  <c r="C39" i="137"/>
  <c r="C8" i="137"/>
  <c r="C38" i="137" s="1"/>
  <c r="K80" i="139"/>
  <c r="K79" i="138"/>
  <c r="X80" i="138"/>
  <c r="C22" i="116"/>
  <c r="D15" i="116"/>
  <c r="B21" i="132"/>
  <c r="E79" i="139"/>
  <c r="R79" i="138"/>
  <c r="J32" i="139"/>
  <c r="B32" i="139"/>
  <c r="O32" i="138"/>
  <c r="E22" i="139"/>
  <c r="L22" i="139"/>
  <c r="V324" i="140"/>
  <c r="S324" i="140"/>
  <c r="V257" i="140"/>
  <c r="S257" i="140"/>
  <c r="O124" i="140"/>
  <c r="H124" i="140"/>
  <c r="H342" i="140" s="1"/>
  <c r="D342" i="140"/>
  <c r="B62" i="139"/>
  <c r="O62" i="138"/>
  <c r="C62" i="139"/>
  <c r="L80" i="139"/>
  <c r="Y80" i="138"/>
  <c r="L79" i="138"/>
  <c r="Z145" i="140"/>
  <c r="AA145" i="140" s="1"/>
  <c r="E24" i="133"/>
  <c r="E53" i="133" s="1"/>
  <c r="E63" i="139"/>
  <c r="E62" i="138"/>
  <c r="R63" i="138"/>
  <c r="C7" i="132"/>
  <c r="C23" i="132"/>
  <c r="C21" i="132" s="1"/>
  <c r="G23" i="133"/>
  <c r="B41" i="137"/>
  <c r="B43" i="137"/>
  <c r="J88" i="139"/>
  <c r="W88" i="138"/>
  <c r="B88" i="139"/>
  <c r="O88" i="138"/>
  <c r="T58" i="138"/>
  <c r="G57" i="138"/>
  <c r="G58" i="139"/>
  <c r="J41" i="139"/>
  <c r="I41" i="139"/>
  <c r="I32" i="139"/>
  <c r="V32" i="138"/>
  <c r="Q22" i="138"/>
  <c r="D22" i="139"/>
  <c r="J79" i="139"/>
  <c r="S385" i="140"/>
  <c r="H121" i="140"/>
  <c r="H339" i="140" s="1"/>
  <c r="O121" i="140"/>
  <c r="D339" i="140"/>
  <c r="V317" i="140"/>
  <c r="S317" i="140"/>
  <c r="S278" i="140"/>
  <c r="V278" i="140"/>
  <c r="I3" i="138"/>
  <c r="V7" i="138"/>
  <c r="D80" i="139"/>
  <c r="E80" i="139"/>
  <c r="Q80" i="138"/>
  <c r="C10" i="134"/>
  <c r="F10" i="134" s="1"/>
  <c r="E5" i="102"/>
  <c r="E32" i="102" s="1"/>
  <c r="E33" i="102" s="1"/>
  <c r="H24" i="133"/>
  <c r="H53" i="133" s="1"/>
  <c r="H52" i="133"/>
  <c r="F24" i="133"/>
  <c r="F53" i="133" s="1"/>
  <c r="F52" i="133"/>
  <c r="V88" i="138"/>
  <c r="I88" i="139"/>
  <c r="F58" i="139"/>
  <c r="F57" i="138"/>
  <c r="S58" i="138"/>
  <c r="H41" i="139"/>
  <c r="U41" i="138"/>
  <c r="K37" i="139"/>
  <c r="X37" i="138"/>
  <c r="C37" i="139"/>
  <c r="P37" i="138"/>
  <c r="I79" i="139"/>
  <c r="S379" i="140"/>
  <c r="T319" i="140"/>
  <c r="G169" i="140"/>
  <c r="G223" i="140"/>
  <c r="S357" i="140"/>
  <c r="V350" i="140"/>
  <c r="S350" i="140"/>
  <c r="U350" i="140"/>
  <c r="S340" i="140"/>
  <c r="V334" i="140"/>
  <c r="S334" i="140"/>
  <c r="U316" i="140"/>
  <c r="R206" i="140"/>
  <c r="V129" i="140"/>
  <c r="O347" i="140"/>
  <c r="V347" i="140" s="1"/>
  <c r="F39" i="137"/>
  <c r="H80" i="139"/>
  <c r="H79" i="138"/>
  <c r="V62" i="138"/>
  <c r="J62" i="138"/>
  <c r="H37" i="139"/>
  <c r="J7" i="138"/>
  <c r="W22" i="138"/>
  <c r="B7" i="138"/>
  <c r="O22" i="138"/>
  <c r="K7" i="138"/>
  <c r="K8" i="139"/>
  <c r="X8" i="138"/>
  <c r="C7" i="138"/>
  <c r="C8" i="139"/>
  <c r="P8" i="138"/>
  <c r="I80" i="139"/>
  <c r="E32" i="139"/>
  <c r="T376" i="140"/>
  <c r="U373" i="140"/>
  <c r="U367" i="140"/>
  <c r="V365" i="140"/>
  <c r="V362" i="140"/>
  <c r="U362" i="140"/>
  <c r="V354" i="140"/>
  <c r="T353" i="140"/>
  <c r="V346" i="140"/>
  <c r="S346" i="140"/>
  <c r="T342" i="140"/>
  <c r="S326" i="140"/>
  <c r="Q192" i="140"/>
  <c r="F206" i="140"/>
  <c r="AA34" i="140"/>
  <c r="AA70" i="140"/>
  <c r="AA31" i="140"/>
  <c r="AA78" i="140"/>
  <c r="AA23" i="140"/>
  <c r="AA33" i="140"/>
  <c r="AA40" i="140"/>
  <c r="AA50" i="140"/>
  <c r="AA51" i="140"/>
  <c r="AA77" i="140"/>
  <c r="Z172" i="140"/>
  <c r="AA172" i="140" s="1"/>
  <c r="AA73" i="140"/>
  <c r="AA22" i="140"/>
  <c r="AA59" i="140"/>
  <c r="AA122" i="140"/>
  <c r="AA130" i="140"/>
  <c r="AA75" i="140"/>
  <c r="AA166" i="140"/>
  <c r="U157" i="140"/>
  <c r="G168" i="140"/>
  <c r="G375" i="140"/>
  <c r="U375" i="140" s="1"/>
  <c r="U154" i="140"/>
  <c r="R372" i="140"/>
  <c r="U372" i="140" s="1"/>
  <c r="AA153" i="140"/>
  <c r="C140" i="140"/>
  <c r="C358" i="140" s="1"/>
  <c r="C351" i="140"/>
  <c r="AA128" i="140"/>
  <c r="AA53" i="140"/>
  <c r="O48" i="140"/>
  <c r="D54" i="140"/>
  <c r="H48" i="140"/>
  <c r="D266" i="140"/>
  <c r="T378" i="140"/>
  <c r="H62" i="138"/>
  <c r="J57" i="138"/>
  <c r="B57" i="138"/>
  <c r="Y41" i="138"/>
  <c r="L41" i="139"/>
  <c r="Q41" i="138"/>
  <c r="D41" i="139"/>
  <c r="J8" i="139"/>
  <c r="F88" i="139"/>
  <c r="G80" i="139"/>
  <c r="B79" i="139"/>
  <c r="I63" i="139"/>
  <c r="E41" i="139"/>
  <c r="S398" i="140"/>
  <c r="S377" i="140"/>
  <c r="T374" i="140"/>
  <c r="V372" i="140"/>
  <c r="U371" i="140"/>
  <c r="T365" i="140"/>
  <c r="S358" i="140"/>
  <c r="T354" i="140"/>
  <c r="O344" i="140"/>
  <c r="U331" i="140"/>
  <c r="S321" i="140"/>
  <c r="K113" i="140"/>
  <c r="K331" i="140" s="1"/>
  <c r="U113" i="140"/>
  <c r="G115" i="140"/>
  <c r="J64" i="140"/>
  <c r="J282" i="140" s="1"/>
  <c r="F282" i="140"/>
  <c r="T282" i="140" s="1"/>
  <c r="T64" i="140"/>
  <c r="F65" i="140"/>
  <c r="Y6" i="140"/>
  <c r="Z13" i="140"/>
  <c r="AA13" i="140" s="1"/>
  <c r="J224" i="140"/>
  <c r="K6" i="140"/>
  <c r="K227" i="140"/>
  <c r="T399" i="140"/>
  <c r="T382" i="140"/>
  <c r="S276" i="140"/>
  <c r="L7" i="138"/>
  <c r="L88" i="139"/>
  <c r="Y88" i="138"/>
  <c r="D88" i="139"/>
  <c r="Q88" i="138"/>
  <c r="I57" i="138"/>
  <c r="V58" i="138"/>
  <c r="I8" i="139"/>
  <c r="V8" i="138"/>
  <c r="H63" i="139"/>
  <c r="C41" i="139"/>
  <c r="O371" i="140"/>
  <c r="V371" i="140" s="1"/>
  <c r="V306" i="140"/>
  <c r="S306" i="140"/>
  <c r="U135" i="140"/>
  <c r="G140" i="140"/>
  <c r="K135" i="140"/>
  <c r="K353" i="140" s="1"/>
  <c r="G353" i="140"/>
  <c r="U353" i="140" s="1"/>
  <c r="J113" i="140"/>
  <c r="J331" i="140" s="1"/>
  <c r="T113" i="140"/>
  <c r="F331" i="140"/>
  <c r="T331" i="140" s="1"/>
  <c r="V380" i="140"/>
  <c r="D7" i="138"/>
  <c r="K88" i="139"/>
  <c r="C88" i="139"/>
  <c r="G79" i="139"/>
  <c r="F63" i="139"/>
  <c r="F62" i="139"/>
  <c r="S62" i="138"/>
  <c r="X32" i="138"/>
  <c r="K32" i="139"/>
  <c r="P32" i="138"/>
  <c r="C32" i="139"/>
  <c r="G22" i="139"/>
  <c r="H7" i="138"/>
  <c r="B41" i="139"/>
  <c r="U275" i="140"/>
  <c r="U99" i="140"/>
  <c r="R98" i="140"/>
  <c r="R316" i="140" s="1"/>
  <c r="R317" i="140"/>
  <c r="U317" i="140" s="1"/>
  <c r="J58" i="139"/>
  <c r="B58" i="139"/>
  <c r="U342" i="140"/>
  <c r="S322" i="140"/>
  <c r="S264" i="140"/>
  <c r="J167" i="140"/>
  <c r="J385" i="140" s="1"/>
  <c r="F168" i="140"/>
  <c r="AA137" i="140"/>
  <c r="AA134" i="140"/>
  <c r="Z111" i="140"/>
  <c r="AA111" i="140" s="1"/>
  <c r="O108" i="140"/>
  <c r="N326" i="140"/>
  <c r="H107" i="140"/>
  <c r="H325" i="140" s="1"/>
  <c r="V107" i="140"/>
  <c r="O45" i="140"/>
  <c r="M263" i="140"/>
  <c r="M5" i="140"/>
  <c r="S6" i="140"/>
  <c r="T357" i="140"/>
  <c r="S319" i="140"/>
  <c r="T314" i="140"/>
  <c r="T313" i="140"/>
  <c r="V310" i="140"/>
  <c r="S310" i="140"/>
  <c r="U310" i="140"/>
  <c r="T306" i="140"/>
  <c r="U252" i="140"/>
  <c r="AA149" i="140"/>
  <c r="AA104" i="140"/>
  <c r="P65" i="140"/>
  <c r="Q65" i="140"/>
  <c r="O283" i="140"/>
  <c r="AA25" i="140"/>
  <c r="U329" i="140"/>
  <c r="T305" i="140"/>
  <c r="U303" i="140"/>
  <c r="V302" i="140"/>
  <c r="S302" i="140"/>
  <c r="U302" i="140"/>
  <c r="T270" i="140"/>
  <c r="T236" i="140"/>
  <c r="F200" i="140"/>
  <c r="F408" i="140" s="1"/>
  <c r="C178" i="140"/>
  <c r="C395" i="140" s="1"/>
  <c r="D149" i="140"/>
  <c r="O143" i="140"/>
  <c r="H143" i="140"/>
  <c r="H361" i="140" s="1"/>
  <c r="AA129" i="140"/>
  <c r="AA90" i="140"/>
  <c r="AA88" i="140"/>
  <c r="Y81" i="140"/>
  <c r="F80" i="140"/>
  <c r="T75" i="140"/>
  <c r="F293" i="140"/>
  <c r="T293" i="140" s="1"/>
  <c r="Q27" i="140"/>
  <c r="X27" i="140"/>
  <c r="V27" i="140"/>
  <c r="P20" i="140"/>
  <c r="S27" i="140"/>
  <c r="S20" i="140" s="1"/>
  <c r="T26" i="140"/>
  <c r="Q20" i="140"/>
  <c r="Q238" i="140" s="1"/>
  <c r="T238" i="140" s="1"/>
  <c r="Q244" i="140"/>
  <c r="T244" i="140" s="1"/>
  <c r="Z21" i="140"/>
  <c r="AA21" i="140" s="1"/>
  <c r="X20" i="140"/>
  <c r="I239" i="140"/>
  <c r="S311" i="140"/>
  <c r="S294" i="140"/>
  <c r="V294" i="140"/>
  <c r="V249" i="140"/>
  <c r="S249" i="140"/>
  <c r="V248" i="140"/>
  <c r="S248" i="140"/>
  <c r="H162" i="140"/>
  <c r="H380" i="140" s="1"/>
  <c r="O162" i="140"/>
  <c r="O380" i="140" s="1"/>
  <c r="D158" i="140"/>
  <c r="S160" i="140"/>
  <c r="X160" i="140"/>
  <c r="Z160" i="140" s="1"/>
  <c r="AA160" i="140" s="1"/>
  <c r="V160" i="140"/>
  <c r="S144" i="140"/>
  <c r="V144" i="140"/>
  <c r="AA133" i="140"/>
  <c r="P316" i="140"/>
  <c r="AA105" i="140"/>
  <c r="Z100" i="140"/>
  <c r="AA100" i="140" s="1"/>
  <c r="V29" i="140"/>
  <c r="P247" i="140"/>
  <c r="V247" i="140" s="1"/>
  <c r="U337" i="140"/>
  <c r="T300" i="140"/>
  <c r="T286" i="140"/>
  <c r="T278" i="140"/>
  <c r="S270" i="140"/>
  <c r="V270" i="140"/>
  <c r="S260" i="140"/>
  <c r="T249" i="140"/>
  <c r="S242" i="140"/>
  <c r="S234" i="140"/>
  <c r="S230" i="140"/>
  <c r="S225" i="140"/>
  <c r="V225" i="140"/>
  <c r="T225" i="140"/>
  <c r="F210" i="140"/>
  <c r="F418" i="140" s="1"/>
  <c r="P208" i="140"/>
  <c r="C170" i="140"/>
  <c r="C388" i="140" s="1"/>
  <c r="C171" i="140"/>
  <c r="C389" i="140" s="1"/>
  <c r="Z159" i="140"/>
  <c r="AA159" i="140" s="1"/>
  <c r="Z154" i="140"/>
  <c r="AA154" i="140" s="1"/>
  <c r="X147" i="140"/>
  <c r="Z147" i="140" s="1"/>
  <c r="AA147" i="140" s="1"/>
  <c r="S147" i="140"/>
  <c r="V147" i="140"/>
  <c r="Z124" i="140"/>
  <c r="AA124" i="140" s="1"/>
  <c r="H109" i="140"/>
  <c r="H327" i="140" s="1"/>
  <c r="O109" i="140"/>
  <c r="D115" i="140"/>
  <c r="AA101" i="140"/>
  <c r="AA92" i="140"/>
  <c r="AA91" i="140"/>
  <c r="K286" i="140"/>
  <c r="AA61" i="140"/>
  <c r="AA60" i="140"/>
  <c r="J45" i="140"/>
  <c r="J265" i="140"/>
  <c r="I27" i="140"/>
  <c r="I245" i="140" s="1"/>
  <c r="Y27" i="140"/>
  <c r="Z27" i="140" s="1"/>
  <c r="AA27" i="140" s="1"/>
  <c r="E245" i="140"/>
  <c r="S245" i="140" s="1"/>
  <c r="U305" i="140"/>
  <c r="T294" i="140"/>
  <c r="U256" i="140"/>
  <c r="T237" i="140"/>
  <c r="U233" i="140"/>
  <c r="T69" i="140"/>
  <c r="J69" i="140"/>
  <c r="J287" i="140" s="1"/>
  <c r="Q287" i="140"/>
  <c r="T287" i="140" s="1"/>
  <c r="N81" i="140"/>
  <c r="O82" i="140"/>
  <c r="D178" i="140"/>
  <c r="D395" i="140" s="1"/>
  <c r="V162" i="140"/>
  <c r="X162" i="140"/>
  <c r="Z162" i="140" s="1"/>
  <c r="AA162" i="140" s="1"/>
  <c r="S162" i="140"/>
  <c r="AA156" i="140"/>
  <c r="AA120" i="140"/>
  <c r="Z48" i="140"/>
  <c r="AA48" i="140" s="1"/>
  <c r="Y45" i="140"/>
  <c r="C44" i="140"/>
  <c r="C262" i="140" s="1"/>
  <c r="C255" i="140"/>
  <c r="V14" i="140"/>
  <c r="S14" i="140"/>
  <c r="P6" i="140"/>
  <c r="S289" i="140"/>
  <c r="T233" i="140"/>
  <c r="O192" i="140"/>
  <c r="O206" i="140" s="1"/>
  <c r="C200" i="140"/>
  <c r="P202" i="140"/>
  <c r="AA168" i="140"/>
  <c r="I163" i="140"/>
  <c r="I381" i="140" s="1"/>
  <c r="Y163" i="140"/>
  <c r="AA135" i="140"/>
  <c r="T131" i="140"/>
  <c r="Q349" i="140"/>
  <c r="T349" i="140" s="1"/>
  <c r="AA112" i="140"/>
  <c r="AA109" i="140"/>
  <c r="AA102" i="140"/>
  <c r="Y29" i="140"/>
  <c r="Z29" i="140" s="1"/>
  <c r="AA29" i="140" s="1"/>
  <c r="Z32" i="140"/>
  <c r="AA32" i="140" s="1"/>
  <c r="V260" i="140"/>
  <c r="V241" i="140"/>
  <c r="S241" i="140"/>
  <c r="T241" i="140"/>
  <c r="V234" i="140"/>
  <c r="O215" i="140"/>
  <c r="O214" i="140"/>
  <c r="N69" i="140"/>
  <c r="F170" i="140"/>
  <c r="F388" i="140" s="1"/>
  <c r="F171" i="140"/>
  <c r="F389" i="140" s="1"/>
  <c r="Z167" i="140"/>
  <c r="AA167" i="140" s="1"/>
  <c r="Z164" i="140"/>
  <c r="AA164" i="140" s="1"/>
  <c r="P163" i="140"/>
  <c r="S163" i="140" s="1"/>
  <c r="AA136" i="140"/>
  <c r="S131" i="140"/>
  <c r="X131" i="140"/>
  <c r="Z131" i="140" s="1"/>
  <c r="AA131" i="140" s="1"/>
  <c r="H130" i="140"/>
  <c r="H348" i="140" s="1"/>
  <c r="O130" i="140"/>
  <c r="D140" i="140"/>
  <c r="Y125" i="140"/>
  <c r="M185" i="140"/>
  <c r="M402" i="140" s="1"/>
  <c r="AA119" i="140"/>
  <c r="AA87" i="140"/>
  <c r="O252" i="140"/>
  <c r="V252" i="140" s="1"/>
  <c r="O245" i="140"/>
  <c r="V245" i="140" s="1"/>
  <c r="U244" i="140"/>
  <c r="U236" i="140"/>
  <c r="Z158" i="140"/>
  <c r="AA158" i="140" s="1"/>
  <c r="S155" i="140"/>
  <c r="X155" i="140"/>
  <c r="Z155" i="140" s="1"/>
  <c r="AA155" i="140" s="1"/>
  <c r="V155" i="140"/>
  <c r="Y141" i="140"/>
  <c r="H113" i="140"/>
  <c r="H331" i="140" s="1"/>
  <c r="O113" i="140"/>
  <c r="S97" i="140"/>
  <c r="Y97" i="140"/>
  <c r="Z97" i="140" s="1"/>
  <c r="AA97" i="140" s="1"/>
  <c r="H95" i="140"/>
  <c r="H313" i="140" s="1"/>
  <c r="O95" i="140"/>
  <c r="AA93" i="140"/>
  <c r="H93" i="140"/>
  <c r="H311" i="140" s="1"/>
  <c r="O93" i="140"/>
  <c r="Z57" i="140"/>
  <c r="AA57" i="140" s="1"/>
  <c r="Y55" i="140"/>
  <c r="K44" i="140"/>
  <c r="K262" i="140" s="1"/>
  <c r="AA38" i="140"/>
  <c r="K36" i="140"/>
  <c r="K254" i="140" s="1"/>
  <c r="D210" i="140"/>
  <c r="D418" i="140" s="1"/>
  <c r="E210" i="140"/>
  <c r="E418" i="140" s="1"/>
  <c r="V182" i="140"/>
  <c r="O229" i="140"/>
  <c r="V229" i="140" s="1"/>
  <c r="O230" i="140"/>
  <c r="V230" i="140" s="1"/>
  <c r="O238" i="140"/>
  <c r="O246" i="140"/>
  <c r="V246" i="140" s="1"/>
  <c r="V161" i="140"/>
  <c r="X161" i="140"/>
  <c r="Z161" i="140" s="1"/>
  <c r="AA161" i="140" s="1"/>
  <c r="AA157" i="140"/>
  <c r="Z146" i="140"/>
  <c r="AA146" i="140" s="1"/>
  <c r="AA96" i="140"/>
  <c r="K83" i="140"/>
  <c r="U83" i="140"/>
  <c r="R81" i="140"/>
  <c r="AA54" i="140"/>
  <c r="P44" i="140"/>
  <c r="O262" i="140"/>
  <c r="O254" i="140"/>
  <c r="AA24" i="140"/>
  <c r="AA17" i="140"/>
  <c r="X15" i="140"/>
  <c r="Z15" i="140" s="1"/>
  <c r="AA15" i="140" s="1"/>
  <c r="S15" i="140"/>
  <c r="O6" i="140"/>
  <c r="N224" i="140"/>
  <c r="S266" i="140"/>
  <c r="V265" i="140"/>
  <c r="T239" i="140"/>
  <c r="N68" i="140"/>
  <c r="D200" i="140"/>
  <c r="D408" i="140" s="1"/>
  <c r="S145" i="140"/>
  <c r="V145" i="140"/>
  <c r="X145" i="140"/>
  <c r="V110" i="140"/>
  <c r="S110" i="140"/>
  <c r="X110" i="140"/>
  <c r="Z110" i="140" s="1"/>
  <c r="AA110" i="140" s="1"/>
  <c r="Z106" i="140"/>
  <c r="AA106" i="140" s="1"/>
  <c r="O89" i="140"/>
  <c r="H89" i="140"/>
  <c r="H307" i="140" s="1"/>
  <c r="D97" i="140"/>
  <c r="AA86" i="140"/>
  <c r="AA76" i="140"/>
  <c r="T19" i="140"/>
  <c r="T6" i="140" s="1"/>
  <c r="R19" i="140"/>
  <c r="R237" i="140" s="1"/>
  <c r="U237" i="140" s="1"/>
  <c r="AA8" i="140"/>
  <c r="N241" i="140"/>
  <c r="N233" i="140"/>
  <c r="E115" i="140"/>
  <c r="Z113" i="140"/>
  <c r="AA113" i="140" s="1"/>
  <c r="Z99" i="140"/>
  <c r="AA99" i="140" s="1"/>
  <c r="M66" i="140"/>
  <c r="M284" i="140" s="1"/>
  <c r="O98" i="140"/>
  <c r="O316" i="140" s="1"/>
  <c r="I95" i="140"/>
  <c r="I313" i="140" s="1"/>
  <c r="Y95" i="140"/>
  <c r="Z95" i="140" s="1"/>
  <c r="AA95" i="140" s="1"/>
  <c r="U92" i="140"/>
  <c r="G97" i="140"/>
  <c r="AA62" i="140"/>
  <c r="Z30" i="140"/>
  <c r="AA30" i="140" s="1"/>
  <c r="X29" i="140"/>
  <c r="AA26" i="140"/>
  <c r="AA10" i="140"/>
  <c r="P183" i="140"/>
  <c r="S154" i="140"/>
  <c r="V154" i="140"/>
  <c r="J135" i="140"/>
  <c r="J353" i="140" s="1"/>
  <c r="T135" i="140"/>
  <c r="Q98" i="140"/>
  <c r="Q316" i="140" s="1"/>
  <c r="T316" i="140" s="1"/>
  <c r="AA79" i="140"/>
  <c r="AA72" i="140"/>
  <c r="V47" i="140"/>
  <c r="X47" i="140"/>
  <c r="Z47" i="140" s="1"/>
  <c r="Q47" i="140"/>
  <c r="P45" i="140"/>
  <c r="S47" i="140"/>
  <c r="S45" i="140" s="1"/>
  <c r="AA41" i="140"/>
  <c r="AA28" i="140"/>
  <c r="AA19" i="140"/>
  <c r="K69" i="140"/>
  <c r="K287" i="140" s="1"/>
  <c r="U69" i="140"/>
  <c r="U67" i="140" s="1"/>
  <c r="R67" i="140"/>
  <c r="Y150" i="140"/>
  <c r="Z143" i="140"/>
  <c r="AA143" i="140" s="1"/>
  <c r="AA123" i="140"/>
  <c r="Y117" i="140"/>
  <c r="Z114" i="140"/>
  <c r="AA114" i="140" s="1"/>
  <c r="V99" i="140"/>
  <c r="S99" i="140"/>
  <c r="X99" i="140"/>
  <c r="AA52" i="140"/>
  <c r="AA39" i="140"/>
  <c r="AA35" i="140"/>
  <c r="AA11" i="140"/>
  <c r="AA9" i="140"/>
  <c r="T138" i="140"/>
  <c r="K108" i="140"/>
  <c r="K326" i="140" s="1"/>
  <c r="U108" i="140"/>
  <c r="Z107" i="140"/>
  <c r="AA107" i="140" s="1"/>
  <c r="J105" i="140"/>
  <c r="J323" i="140" s="1"/>
  <c r="F115" i="140"/>
  <c r="AA94" i="140"/>
  <c r="J82" i="140"/>
  <c r="T82" i="140"/>
  <c r="T81" i="140" s="1"/>
  <c r="AA63" i="140"/>
  <c r="X58" i="140"/>
  <c r="V58" i="140"/>
  <c r="S58" i="140"/>
  <c r="AA43" i="140"/>
  <c r="Z14" i="140"/>
  <c r="AA14" i="140" s="1"/>
  <c r="AA12" i="140"/>
  <c r="X6" i="140"/>
  <c r="Z7" i="140"/>
  <c r="AA7" i="140" s="1"/>
  <c r="I6" i="140"/>
  <c r="AA89" i="140"/>
  <c r="H50" i="140"/>
  <c r="H268" i="140" s="1"/>
  <c r="O50" i="140"/>
  <c r="AA46" i="140"/>
  <c r="S29" i="140"/>
  <c r="AA18" i="140"/>
  <c r="Q6" i="140"/>
  <c r="R6" i="140"/>
  <c r="U9" i="140"/>
  <c r="O91" i="140"/>
  <c r="H91" i="140"/>
  <c r="H309" i="140" s="1"/>
  <c r="J68" i="140"/>
  <c r="T68" i="140"/>
  <c r="Q67" i="140"/>
  <c r="Z58" i="140"/>
  <c r="AA58" i="140" s="1"/>
  <c r="AA49" i="140"/>
  <c r="K45" i="140"/>
  <c r="Z85" i="140"/>
  <c r="AA85" i="140" s="1"/>
  <c r="AA42" i="140"/>
  <c r="Y37" i="140"/>
  <c r="E44" i="140"/>
  <c r="U19" i="140"/>
  <c r="V13" i="140"/>
  <c r="S13" i="140"/>
  <c r="S71" i="140"/>
  <c r="E80" i="140"/>
  <c r="U29" i="140"/>
  <c r="J20" i="140"/>
  <c r="J238" i="140" s="1"/>
  <c r="AA64" i="140"/>
  <c r="S38" i="140"/>
  <c r="J29" i="140"/>
  <c r="J247" i="140" s="1"/>
  <c r="Y20" i="140"/>
  <c r="Z20" i="140" s="1"/>
  <c r="AA20" i="140" s="1"/>
  <c r="Z16" i="140"/>
  <c r="AA16" i="140" s="1"/>
  <c r="F14" i="91"/>
  <c r="E14" i="91"/>
  <c r="D14" i="91"/>
  <c r="C14" i="91"/>
  <c r="B14" i="91"/>
  <c r="F13" i="91"/>
  <c r="E13" i="91"/>
  <c r="D13" i="91"/>
  <c r="C13" i="91"/>
  <c r="B13" i="91"/>
  <c r="F5" i="91"/>
  <c r="E5" i="91"/>
  <c r="D5" i="91"/>
  <c r="C5" i="91"/>
  <c r="B5" i="91"/>
  <c r="F4" i="91"/>
  <c r="E4" i="91"/>
  <c r="D4" i="91"/>
  <c r="C4" i="91"/>
  <c r="B4" i="91"/>
  <c r="D8" i="85"/>
  <c r="C8" i="85"/>
  <c r="B8" i="85"/>
  <c r="D4" i="85"/>
  <c r="C4" i="85"/>
  <c r="B4" i="85"/>
  <c r="Y44" i="140" l="1"/>
  <c r="Z44" i="140" s="1"/>
  <c r="AA44" i="140" s="1"/>
  <c r="I44" i="140"/>
  <c r="S44" i="140"/>
  <c r="S36" i="140" s="1"/>
  <c r="E262" i="140"/>
  <c r="S262" i="140" s="1"/>
  <c r="O309" i="140"/>
  <c r="V309" i="140" s="1"/>
  <c r="V91" i="140"/>
  <c r="J300" i="140"/>
  <c r="J81" i="140"/>
  <c r="V183" i="140"/>
  <c r="Q183" i="140"/>
  <c r="E183" i="140"/>
  <c r="P400" i="140"/>
  <c r="V400" i="140" s="1"/>
  <c r="O140" i="140"/>
  <c r="D358" i="140"/>
  <c r="P82" i="140"/>
  <c r="P212" i="140"/>
  <c r="P410" i="140"/>
  <c r="V143" i="140"/>
  <c r="O361" i="140"/>
  <c r="V361" i="140" s="1"/>
  <c r="U115" i="140"/>
  <c r="U98" i="140" s="1"/>
  <c r="K115" i="140"/>
  <c r="K333" i="140" s="1"/>
  <c r="G333" i="140"/>
  <c r="U333" i="140" s="1"/>
  <c r="F207" i="140"/>
  <c r="F415" i="140" s="1"/>
  <c r="F414" i="140"/>
  <c r="D22" i="116"/>
  <c r="E15" i="116"/>
  <c r="I115" i="140"/>
  <c r="S115" i="140"/>
  <c r="S98" i="140" s="1"/>
  <c r="Y115" i="140"/>
  <c r="E333" i="140"/>
  <c r="S333" i="140" s="1"/>
  <c r="N118" i="140"/>
  <c r="P214" i="140"/>
  <c r="O422" i="140"/>
  <c r="P204" i="140"/>
  <c r="C408" i="140"/>
  <c r="P203" i="140"/>
  <c r="H115" i="140"/>
  <c r="H333" i="140" s="1"/>
  <c r="O115" i="140"/>
  <c r="D333" i="140"/>
  <c r="S247" i="140"/>
  <c r="U7" i="138"/>
  <c r="H7" i="139"/>
  <c r="H3" i="138"/>
  <c r="L7" i="139"/>
  <c r="Y7" i="138"/>
  <c r="L3" i="138"/>
  <c r="Q206" i="140"/>
  <c r="Q203" i="140"/>
  <c r="Q204" i="140"/>
  <c r="J3" i="138"/>
  <c r="J7" i="139"/>
  <c r="W7" i="138"/>
  <c r="G24" i="133"/>
  <c r="G53" i="133" s="1"/>
  <c r="G52" i="133"/>
  <c r="L57" i="138"/>
  <c r="Y62" i="138"/>
  <c r="L62" i="139"/>
  <c r="O54" i="140"/>
  <c r="H54" i="140"/>
  <c r="H272" i="140" s="1"/>
  <c r="D272" i="140"/>
  <c r="C3" i="138"/>
  <c r="P7" i="138"/>
  <c r="C7" i="139"/>
  <c r="F7" i="139"/>
  <c r="F3" i="138"/>
  <c r="S7" i="138"/>
  <c r="S80" i="140"/>
  <c r="Y80" i="140"/>
  <c r="E298" i="140"/>
  <c r="S298" i="140" s="1"/>
  <c r="X45" i="140"/>
  <c r="Q224" i="140"/>
  <c r="T224" i="140" s="1"/>
  <c r="I224" i="140"/>
  <c r="T115" i="140"/>
  <c r="T98" i="140" s="1"/>
  <c r="J115" i="140"/>
  <c r="J333" i="140" s="1"/>
  <c r="F333" i="140"/>
  <c r="T333" i="140" s="1"/>
  <c r="T47" i="140"/>
  <c r="T45" i="140" s="1"/>
  <c r="R47" i="140"/>
  <c r="Q45" i="140"/>
  <c r="Q265" i="140"/>
  <c r="T265" i="140" s="1"/>
  <c r="Q44" i="140"/>
  <c r="V44" i="140"/>
  <c r="X44" i="140"/>
  <c r="X36" i="140" s="1"/>
  <c r="P36" i="140"/>
  <c r="P262" i="140"/>
  <c r="V262" i="140" s="1"/>
  <c r="P201" i="140"/>
  <c r="Z163" i="140"/>
  <c r="AA163" i="140" s="1"/>
  <c r="N56" i="140"/>
  <c r="V6" i="140"/>
  <c r="P224" i="140"/>
  <c r="I20" i="140"/>
  <c r="I238" i="140" s="1"/>
  <c r="M223" i="140"/>
  <c r="M169" i="140"/>
  <c r="I50" i="138"/>
  <c r="I57" i="139"/>
  <c r="V57" i="138"/>
  <c r="Z6" i="140"/>
  <c r="B50" i="138"/>
  <c r="B57" i="139"/>
  <c r="O57" i="138"/>
  <c r="V48" i="140"/>
  <c r="O266" i="140"/>
  <c r="V266" i="140" s="1"/>
  <c r="J62" i="139"/>
  <c r="W62" i="138"/>
  <c r="K62" i="139"/>
  <c r="I7" i="139"/>
  <c r="V121" i="140"/>
  <c r="O339" i="140"/>
  <c r="V339" i="140" s="1"/>
  <c r="V124" i="140"/>
  <c r="O342" i="140"/>
  <c r="V342" i="140" s="1"/>
  <c r="K79" i="139"/>
  <c r="K57" i="138"/>
  <c r="X79" i="138"/>
  <c r="C79" i="139"/>
  <c r="C57" i="138"/>
  <c r="P79" i="138"/>
  <c r="B3" i="138"/>
  <c r="B7" i="139"/>
  <c r="O7" i="138"/>
  <c r="T7" i="138"/>
  <c r="G3" i="138"/>
  <c r="G7" i="139"/>
  <c r="T80" i="140"/>
  <c r="T67" i="140" s="1"/>
  <c r="F298" i="140"/>
  <c r="T298" i="140" s="1"/>
  <c r="R65" i="140"/>
  <c r="Q283" i="140"/>
  <c r="F41" i="137"/>
  <c r="F43" i="137"/>
  <c r="U6" i="140"/>
  <c r="V95" i="140"/>
  <c r="O313" i="140"/>
  <c r="V313" i="140" s="1"/>
  <c r="V130" i="140"/>
  <c r="O348" i="140"/>
  <c r="V348" i="140" s="1"/>
  <c r="O149" i="140"/>
  <c r="D367" i="140"/>
  <c r="V65" i="140"/>
  <c r="X65" i="140"/>
  <c r="Z65" i="140" s="1"/>
  <c r="AA65" i="140" s="1"/>
  <c r="S65" i="140"/>
  <c r="P283" i="140"/>
  <c r="H266" i="140"/>
  <c r="H45" i="140"/>
  <c r="G57" i="139"/>
  <c r="T57" i="138"/>
  <c r="G50" i="138"/>
  <c r="R224" i="140"/>
  <c r="U224" i="140" s="1"/>
  <c r="R179" i="140"/>
  <c r="R285" i="140"/>
  <c r="U285" i="140" s="1"/>
  <c r="O97" i="140"/>
  <c r="D315" i="140"/>
  <c r="Q179" i="140"/>
  <c r="Q285" i="140"/>
  <c r="T285" i="140" s="1"/>
  <c r="AA47" i="140"/>
  <c r="Z45" i="140"/>
  <c r="O307" i="140"/>
  <c r="V307" i="140" s="1"/>
  <c r="V89" i="140"/>
  <c r="O224" i="140"/>
  <c r="H82" i="140"/>
  <c r="O300" i="140"/>
  <c r="K67" i="140"/>
  <c r="T65" i="140"/>
  <c r="F283" i="140"/>
  <c r="J50" i="138"/>
  <c r="J57" i="139"/>
  <c r="W57" i="138"/>
  <c r="U168" i="140"/>
  <c r="G386" i="140"/>
  <c r="U386" i="140" s="1"/>
  <c r="R203" i="140"/>
  <c r="S57" i="138"/>
  <c r="F50" i="138"/>
  <c r="F57" i="139"/>
  <c r="K301" i="140"/>
  <c r="K81" i="140"/>
  <c r="O414" i="140"/>
  <c r="O208" i="140"/>
  <c r="V20" i="140"/>
  <c r="P238" i="140"/>
  <c r="J98" i="140"/>
  <c r="J316" i="140" s="1"/>
  <c r="R180" i="140"/>
  <c r="R299" i="140"/>
  <c r="U299" i="140" s="1"/>
  <c r="V113" i="140"/>
  <c r="O331" i="140"/>
  <c r="V331" i="140" s="1"/>
  <c r="O81" i="140"/>
  <c r="N180" i="140"/>
  <c r="N397" i="140" s="1"/>
  <c r="N299" i="140"/>
  <c r="P216" i="140"/>
  <c r="P416" i="140"/>
  <c r="V98" i="140"/>
  <c r="H158" i="140"/>
  <c r="H376" i="140" s="1"/>
  <c r="D168" i="140"/>
  <c r="O158" i="140"/>
  <c r="D376" i="140"/>
  <c r="R27" i="140"/>
  <c r="T27" i="140"/>
  <c r="T20" i="140" s="1"/>
  <c r="Q245" i="140"/>
  <c r="T245" i="140" s="1"/>
  <c r="O184" i="140"/>
  <c r="O263" i="140"/>
  <c r="T168" i="140"/>
  <c r="F386" i="140"/>
  <c r="T386" i="140" s="1"/>
  <c r="D7" i="139"/>
  <c r="D3" i="138"/>
  <c r="Q7" i="138"/>
  <c r="H62" i="139"/>
  <c r="H57" i="138"/>
  <c r="U62" i="138"/>
  <c r="K3" i="138"/>
  <c r="X7" i="138"/>
  <c r="K7" i="139"/>
  <c r="I62" i="139"/>
  <c r="R208" i="140"/>
  <c r="R414" i="140"/>
  <c r="G171" i="140"/>
  <c r="G389" i="140" s="1"/>
  <c r="G170" i="140"/>
  <c r="G388" i="140" s="1"/>
  <c r="G387" i="140"/>
  <c r="V3" i="138"/>
  <c r="E62" i="139"/>
  <c r="R62" i="138"/>
  <c r="V50" i="140"/>
  <c r="O268" i="140"/>
  <c r="V268" i="140" s="1"/>
  <c r="J184" i="140"/>
  <c r="J263" i="140"/>
  <c r="U140" i="140"/>
  <c r="G358" i="140"/>
  <c r="U358" i="140" s="1"/>
  <c r="K224" i="140"/>
  <c r="R57" i="138"/>
  <c r="E50" i="138"/>
  <c r="K263" i="140"/>
  <c r="K184" i="140"/>
  <c r="O69" i="140"/>
  <c r="N287" i="140"/>
  <c r="Z37" i="140"/>
  <c r="AA37" i="140" s="1"/>
  <c r="Y36" i="140"/>
  <c r="Z36" i="140" s="1"/>
  <c r="AA36" i="140" s="1"/>
  <c r="X98" i="140"/>
  <c r="U97" i="140"/>
  <c r="U81" i="140" s="1"/>
  <c r="G315" i="140"/>
  <c r="U315" i="140" s="1"/>
  <c r="H108" i="140"/>
  <c r="H326" i="140" s="1"/>
  <c r="V108" i="140"/>
  <c r="O326" i="140"/>
  <c r="V326" i="140" s="1"/>
  <c r="Y79" i="138"/>
  <c r="L79" i="139"/>
  <c r="K98" i="140"/>
  <c r="K316" i="140" s="1"/>
  <c r="V45" i="140"/>
  <c r="P184" i="140"/>
  <c r="P263" i="140"/>
  <c r="N127" i="140"/>
  <c r="O423" i="140"/>
  <c r="V109" i="140"/>
  <c r="O327" i="140"/>
  <c r="V327" i="140" s="1"/>
  <c r="J286" i="140"/>
  <c r="J67" i="140"/>
  <c r="AA45" i="140"/>
  <c r="O68" i="140"/>
  <c r="N67" i="140"/>
  <c r="N286" i="140"/>
  <c r="V93" i="140"/>
  <c r="O311" i="140"/>
  <c r="V311" i="140" s="1"/>
  <c r="X163" i="140"/>
  <c r="V163" i="140"/>
  <c r="P381" i="140"/>
  <c r="V316" i="140"/>
  <c r="S316" i="140"/>
  <c r="U79" i="138"/>
  <c r="H79" i="139"/>
  <c r="C43" i="137"/>
  <c r="C41" i="137"/>
  <c r="E3" i="139"/>
  <c r="R3" i="138"/>
  <c r="E92" i="138"/>
  <c r="D62" i="139"/>
  <c r="D57" i="138"/>
  <c r="Q62" i="138"/>
  <c r="T283" i="140" l="1"/>
  <c r="N285" i="140"/>
  <c r="N179" i="140"/>
  <c r="O67" i="140"/>
  <c r="O401" i="140"/>
  <c r="O216" i="140"/>
  <c r="O416" i="140"/>
  <c r="I50" i="139"/>
  <c r="V50" i="138"/>
  <c r="V92" i="138" s="1"/>
  <c r="S3" i="138"/>
  <c r="F3" i="139"/>
  <c r="F92" i="138"/>
  <c r="H3" i="139"/>
  <c r="U3" i="138"/>
  <c r="H92" i="138"/>
  <c r="I333" i="140"/>
  <c r="I98" i="140"/>
  <c r="I316" i="140" s="1"/>
  <c r="S183" i="140"/>
  <c r="I183" i="140"/>
  <c r="I400" i="140" s="1"/>
  <c r="E400" i="140"/>
  <c r="S400" i="140" s="1"/>
  <c r="E178" i="140"/>
  <c r="E395" i="140" s="1"/>
  <c r="V381" i="140"/>
  <c r="S381" i="140"/>
  <c r="R397" i="140"/>
  <c r="U397" i="140" s="1"/>
  <c r="U180" i="140"/>
  <c r="K179" i="140"/>
  <c r="K396" i="140" s="1"/>
  <c r="K285" i="140"/>
  <c r="R396" i="140"/>
  <c r="U396" i="140" s="1"/>
  <c r="U179" i="140"/>
  <c r="Q263" i="140"/>
  <c r="T263" i="140" s="1"/>
  <c r="Q184" i="140"/>
  <c r="E22" i="116"/>
  <c r="F15" i="116"/>
  <c r="F183" i="140"/>
  <c r="Q400" i="140"/>
  <c r="R183" i="140"/>
  <c r="V184" i="140"/>
  <c r="P401" i="140"/>
  <c r="S184" i="140"/>
  <c r="R216" i="140"/>
  <c r="R416" i="140"/>
  <c r="P424" i="140"/>
  <c r="P142" i="140"/>
  <c r="V283" i="140"/>
  <c r="S283" i="140"/>
  <c r="P68" i="140"/>
  <c r="P200" i="140"/>
  <c r="P408" i="140" s="1"/>
  <c r="P211" i="140"/>
  <c r="P409" i="140"/>
  <c r="Q215" i="140"/>
  <c r="Q126" i="140"/>
  <c r="Q412" i="140"/>
  <c r="K401" i="140"/>
  <c r="Q3" i="138"/>
  <c r="D3" i="139"/>
  <c r="B50" i="139"/>
  <c r="O50" i="138"/>
  <c r="Q151" i="140"/>
  <c r="Q200" i="140"/>
  <c r="Q408" i="140" s="1"/>
  <c r="Q411" i="140"/>
  <c r="P118" i="140"/>
  <c r="Q214" i="140"/>
  <c r="P422" i="140"/>
  <c r="J299" i="140"/>
  <c r="J180" i="140"/>
  <c r="J397" i="140" s="1"/>
  <c r="T3" i="138"/>
  <c r="T92" i="138" s="1"/>
  <c r="G3" i="139"/>
  <c r="G92" i="138"/>
  <c r="Y5" i="140"/>
  <c r="V36" i="140"/>
  <c r="P254" i="140"/>
  <c r="C3" i="139"/>
  <c r="P3" i="138"/>
  <c r="Y57" i="138"/>
  <c r="L57" i="139"/>
  <c r="L50" i="138"/>
  <c r="Q208" i="140"/>
  <c r="Q414" i="140"/>
  <c r="O118" i="140"/>
  <c r="N117" i="140"/>
  <c r="N336" i="140"/>
  <c r="V82" i="140"/>
  <c r="I82" i="140"/>
  <c r="X82" i="140"/>
  <c r="S82" i="140"/>
  <c r="P300" i="140"/>
  <c r="R44" i="140"/>
  <c r="Q36" i="140"/>
  <c r="T44" i="140"/>
  <c r="T36" i="140" s="1"/>
  <c r="Q262" i="140"/>
  <c r="T262" i="140" s="1"/>
  <c r="H68" i="140"/>
  <c r="O286" i="140"/>
  <c r="H184" i="140"/>
  <c r="H263" i="140"/>
  <c r="B3" i="139"/>
  <c r="O3" i="138"/>
  <c r="O92" i="138" s="1"/>
  <c r="B92" i="138"/>
  <c r="J3" i="139"/>
  <c r="J92" i="138"/>
  <c r="W3" i="138"/>
  <c r="P126" i="140"/>
  <c r="P215" i="140"/>
  <c r="P412" i="140"/>
  <c r="I262" i="140"/>
  <c r="I36" i="140"/>
  <c r="J285" i="140"/>
  <c r="J179" i="140"/>
  <c r="J396" i="140" s="1"/>
  <c r="H69" i="140"/>
  <c r="H287" i="140" s="1"/>
  <c r="O287" i="140"/>
  <c r="P57" i="138"/>
  <c r="C50" i="138"/>
  <c r="C57" i="139"/>
  <c r="M170" i="140"/>
  <c r="M388" i="140" s="1"/>
  <c r="M171" i="140"/>
  <c r="M387" i="140"/>
  <c r="R45" i="140"/>
  <c r="U47" i="140"/>
  <c r="U45" i="140" s="1"/>
  <c r="R265" i="140"/>
  <c r="U265" i="140" s="1"/>
  <c r="K180" i="140"/>
  <c r="K397" i="140" s="1"/>
  <c r="K299" i="140"/>
  <c r="H81" i="140"/>
  <c r="H300" i="140"/>
  <c r="P83" i="140"/>
  <c r="P420" i="140"/>
  <c r="H98" i="140"/>
  <c r="H316" i="140" s="1"/>
  <c r="R50" i="138"/>
  <c r="R92" i="138" s="1"/>
  <c r="J401" i="140"/>
  <c r="I3" i="139"/>
  <c r="V158" i="140"/>
  <c r="O376" i="140"/>
  <c r="V376" i="140" s="1"/>
  <c r="O180" i="140"/>
  <c r="O397" i="140" s="1"/>
  <c r="O299" i="140"/>
  <c r="T50" i="138"/>
  <c r="G50" i="139"/>
  <c r="X57" i="138"/>
  <c r="K57" i="139"/>
  <c r="K50" i="138"/>
  <c r="AA6" i="140"/>
  <c r="Z80" i="140"/>
  <c r="AA80" i="140" s="1"/>
  <c r="Y67" i="140"/>
  <c r="Y3" i="138"/>
  <c r="L92" i="138"/>
  <c r="L3" i="139"/>
  <c r="V115" i="140"/>
  <c r="O333" i="140"/>
  <c r="V333" i="140" s="1"/>
  <c r="O315" i="140"/>
  <c r="V315" i="140" s="1"/>
  <c r="V97" i="140"/>
  <c r="O367" i="140"/>
  <c r="V367" i="140" s="1"/>
  <c r="V149" i="140"/>
  <c r="V54" i="140"/>
  <c r="O272" i="140"/>
  <c r="V272" i="140" s="1"/>
  <c r="P151" i="140"/>
  <c r="P411" i="140"/>
  <c r="O127" i="140"/>
  <c r="N345" i="140"/>
  <c r="N125" i="140"/>
  <c r="H50" i="138"/>
  <c r="H57" i="139"/>
  <c r="U57" i="138"/>
  <c r="R283" i="140"/>
  <c r="U283" i="140" s="1"/>
  <c r="U65" i="140"/>
  <c r="O56" i="140"/>
  <c r="N55" i="140"/>
  <c r="N274" i="140"/>
  <c r="V263" i="140"/>
  <c r="S263" i="140"/>
  <c r="R151" i="140"/>
  <c r="R411" i="140"/>
  <c r="R204" i="140"/>
  <c r="R200" i="140" s="1"/>
  <c r="R408" i="140" s="1"/>
  <c r="I92" i="138"/>
  <c r="R20" i="140"/>
  <c r="U27" i="140"/>
  <c r="U20" i="140" s="1"/>
  <c r="R245" i="140"/>
  <c r="U245" i="140" s="1"/>
  <c r="Q396" i="140"/>
  <c r="T396" i="140" s="1"/>
  <c r="T179" i="140"/>
  <c r="D50" i="138"/>
  <c r="D92" i="138" s="1"/>
  <c r="D57" i="139"/>
  <c r="Q57" i="138"/>
  <c r="E57" i="139"/>
  <c r="K3" i="139"/>
  <c r="X3" i="138"/>
  <c r="O168" i="140"/>
  <c r="D386" i="140"/>
  <c r="V238" i="140"/>
  <c r="S238" i="140"/>
  <c r="S50" i="138"/>
  <c r="F50" i="139"/>
  <c r="J50" i="139"/>
  <c r="W50" i="138"/>
  <c r="V224" i="140"/>
  <c r="S224" i="140"/>
  <c r="Z115" i="140"/>
  <c r="AA115" i="140" s="1"/>
  <c r="Y98" i="140"/>
  <c r="Z98" i="140" s="1"/>
  <c r="AA98" i="140" s="1"/>
  <c r="V140" i="140"/>
  <c r="O358" i="140"/>
  <c r="V358" i="140" s="1"/>
  <c r="H56" i="140" l="1"/>
  <c r="O274" i="140"/>
  <c r="I254" i="140"/>
  <c r="I81" i="140"/>
  <c r="I300" i="140"/>
  <c r="Q92" i="138"/>
  <c r="O285" i="140"/>
  <c r="O179" i="140"/>
  <c r="V168" i="140"/>
  <c r="O386" i="140"/>
  <c r="V386" i="140" s="1"/>
  <c r="P50" i="138"/>
  <c r="C50" i="139"/>
  <c r="V68" i="140"/>
  <c r="X68" i="140"/>
  <c r="I68" i="140"/>
  <c r="S68" i="140"/>
  <c r="P56" i="140"/>
  <c r="P286" i="140"/>
  <c r="V401" i="140"/>
  <c r="S401" i="140"/>
  <c r="T184" i="140"/>
  <c r="T178" i="140" s="1"/>
  <c r="Q401" i="140"/>
  <c r="T401" i="140" s="1"/>
  <c r="Q178" i="140"/>
  <c r="Q395" i="140" s="1"/>
  <c r="N178" i="140"/>
  <c r="N395" i="140" s="1"/>
  <c r="N396" i="140"/>
  <c r="S151" i="140"/>
  <c r="I151" i="140"/>
  <c r="X151" i="140"/>
  <c r="V151" i="140"/>
  <c r="P369" i="140"/>
  <c r="Q254" i="140"/>
  <c r="T254" i="140" s="1"/>
  <c r="P92" i="138"/>
  <c r="U151" i="140"/>
  <c r="R369" i="140"/>
  <c r="U369" i="140" s="1"/>
  <c r="K151" i="140"/>
  <c r="X50" i="138"/>
  <c r="K50" i="139"/>
  <c r="R184" i="140"/>
  <c r="R263" i="140"/>
  <c r="U263" i="140" s="1"/>
  <c r="P127" i="140"/>
  <c r="P423" i="140"/>
  <c r="R36" i="140"/>
  <c r="R254" i="140" s="1"/>
  <c r="U254" i="140" s="1"/>
  <c r="R262" i="140"/>
  <c r="U262" i="140" s="1"/>
  <c r="U44" i="140"/>
  <c r="U36" i="140" s="1"/>
  <c r="O117" i="140"/>
  <c r="O335" i="140" s="1"/>
  <c r="N335" i="140"/>
  <c r="U92" i="138"/>
  <c r="O424" i="140"/>
  <c r="N142" i="140"/>
  <c r="O217" i="140"/>
  <c r="K92" i="138"/>
  <c r="I83" i="140"/>
  <c r="I301" i="140" s="1"/>
  <c r="S83" i="140"/>
  <c r="S81" i="140" s="1"/>
  <c r="V83" i="140"/>
  <c r="X83" i="140"/>
  <c r="Z83" i="140" s="1"/>
  <c r="AA83" i="140" s="1"/>
  <c r="P301" i="140"/>
  <c r="X126" i="140"/>
  <c r="V126" i="140"/>
  <c r="I126" i="140"/>
  <c r="P344" i="140"/>
  <c r="P125" i="140"/>
  <c r="S126" i="140"/>
  <c r="V300" i="140"/>
  <c r="S300" i="140"/>
  <c r="H118" i="140"/>
  <c r="O336" i="140"/>
  <c r="C92" i="138"/>
  <c r="J126" i="140"/>
  <c r="Q56" i="140"/>
  <c r="Q125" i="140"/>
  <c r="Q344" i="140"/>
  <c r="T344" i="140" s="1"/>
  <c r="T126" i="140"/>
  <c r="P141" i="140"/>
  <c r="I142" i="140"/>
  <c r="S142" i="140"/>
  <c r="P360" i="140"/>
  <c r="X142" i="140"/>
  <c r="G183" i="140"/>
  <c r="R400" i="140"/>
  <c r="U50" i="138"/>
  <c r="H50" i="139"/>
  <c r="M389" i="140"/>
  <c r="W92" i="138"/>
  <c r="H401" i="140"/>
  <c r="V254" i="140"/>
  <c r="S254" i="140"/>
  <c r="Q127" i="140"/>
  <c r="Q423" i="140"/>
  <c r="X92" i="138"/>
  <c r="P81" i="140"/>
  <c r="Q216" i="140"/>
  <c r="Q416" i="140"/>
  <c r="J183" i="140"/>
  <c r="T183" i="140"/>
  <c r="F400" i="140"/>
  <c r="T400" i="140" s="1"/>
  <c r="F178" i="140"/>
  <c r="F395" i="140" s="1"/>
  <c r="T395" i="140" s="1"/>
  <c r="R126" i="140"/>
  <c r="R215" i="140"/>
  <c r="R412" i="140"/>
  <c r="H127" i="140"/>
  <c r="O345" i="140"/>
  <c r="P117" i="140"/>
  <c r="X118" i="140"/>
  <c r="I118" i="140"/>
  <c r="S118" i="140"/>
  <c r="S117" i="140" s="1"/>
  <c r="V118" i="140"/>
  <c r="P336" i="140"/>
  <c r="D50" i="139"/>
  <c r="Q50" i="138"/>
  <c r="T151" i="140"/>
  <c r="Q369" i="140"/>
  <c r="T369" i="140" s="1"/>
  <c r="J151" i="140"/>
  <c r="R238" i="140"/>
  <c r="U238" i="140" s="1"/>
  <c r="N185" i="140"/>
  <c r="N402" i="140" s="1"/>
  <c r="N343" i="140"/>
  <c r="O125" i="140"/>
  <c r="Y66" i="140"/>
  <c r="H180" i="140"/>
  <c r="H397" i="140" s="1"/>
  <c r="H299" i="140"/>
  <c r="N273" i="140"/>
  <c r="O55" i="140"/>
  <c r="N5" i="140"/>
  <c r="E50" i="139"/>
  <c r="H67" i="140"/>
  <c r="H286" i="140"/>
  <c r="Z82" i="140"/>
  <c r="L50" i="139"/>
  <c r="Y50" i="138"/>
  <c r="Y92" i="138" s="1"/>
  <c r="Q118" i="140"/>
  <c r="R214" i="140"/>
  <c r="Q422" i="140"/>
  <c r="Q217" i="140"/>
  <c r="P69" i="140"/>
  <c r="P419" i="140"/>
  <c r="P217" i="140"/>
  <c r="R142" i="140"/>
  <c r="R424" i="140"/>
  <c r="F22" i="116"/>
  <c r="G15" i="116"/>
  <c r="S92" i="138"/>
  <c r="I117" i="140" l="1"/>
  <c r="I335" i="140" s="1"/>
  <c r="I336" i="140"/>
  <c r="K183" i="140"/>
  <c r="U183" i="140"/>
  <c r="G400" i="140"/>
  <c r="U400" i="140" s="1"/>
  <c r="G178" i="140"/>
  <c r="G395" i="140" s="1"/>
  <c r="U395" i="140" s="1"/>
  <c r="H179" i="140"/>
  <c r="H285" i="140"/>
  <c r="X117" i="140"/>
  <c r="Z117" i="140" s="1"/>
  <c r="AA117" i="140" s="1"/>
  <c r="Z118" i="140"/>
  <c r="AA118" i="140" s="1"/>
  <c r="X141" i="140"/>
  <c r="Z141" i="140" s="1"/>
  <c r="AA141" i="140" s="1"/>
  <c r="Z142" i="140"/>
  <c r="AA142" i="140" s="1"/>
  <c r="S125" i="140"/>
  <c r="S185" i="140" s="1"/>
  <c r="S286" i="140"/>
  <c r="V286" i="140"/>
  <c r="J118" i="140"/>
  <c r="T118" i="140"/>
  <c r="T117" i="140" s="1"/>
  <c r="Q117" i="140"/>
  <c r="Q336" i="140"/>
  <c r="T336" i="140" s="1"/>
  <c r="V117" i="140"/>
  <c r="P335" i="140"/>
  <c r="J127" i="140"/>
  <c r="J345" i="140" s="1"/>
  <c r="T127" i="140"/>
  <c r="Q345" i="140"/>
  <c r="T345" i="140" s="1"/>
  <c r="S360" i="140"/>
  <c r="V125" i="140"/>
  <c r="V185" i="140" s="1"/>
  <c r="P185" i="140"/>
  <c r="P402" i="140" s="1"/>
  <c r="P343" i="140"/>
  <c r="Y169" i="140"/>
  <c r="N223" i="140"/>
  <c r="J400" i="140"/>
  <c r="J178" i="140"/>
  <c r="J395" i="140" s="1"/>
  <c r="J125" i="140"/>
  <c r="J344" i="140"/>
  <c r="V344" i="140"/>
  <c r="S344" i="140"/>
  <c r="R118" i="140"/>
  <c r="R422" i="140"/>
  <c r="R217" i="140"/>
  <c r="O185" i="140"/>
  <c r="O402" i="140" s="1"/>
  <c r="O343" i="140"/>
  <c r="Q185" i="140"/>
  <c r="Q402" i="140" s="1"/>
  <c r="T402" i="140" s="1"/>
  <c r="Q343" i="140"/>
  <c r="T343" i="140" s="1"/>
  <c r="R401" i="140"/>
  <c r="U401" i="140" s="1"/>
  <c r="R178" i="140"/>
  <c r="R395" i="140" s="1"/>
  <c r="U184" i="140"/>
  <c r="U178" i="140" s="1"/>
  <c r="J56" i="140"/>
  <c r="T56" i="140"/>
  <c r="T55" i="140" s="1"/>
  <c r="T5" i="140" s="1"/>
  <c r="Q55" i="140"/>
  <c r="Q274" i="140"/>
  <c r="T274" i="140" s="1"/>
  <c r="V56" i="140"/>
  <c r="P55" i="140"/>
  <c r="X56" i="140"/>
  <c r="I56" i="140"/>
  <c r="S56" i="140"/>
  <c r="S55" i="140" s="1"/>
  <c r="S5" i="140" s="1"/>
  <c r="P274" i="140"/>
  <c r="I180" i="140"/>
  <c r="I397" i="140" s="1"/>
  <c r="I299" i="140"/>
  <c r="R141" i="140"/>
  <c r="K142" i="140"/>
  <c r="U142" i="140"/>
  <c r="R360" i="140"/>
  <c r="U360" i="140" s="1"/>
  <c r="P152" i="140"/>
  <c r="P425" i="140"/>
  <c r="O273" i="140"/>
  <c r="O5" i="140"/>
  <c r="O223" i="140" s="1"/>
  <c r="H345" i="140"/>
  <c r="H125" i="140"/>
  <c r="I141" i="140"/>
  <c r="I359" i="140" s="1"/>
  <c r="I360" i="140"/>
  <c r="I125" i="140"/>
  <c r="I344" i="140"/>
  <c r="K369" i="140"/>
  <c r="V369" i="140"/>
  <c r="S369" i="140"/>
  <c r="I286" i="140"/>
  <c r="O396" i="140"/>
  <c r="O178" i="140"/>
  <c r="O395" i="140" s="1"/>
  <c r="V336" i="140"/>
  <c r="S336" i="140"/>
  <c r="Q142" i="140"/>
  <c r="Q424" i="140"/>
  <c r="S141" i="140"/>
  <c r="P359" i="140"/>
  <c r="O425" i="140"/>
  <c r="N152" i="140"/>
  <c r="X67" i="140"/>
  <c r="Z68" i="140"/>
  <c r="G22" i="116"/>
  <c r="H15" i="116"/>
  <c r="V69" i="140"/>
  <c r="I69" i="140"/>
  <c r="I287" i="140" s="1"/>
  <c r="S69" i="140"/>
  <c r="S67" i="140" s="1"/>
  <c r="X69" i="140"/>
  <c r="Z69" i="140" s="1"/>
  <c r="AA69" i="140" s="1"/>
  <c r="P287" i="140"/>
  <c r="AA82" i="140"/>
  <c r="Z81" i="140"/>
  <c r="AA81" i="140" s="1"/>
  <c r="R127" i="140"/>
  <c r="R423" i="140"/>
  <c r="P180" i="140"/>
  <c r="P299" i="140"/>
  <c r="V81" i="140"/>
  <c r="H117" i="140"/>
  <c r="H335" i="140" s="1"/>
  <c r="H336" i="140"/>
  <c r="Z126" i="140"/>
  <c r="AA126" i="140" s="1"/>
  <c r="O142" i="140"/>
  <c r="N141" i="140"/>
  <c r="N360" i="140"/>
  <c r="Z151" i="140"/>
  <c r="P67" i="140"/>
  <c r="H55" i="140"/>
  <c r="H274" i="140"/>
  <c r="Q152" i="140"/>
  <c r="Q425" i="140"/>
  <c r="X81" i="140"/>
  <c r="J369" i="140"/>
  <c r="K126" i="140"/>
  <c r="U126" i="140"/>
  <c r="R125" i="140"/>
  <c r="R56" i="140"/>
  <c r="R344" i="140"/>
  <c r="U344" i="140" s="1"/>
  <c r="T125" i="140"/>
  <c r="T185" i="140" s="1"/>
  <c r="V301" i="140"/>
  <c r="S301" i="140"/>
  <c r="I127" i="140"/>
  <c r="I345" i="140" s="1"/>
  <c r="X127" i="140"/>
  <c r="Z127" i="140" s="1"/>
  <c r="AA127" i="140" s="1"/>
  <c r="P345" i="140"/>
  <c r="V127" i="140"/>
  <c r="S127" i="140"/>
  <c r="I369" i="140"/>
  <c r="T152" i="140" l="1"/>
  <c r="T150" i="140" s="1"/>
  <c r="Q370" i="140"/>
  <c r="T370" i="140" s="1"/>
  <c r="J152" i="140"/>
  <c r="Q150" i="140"/>
  <c r="Q368" i="140" s="1"/>
  <c r="T368" i="140" s="1"/>
  <c r="R185" i="140"/>
  <c r="R402" i="140" s="1"/>
  <c r="U402" i="140" s="1"/>
  <c r="R343" i="140"/>
  <c r="U343" i="140" s="1"/>
  <c r="N359" i="140"/>
  <c r="O141" i="140"/>
  <c r="S152" i="140"/>
  <c r="S150" i="140" s="1"/>
  <c r="S66" i="140" s="1"/>
  <c r="S169" i="140" s="1"/>
  <c r="X152" i="140"/>
  <c r="I152" i="140"/>
  <c r="P370" i="140"/>
  <c r="P150" i="140"/>
  <c r="R152" i="140"/>
  <c r="R425" i="140"/>
  <c r="H142" i="140"/>
  <c r="O360" i="140"/>
  <c r="V360" i="140" s="1"/>
  <c r="V142" i="140"/>
  <c r="I55" i="140"/>
  <c r="I274" i="140"/>
  <c r="K127" i="140"/>
  <c r="K345" i="140" s="1"/>
  <c r="U127" i="140"/>
  <c r="R345" i="140"/>
  <c r="U345" i="140" s="1"/>
  <c r="V67" i="140"/>
  <c r="P66" i="140"/>
  <c r="P179" i="140"/>
  <c r="P285" i="140"/>
  <c r="X125" i="140"/>
  <c r="Z125" i="140" s="1"/>
  <c r="AA125" i="140" s="1"/>
  <c r="H185" i="140"/>
  <c r="H402" i="140" s="1"/>
  <c r="H343" i="140"/>
  <c r="K141" i="140"/>
  <c r="K359" i="140" s="1"/>
  <c r="K360" i="140"/>
  <c r="V55" i="140"/>
  <c r="P273" i="140"/>
  <c r="P5" i="140"/>
  <c r="Q335" i="140"/>
  <c r="T335" i="140" s="1"/>
  <c r="K400" i="140"/>
  <c r="K178" i="140"/>
  <c r="K395" i="140" s="1"/>
  <c r="AA151" i="140"/>
  <c r="Z67" i="140"/>
  <c r="AA67" i="140" s="1"/>
  <c r="AA68" i="140"/>
  <c r="T142" i="140"/>
  <c r="Q141" i="140"/>
  <c r="J142" i="140"/>
  <c r="Q360" i="140"/>
  <c r="T360" i="140" s="1"/>
  <c r="U141" i="140"/>
  <c r="R359" i="140"/>
  <c r="U359" i="140" s="1"/>
  <c r="V274" i="140"/>
  <c r="S274" i="140"/>
  <c r="V335" i="140"/>
  <c r="S335" i="140"/>
  <c r="V345" i="140"/>
  <c r="S345" i="140"/>
  <c r="V402" i="140"/>
  <c r="S402" i="140"/>
  <c r="U125" i="140"/>
  <c r="U185" i="140" s="1"/>
  <c r="K344" i="140"/>
  <c r="K125" i="140"/>
  <c r="I15" i="116"/>
  <c r="H22" i="116"/>
  <c r="I67" i="140"/>
  <c r="R117" i="140"/>
  <c r="K118" i="140"/>
  <c r="U118" i="140"/>
  <c r="U117" i="140" s="1"/>
  <c r="R336" i="140"/>
  <c r="U336" i="140" s="1"/>
  <c r="V287" i="140"/>
  <c r="S287" i="140"/>
  <c r="J117" i="140"/>
  <c r="J336" i="140"/>
  <c r="U56" i="140"/>
  <c r="U55" i="140" s="1"/>
  <c r="U5" i="140" s="1"/>
  <c r="R55" i="140"/>
  <c r="R274" i="140"/>
  <c r="U274" i="140" s="1"/>
  <c r="K56" i="140"/>
  <c r="V299" i="140"/>
  <c r="S299" i="140"/>
  <c r="V343" i="140"/>
  <c r="S343" i="140"/>
  <c r="S180" i="140"/>
  <c r="V180" i="140"/>
  <c r="P397" i="140"/>
  <c r="S359" i="140"/>
  <c r="I343" i="140"/>
  <c r="I185" i="140"/>
  <c r="I402" i="140" s="1"/>
  <c r="J55" i="140"/>
  <c r="J274" i="140"/>
  <c r="H273" i="140"/>
  <c r="H5" i="140"/>
  <c r="J343" i="140"/>
  <c r="J185" i="140"/>
  <c r="J402" i="140" s="1"/>
  <c r="X55" i="140"/>
  <c r="X5" i="140" s="1"/>
  <c r="Z56" i="140"/>
  <c r="O152" i="140"/>
  <c r="V152" i="140" s="1"/>
  <c r="N150" i="140"/>
  <c r="N370" i="140"/>
  <c r="Q273" i="140"/>
  <c r="T273" i="140" s="1"/>
  <c r="Q5" i="140"/>
  <c r="Y171" i="140"/>
  <c r="Y170" i="140"/>
  <c r="H396" i="140"/>
  <c r="H178" i="140"/>
  <c r="H395" i="140" s="1"/>
  <c r="D2" i="71"/>
  <c r="C2" i="71"/>
  <c r="B2" i="71"/>
  <c r="D13" i="71"/>
  <c r="C13" i="71"/>
  <c r="B13" i="71"/>
  <c r="S196" i="140" l="1"/>
  <c r="S171" i="140"/>
  <c r="V397" i="140"/>
  <c r="S397" i="140"/>
  <c r="V370" i="140"/>
  <c r="S370" i="140"/>
  <c r="N368" i="140"/>
  <c r="O150" i="140"/>
  <c r="O368" i="140" s="1"/>
  <c r="V285" i="140"/>
  <c r="S285" i="140"/>
  <c r="V179" i="140"/>
  <c r="V178" i="140" s="1"/>
  <c r="S179" i="140"/>
  <c r="S178" i="140" s="1"/>
  <c r="P396" i="140"/>
  <c r="P178" i="140"/>
  <c r="P395" i="140" s="1"/>
  <c r="I66" i="140"/>
  <c r="I284" i="140" s="1"/>
  <c r="I179" i="140"/>
  <c r="I285" i="140"/>
  <c r="Z55" i="140"/>
  <c r="AA56" i="140"/>
  <c r="J335" i="140"/>
  <c r="J66" i="140"/>
  <c r="J284" i="140" s="1"/>
  <c r="H141" i="140"/>
  <c r="H360" i="140"/>
  <c r="J370" i="140"/>
  <c r="J150" i="140"/>
  <c r="J368" i="140" s="1"/>
  <c r="J15" i="116"/>
  <c r="I22" i="116"/>
  <c r="N66" i="140"/>
  <c r="U66" i="140"/>
  <c r="U169" i="140" s="1"/>
  <c r="K117" i="140"/>
  <c r="K336" i="140"/>
  <c r="V5" i="140"/>
  <c r="P169" i="140"/>
  <c r="P223" i="140"/>
  <c r="V273" i="140"/>
  <c r="S273" i="140"/>
  <c r="X66" i="140"/>
  <c r="Z66" i="140" s="1"/>
  <c r="AA66" i="140" s="1"/>
  <c r="P284" i="140"/>
  <c r="Z152" i="140"/>
  <c r="X150" i="140"/>
  <c r="Q223" i="140"/>
  <c r="T223" i="140" s="1"/>
  <c r="K185" i="140"/>
  <c r="K402" i="140" s="1"/>
  <c r="K343" i="140"/>
  <c r="J141" i="140"/>
  <c r="J359" i="140" s="1"/>
  <c r="J360" i="140"/>
  <c r="K152" i="140"/>
  <c r="U152" i="140"/>
  <c r="U150" i="140" s="1"/>
  <c r="R370" i="140"/>
  <c r="U370" i="140" s="1"/>
  <c r="R150" i="140"/>
  <c r="R368" i="140" s="1"/>
  <c r="U368" i="140" s="1"/>
  <c r="O359" i="140"/>
  <c r="V359" i="140" s="1"/>
  <c r="V141" i="140"/>
  <c r="H223" i="140"/>
  <c r="R273" i="140"/>
  <c r="U273" i="140" s="1"/>
  <c r="R5" i="140"/>
  <c r="I273" i="140"/>
  <c r="I5" i="140"/>
  <c r="I370" i="140"/>
  <c r="I150" i="140"/>
  <c r="I368" i="140" s="1"/>
  <c r="H152" i="140"/>
  <c r="O370" i="140"/>
  <c r="R335" i="140"/>
  <c r="U335" i="140" s="1"/>
  <c r="J273" i="140"/>
  <c r="J5" i="140"/>
  <c r="K55" i="140"/>
  <c r="K274" i="140"/>
  <c r="T141" i="140"/>
  <c r="T66" i="140" s="1"/>
  <c r="T169" i="140" s="1"/>
  <c r="Q359" i="140"/>
  <c r="T359" i="140" s="1"/>
  <c r="Q66" i="140"/>
  <c r="Q284" i="140" s="1"/>
  <c r="T284" i="140" s="1"/>
  <c r="P368" i="140"/>
  <c r="F5" i="62"/>
  <c r="E5" i="62"/>
  <c r="F4" i="62"/>
  <c r="E4" i="62"/>
  <c r="D3" i="62"/>
  <c r="F3" i="62" s="1"/>
  <c r="C3" i="62"/>
  <c r="B3" i="62"/>
  <c r="D5" i="60"/>
  <c r="F5" i="60" s="1"/>
  <c r="B5" i="60"/>
  <c r="F4" i="60"/>
  <c r="E4" i="60"/>
  <c r="C4" i="60"/>
  <c r="C5" i="60" s="1"/>
  <c r="F3" i="60"/>
  <c r="E3" i="60"/>
  <c r="Q169" i="140" l="1"/>
  <c r="Q171" i="140" s="1"/>
  <c r="Q389" i="140" s="1"/>
  <c r="T389" i="140" s="1"/>
  <c r="U171" i="140"/>
  <c r="U196" i="140"/>
  <c r="J223" i="140"/>
  <c r="J169" i="140"/>
  <c r="V368" i="140"/>
  <c r="S368" i="140"/>
  <c r="R223" i="140"/>
  <c r="U223" i="140" s="1"/>
  <c r="V223" i="140"/>
  <c r="S223" i="140"/>
  <c r="K15" i="116"/>
  <c r="K22" i="116" s="1"/>
  <c r="J22" i="116"/>
  <c r="S396" i="140"/>
  <c r="V396" i="140"/>
  <c r="P171" i="140"/>
  <c r="P387" i="140"/>
  <c r="P170" i="140"/>
  <c r="X169" i="140"/>
  <c r="K370" i="140"/>
  <c r="K150" i="140"/>
  <c r="K368" i="140" s="1"/>
  <c r="AA152" i="140"/>
  <c r="Z150" i="140"/>
  <c r="AA150" i="140" s="1"/>
  <c r="AA55" i="140"/>
  <c r="Z5" i="140"/>
  <c r="AA5" i="140" s="1"/>
  <c r="T196" i="140"/>
  <c r="T171" i="140"/>
  <c r="H370" i="140"/>
  <c r="H150" i="140"/>
  <c r="H368" i="140" s="1"/>
  <c r="S284" i="140"/>
  <c r="R66" i="140"/>
  <c r="R284" i="140" s="1"/>
  <c r="U284" i="140" s="1"/>
  <c r="O66" i="140"/>
  <c r="K335" i="140"/>
  <c r="K66" i="140"/>
  <c r="K284" i="140" s="1"/>
  <c r="I223" i="140"/>
  <c r="I169" i="140"/>
  <c r="N284" i="140"/>
  <c r="N169" i="140"/>
  <c r="H359" i="140"/>
  <c r="H66" i="140"/>
  <c r="V395" i="140"/>
  <c r="S395" i="140"/>
  <c r="V150" i="140"/>
  <c r="K273" i="140"/>
  <c r="K5" i="140"/>
  <c r="I396" i="140"/>
  <c r="I178" i="140"/>
  <c r="I395" i="140" s="1"/>
  <c r="E3" i="62"/>
  <c r="E5" i="60"/>
  <c r="E14" i="53"/>
  <c r="C14" i="53"/>
  <c r="E13" i="53"/>
  <c r="C13" i="53"/>
  <c r="E12" i="53"/>
  <c r="C12" i="53"/>
  <c r="E11" i="53"/>
  <c r="C11" i="53"/>
  <c r="E10" i="53"/>
  <c r="C10" i="53"/>
  <c r="E9" i="53"/>
  <c r="C9" i="53"/>
  <c r="E8" i="53"/>
  <c r="C8" i="53"/>
  <c r="E7" i="53"/>
  <c r="C7" i="53"/>
  <c r="E6" i="53"/>
  <c r="C6" i="53"/>
  <c r="E5" i="53"/>
  <c r="C5" i="53"/>
  <c r="E4" i="53"/>
  <c r="F4" i="53" s="1"/>
  <c r="F5" i="53" s="1"/>
  <c r="F6" i="53" s="1"/>
  <c r="F7" i="53" s="1"/>
  <c r="F8" i="53" s="1"/>
  <c r="F9" i="53" s="1"/>
  <c r="F10" i="53" s="1"/>
  <c r="F11" i="53" s="1"/>
  <c r="F12" i="53" s="1"/>
  <c r="F13" i="53" s="1"/>
  <c r="F14" i="53" s="1"/>
  <c r="C4" i="53"/>
  <c r="F3" i="53"/>
  <c r="R169" i="140" l="1"/>
  <c r="R387" i="140" s="1"/>
  <c r="U387" i="140" s="1"/>
  <c r="Q387" i="140"/>
  <c r="T387" i="140" s="1"/>
  <c r="Q170" i="140"/>
  <c r="H284" i="140"/>
  <c r="H169" i="140"/>
  <c r="S387" i="140"/>
  <c r="N171" i="140"/>
  <c r="N387" i="140"/>
  <c r="N170" i="140"/>
  <c r="N388" i="140" s="1"/>
  <c r="O169" i="140"/>
  <c r="K169" i="140"/>
  <c r="K223" i="140"/>
  <c r="I170" i="140"/>
  <c r="I388" i="140" s="1"/>
  <c r="I171" i="140"/>
  <c r="I389" i="140" s="1"/>
  <c r="I387" i="140"/>
  <c r="X170" i="140"/>
  <c r="Z170" i="140" s="1"/>
  <c r="AA170" i="140" s="1"/>
  <c r="X171" i="140"/>
  <c r="Z171" i="140" s="1"/>
  <c r="AA171" i="140" s="1"/>
  <c r="Z169" i="140"/>
  <c r="AA169" i="140" s="1"/>
  <c r="S170" i="140"/>
  <c r="P388" i="140"/>
  <c r="O284" i="140"/>
  <c r="V284" i="140" s="1"/>
  <c r="V66" i="140"/>
  <c r="J170" i="140"/>
  <c r="J388" i="140" s="1"/>
  <c r="J387" i="140"/>
  <c r="J171" i="140"/>
  <c r="J389" i="140" s="1"/>
  <c r="T170" i="140"/>
  <c r="Q388" i="140"/>
  <c r="T388" i="140" s="1"/>
  <c r="P389" i="140"/>
  <c r="R171" i="140" l="1"/>
  <c r="R389" i="140" s="1"/>
  <c r="U389" i="140" s="1"/>
  <c r="R170" i="140"/>
  <c r="S388" i="140"/>
  <c r="K170" i="140"/>
  <c r="K388" i="140" s="1"/>
  <c r="K171" i="140"/>
  <c r="K389" i="140" s="1"/>
  <c r="K387" i="140"/>
  <c r="O170" i="140"/>
  <c r="O387" i="140"/>
  <c r="V387" i="140" s="1"/>
  <c r="V169" i="140"/>
  <c r="S389" i="140"/>
  <c r="U170" i="140"/>
  <c r="R388" i="140"/>
  <c r="U388" i="140" s="1"/>
  <c r="N389" i="140"/>
  <c r="O171" i="140"/>
  <c r="H171" i="140"/>
  <c r="H389" i="140" s="1"/>
  <c r="H170" i="140"/>
  <c r="H388" i="140" s="1"/>
  <c r="H387" i="140"/>
  <c r="E24" i="48"/>
  <c r="I7" i="48"/>
  <c r="H7" i="48"/>
  <c r="G7" i="48"/>
  <c r="F7" i="48"/>
  <c r="E7" i="48"/>
  <c r="D7" i="48"/>
  <c r="C7" i="48"/>
  <c r="B7" i="48"/>
  <c r="O388" i="140" l="1"/>
  <c r="V388" i="140" s="1"/>
  <c r="V170" i="140"/>
  <c r="O389" i="140"/>
  <c r="V389" i="140" s="1"/>
  <c r="V171" i="140"/>
  <c r="H8" i="48"/>
  <c r="H11" i="48" s="1"/>
  <c r="I8" i="48"/>
  <c r="I11" i="48" s="1"/>
  <c r="E8" i="48"/>
  <c r="E11" i="48" s="1"/>
  <c r="F18" i="48" s="1"/>
  <c r="F19" i="48" s="1"/>
  <c r="F8" i="48"/>
  <c r="F11" i="48" s="1"/>
  <c r="G8" i="48"/>
  <c r="G11" i="48" s="1"/>
  <c r="G12" i="48" l="1"/>
  <c r="G14" i="48" s="1"/>
  <c r="G16" i="48" s="1"/>
  <c r="F12" i="48"/>
  <c r="F14" i="48" s="1"/>
  <c r="F16" i="48" s="1"/>
  <c r="F21" i="48" s="1"/>
  <c r="I12" i="48"/>
  <c r="I14" i="48" s="1"/>
  <c r="I16" i="48" s="1"/>
  <c r="I18" i="48"/>
  <c r="I19" i="48" s="1"/>
  <c r="H12" i="48"/>
  <c r="H14" i="48" s="1"/>
  <c r="H16" i="48" s="1"/>
  <c r="H18" i="48"/>
  <c r="H19" i="48" s="1"/>
  <c r="G18" i="48"/>
  <c r="G19" i="48" s="1"/>
  <c r="I21" i="48" l="1"/>
  <c r="G21" i="48"/>
  <c r="H21" i="48"/>
  <c r="H22" i="48" s="1"/>
  <c r="V10" i="45" l="1"/>
  <c r="U10" i="45"/>
  <c r="T10" i="45"/>
  <c r="S10" i="45"/>
  <c r="R10" i="45"/>
  <c r="Q10" i="45"/>
  <c r="P10" i="45"/>
  <c r="O10" i="45"/>
  <c r="N10" i="45"/>
  <c r="M10" i="45"/>
  <c r="L10" i="45"/>
  <c r="K10" i="45"/>
  <c r="J10" i="45"/>
  <c r="I10" i="45"/>
  <c r="H10" i="45"/>
  <c r="G10" i="45"/>
  <c r="F10" i="45"/>
  <c r="E10" i="45"/>
  <c r="D10" i="45"/>
  <c r="C10" i="45"/>
  <c r="B10" i="45"/>
  <c r="V9" i="45"/>
  <c r="U9" i="45"/>
  <c r="T9" i="45"/>
  <c r="S9" i="45"/>
  <c r="R9" i="45"/>
  <c r="Q9" i="45"/>
  <c r="P9" i="45"/>
  <c r="O9" i="45"/>
  <c r="N9" i="45"/>
  <c r="M9" i="45"/>
  <c r="L9" i="45"/>
  <c r="K9" i="45"/>
  <c r="J9" i="45"/>
  <c r="I9" i="45"/>
  <c r="H9" i="45"/>
  <c r="G9" i="45"/>
  <c r="F9" i="45"/>
  <c r="E9" i="45"/>
  <c r="D9" i="45"/>
  <c r="C9" i="45"/>
  <c r="B9" i="45"/>
  <c r="J26" i="44" l="1"/>
  <c r="J27" i="44" s="1"/>
  <c r="I26" i="44"/>
  <c r="I27" i="44" s="1"/>
  <c r="H26" i="44"/>
  <c r="H27" i="44" s="1"/>
  <c r="G26" i="44"/>
  <c r="F26" i="44"/>
  <c r="E26" i="44"/>
  <c r="D26" i="44"/>
  <c r="D27" i="44" s="1"/>
  <c r="M25" i="44"/>
  <c r="L25" i="44"/>
  <c r="K25" i="44"/>
  <c r="J25" i="44"/>
  <c r="I25" i="44"/>
  <c r="H25" i="44"/>
  <c r="G25" i="44"/>
  <c r="F25" i="44"/>
  <c r="E25" i="44"/>
  <c r="D25" i="44"/>
  <c r="M20" i="44"/>
  <c r="L20" i="44"/>
  <c r="K20" i="44"/>
  <c r="K26" i="44" s="1"/>
  <c r="E27" i="44" l="1"/>
  <c r="F27" i="44"/>
  <c r="K27" i="44"/>
  <c r="G27" i="44"/>
  <c r="U4" i="40" l="1"/>
  <c r="E4" i="40"/>
  <c r="U3" i="40"/>
  <c r="T3" i="40"/>
  <c r="T4" i="40" s="1"/>
  <c r="S3" i="40"/>
  <c r="S4" i="40" s="1"/>
  <c r="R3" i="40"/>
  <c r="R4" i="40" s="1"/>
  <c r="Q3" i="40"/>
  <c r="Q4" i="40" s="1"/>
  <c r="P3" i="40"/>
  <c r="P4" i="40" s="1"/>
  <c r="O3" i="40"/>
  <c r="O4" i="40" s="1"/>
  <c r="N3" i="40"/>
  <c r="N4" i="40" s="1"/>
  <c r="M3" i="40"/>
  <c r="M4" i="40" s="1"/>
  <c r="L3" i="40"/>
  <c r="L4" i="40" s="1"/>
  <c r="K3" i="40"/>
  <c r="K4" i="40" s="1"/>
  <c r="J3" i="40"/>
  <c r="J4" i="40" s="1"/>
  <c r="I3" i="40"/>
  <c r="I4" i="40" s="1"/>
  <c r="H3" i="40"/>
  <c r="H4" i="40" s="1"/>
  <c r="G3" i="40"/>
  <c r="G4" i="40" s="1"/>
  <c r="F3" i="40"/>
  <c r="F4" i="40" s="1"/>
  <c r="E3" i="40"/>
  <c r="D3" i="40"/>
  <c r="D4" i="40" s="1"/>
  <c r="C3" i="40"/>
  <c r="C4" i="40" s="1"/>
  <c r="B3" i="40"/>
  <c r="B4" i="40" s="1"/>
  <c r="B4" i="39" l="1"/>
  <c r="C4" i="39"/>
  <c r="D4" i="39"/>
  <c r="E4" i="39"/>
  <c r="D7" i="36" l="1"/>
  <c r="B7" i="36"/>
  <c r="C7" i="36" l="1"/>
  <c r="E7" i="36"/>
  <c r="E5" i="35" l="1"/>
  <c r="D5" i="35"/>
  <c r="C5" i="35"/>
  <c r="D5" i="34" l="1"/>
  <c r="C5" i="34" l="1"/>
  <c r="B5" i="34"/>
  <c r="E5" i="34"/>
  <c r="D4" i="22" l="1"/>
  <c r="D35" i="22" s="1"/>
  <c r="B4" i="22"/>
  <c r="B35" i="22" s="1"/>
  <c r="F4" i="22" l="1"/>
  <c r="F35" i="22" s="1"/>
  <c r="E4" i="22"/>
  <c r="E35" i="22" s="1"/>
  <c r="C4" i="22"/>
  <c r="C35" i="22" s="1"/>
  <c r="C39" i="22"/>
  <c r="D39" i="22"/>
  <c r="E39" i="22"/>
  <c r="F39" i="22"/>
  <c r="B39" i="22"/>
  <c r="D36" i="22" l="1"/>
  <c r="C36" i="22"/>
  <c r="F36" i="22"/>
  <c r="B36" i="22"/>
  <c r="E36" i="22"/>
  <c r="B4" i="24" l="1"/>
  <c r="C4" i="24"/>
  <c r="B17" i="24"/>
  <c r="C17" i="24"/>
  <c r="B20" i="24"/>
  <c r="C20" i="24"/>
  <c r="B3" i="24" l="1"/>
  <c r="C3" i="24"/>
  <c r="E6" i="35" l="1"/>
  <c r="C7" i="16" l="1"/>
  <c r="M48" i="24" l="1"/>
  <c r="L48" i="24"/>
  <c r="K48" i="24"/>
  <c r="J48" i="24"/>
  <c r="I48" i="24"/>
  <c r="M47" i="24"/>
  <c r="L47" i="24"/>
  <c r="K47" i="24"/>
  <c r="J47" i="24"/>
  <c r="I47" i="24"/>
  <c r="M45" i="24"/>
  <c r="L45" i="24"/>
  <c r="K45" i="24"/>
  <c r="J45" i="24"/>
  <c r="I45" i="24"/>
  <c r="M44" i="24"/>
  <c r="L44" i="24"/>
  <c r="K44" i="24"/>
  <c r="J44" i="24"/>
  <c r="I44" i="24"/>
  <c r="M43" i="24"/>
  <c r="L43" i="24"/>
  <c r="K43" i="24"/>
  <c r="J43" i="24"/>
  <c r="I43" i="24"/>
  <c r="M42" i="24"/>
  <c r="L42" i="24"/>
  <c r="K42" i="24"/>
  <c r="J42" i="24"/>
  <c r="I42" i="24"/>
  <c r="M41" i="24"/>
  <c r="L41" i="24"/>
  <c r="K41" i="24"/>
  <c r="J41" i="24"/>
  <c r="I41" i="24"/>
  <c r="M40" i="24"/>
  <c r="L40" i="24"/>
  <c r="K40" i="24"/>
  <c r="J40" i="24"/>
  <c r="I40" i="24"/>
  <c r="M39" i="24"/>
  <c r="L39" i="24"/>
  <c r="K39" i="24"/>
  <c r="J39" i="24"/>
  <c r="I39" i="24"/>
  <c r="M38" i="24"/>
  <c r="L38" i="24"/>
  <c r="K38" i="24"/>
  <c r="J38" i="24"/>
  <c r="I38" i="24"/>
  <c r="M37" i="24"/>
  <c r="L37" i="24"/>
  <c r="K37" i="24"/>
  <c r="J37" i="24"/>
  <c r="I37" i="24"/>
  <c r="M36" i="24"/>
  <c r="L36" i="24"/>
  <c r="K36" i="24"/>
  <c r="J36" i="24"/>
  <c r="I36" i="24"/>
  <c r="M34" i="24"/>
  <c r="L34" i="24"/>
  <c r="K34" i="24"/>
  <c r="J34" i="24"/>
  <c r="I34" i="24"/>
  <c r="M33" i="24"/>
  <c r="L33" i="24"/>
  <c r="K33" i="24"/>
  <c r="J33" i="24"/>
  <c r="I33" i="24"/>
  <c r="M32" i="24"/>
  <c r="L32" i="24"/>
  <c r="K32" i="24"/>
  <c r="J32" i="24"/>
  <c r="I32" i="24"/>
  <c r="M31" i="24"/>
  <c r="L31" i="24"/>
  <c r="K31" i="24"/>
  <c r="J31" i="24"/>
  <c r="I31" i="24"/>
  <c r="M30" i="24"/>
  <c r="L30" i="24"/>
  <c r="K30" i="24"/>
  <c r="J30" i="24"/>
  <c r="I30" i="24"/>
  <c r="M29" i="24"/>
  <c r="L29" i="24"/>
  <c r="K29" i="24"/>
  <c r="J29" i="24"/>
  <c r="I29" i="24"/>
  <c r="M26" i="24"/>
  <c r="L26" i="24"/>
  <c r="K26" i="24"/>
  <c r="J26" i="24"/>
  <c r="I26" i="24"/>
  <c r="M25" i="24"/>
  <c r="L25" i="24"/>
  <c r="K25" i="24"/>
  <c r="J25" i="24"/>
  <c r="I25" i="24"/>
  <c r="M24" i="24"/>
  <c r="L24" i="24"/>
  <c r="K24" i="24"/>
  <c r="J24" i="24"/>
  <c r="I24" i="24"/>
  <c r="M23" i="24"/>
  <c r="L23" i="24"/>
  <c r="K23" i="24"/>
  <c r="J23" i="24"/>
  <c r="I23" i="24"/>
  <c r="M22" i="24"/>
  <c r="L22" i="24"/>
  <c r="K22" i="24"/>
  <c r="J22" i="24"/>
  <c r="I22" i="24"/>
  <c r="M21" i="24"/>
  <c r="L21" i="24"/>
  <c r="K21" i="24"/>
  <c r="J21" i="24"/>
  <c r="I21" i="24"/>
  <c r="M19" i="24"/>
  <c r="L19" i="24"/>
  <c r="K19" i="24"/>
  <c r="J19" i="24"/>
  <c r="I19" i="24"/>
  <c r="M18" i="24"/>
  <c r="L18" i="24"/>
  <c r="K18" i="24"/>
  <c r="J18" i="24"/>
  <c r="I18" i="24"/>
  <c r="M16" i="24"/>
  <c r="L16" i="24"/>
  <c r="K16" i="24"/>
  <c r="J16" i="24"/>
  <c r="I16" i="24"/>
  <c r="M15" i="24"/>
  <c r="L15" i="24"/>
  <c r="K15" i="24"/>
  <c r="J15" i="24"/>
  <c r="I15" i="24"/>
  <c r="M14" i="24"/>
  <c r="L14" i="24"/>
  <c r="K14" i="24"/>
  <c r="J14" i="24"/>
  <c r="I14" i="24"/>
  <c r="M13" i="24"/>
  <c r="L13" i="24"/>
  <c r="K13" i="24"/>
  <c r="J13" i="24"/>
  <c r="I13" i="24"/>
  <c r="M12" i="24"/>
  <c r="L12" i="24"/>
  <c r="K12" i="24"/>
  <c r="J12" i="24"/>
  <c r="I12" i="24"/>
  <c r="M11" i="24"/>
  <c r="L11" i="24"/>
  <c r="K11" i="24"/>
  <c r="J11" i="24"/>
  <c r="I11" i="24"/>
  <c r="M10" i="24"/>
  <c r="L10" i="24"/>
  <c r="K10" i="24"/>
  <c r="J10" i="24"/>
  <c r="I10" i="24"/>
  <c r="M9" i="24"/>
  <c r="L9" i="24"/>
  <c r="K9" i="24"/>
  <c r="J9" i="24"/>
  <c r="I9" i="24"/>
  <c r="M8" i="24"/>
  <c r="L8" i="24"/>
  <c r="K8" i="24"/>
  <c r="J8" i="24"/>
  <c r="I8" i="24"/>
  <c r="M7" i="24"/>
  <c r="L7" i="24"/>
  <c r="K7" i="24"/>
  <c r="J7" i="24"/>
  <c r="I7" i="24"/>
  <c r="M6" i="24"/>
  <c r="L6" i="24"/>
  <c r="K6" i="24"/>
  <c r="J6" i="24"/>
  <c r="I6" i="24"/>
  <c r="M5" i="24"/>
  <c r="L5" i="24"/>
  <c r="K5" i="24"/>
  <c r="J5" i="24"/>
  <c r="I5" i="24"/>
  <c r="D46" i="24" l="1"/>
  <c r="K46" i="24" s="1"/>
  <c r="F35" i="24"/>
  <c r="M35" i="24" s="1"/>
  <c r="E35" i="24"/>
  <c r="L35" i="24" s="1"/>
  <c r="D35" i="24"/>
  <c r="K35" i="24" s="1"/>
  <c r="C35" i="24"/>
  <c r="B35" i="24"/>
  <c r="F20" i="24"/>
  <c r="M20" i="24" s="1"/>
  <c r="E20" i="24"/>
  <c r="L20" i="24" s="1"/>
  <c r="D20" i="24"/>
  <c r="K20" i="24" s="1"/>
  <c r="J20" i="24"/>
  <c r="I20" i="24"/>
  <c r="F17" i="24"/>
  <c r="M17" i="24" s="1"/>
  <c r="E17" i="24"/>
  <c r="L17" i="24" s="1"/>
  <c r="D17" i="24"/>
  <c r="K17" i="24" s="1"/>
  <c r="J17" i="24"/>
  <c r="I17" i="24"/>
  <c r="F4" i="24"/>
  <c r="M4" i="24" s="1"/>
  <c r="E4" i="24"/>
  <c r="L4" i="24" s="1"/>
  <c r="D4" i="24"/>
  <c r="K4" i="24" s="1"/>
  <c r="J4" i="24"/>
  <c r="I4" i="24"/>
  <c r="J35" i="24" l="1"/>
  <c r="C28" i="24"/>
  <c r="I35" i="24"/>
  <c r="B28" i="24"/>
  <c r="I28" i="24" s="1"/>
  <c r="F46" i="24"/>
  <c r="E46" i="24"/>
  <c r="J3" i="24"/>
  <c r="F28" i="24"/>
  <c r="M28" i="24" s="1"/>
  <c r="B46" i="24"/>
  <c r="B27" i="24" s="1"/>
  <c r="D3" i="24"/>
  <c r="K3" i="24" s="1"/>
  <c r="I3" i="24"/>
  <c r="J28" i="24"/>
  <c r="D28" i="24"/>
  <c r="K28" i="24" s="1"/>
  <c r="E28" i="24"/>
  <c r="L28" i="24" s="1"/>
  <c r="C46" i="24"/>
  <c r="C27" i="24" s="1"/>
  <c r="E3" i="24"/>
  <c r="L3" i="24" s="1"/>
  <c r="F3" i="24"/>
  <c r="M3" i="24" s="1"/>
  <c r="D27" i="24"/>
  <c r="K27" i="24" s="1"/>
  <c r="E27" i="24" l="1"/>
  <c r="L27" i="24" s="1"/>
  <c r="L46" i="24"/>
  <c r="I27" i="24"/>
  <c r="I46" i="24"/>
  <c r="J27" i="24"/>
  <c r="J46" i="24"/>
  <c r="F27" i="24"/>
  <c r="M27" i="24" s="1"/>
  <c r="M46" i="24"/>
  <c r="D49" i="24"/>
  <c r="E49" i="24" l="1"/>
  <c r="L49" i="24"/>
  <c r="K49" i="24"/>
  <c r="C49" i="24"/>
  <c r="F49" i="24"/>
  <c r="B49" i="24"/>
  <c r="M49" i="24" l="1"/>
  <c r="I49" i="24"/>
  <c r="J49" i="24"/>
  <c r="C6" i="35"/>
  <c r="D6" i="35"/>
  <c r="F7" i="16" l="1"/>
  <c r="E7" i="16" l="1"/>
  <c r="D7" i="16"/>
  <c r="B7" i="16" l="1"/>
</calcChain>
</file>

<file path=xl/comments1.xml><?xml version="1.0" encoding="utf-8"?>
<comments xmlns="http://schemas.openxmlformats.org/spreadsheetml/2006/main">
  <authors>
    <author>bugyi</author>
  </authors>
  <commentList>
    <comment ref="I6" authorId="0" shapeId="0">
      <text>
        <r>
          <rPr>
            <b/>
            <sz val="9"/>
            <color indexed="81"/>
            <rFont val="Segoe UI"/>
            <family val="2"/>
            <charset val="238"/>
          </rPr>
          <t>bugyi:</t>
        </r>
        <r>
          <rPr>
            <sz val="9"/>
            <color indexed="81"/>
            <rFont val="Segoe UI"/>
            <family val="2"/>
            <charset val="238"/>
          </rPr>
          <t xml:space="preserve">
rozpočtovaná hodnota</t>
        </r>
      </text>
    </comment>
  </commentList>
</comments>
</file>

<file path=xl/sharedStrings.xml><?xml version="1.0" encoding="utf-8"?>
<sst xmlns="http://schemas.openxmlformats.org/spreadsheetml/2006/main" count="3482" uniqueCount="1483">
  <si>
    <t>2. Cyklická zložka</t>
  </si>
  <si>
    <t>-</t>
  </si>
  <si>
    <t>- príjmy z rozpočtu EÚ</t>
  </si>
  <si>
    <t>- odvod do rozpočtu EÚ</t>
  </si>
  <si>
    <t xml:space="preserve">3. Jednorazové efekty </t>
  </si>
  <si>
    <t>Zdroj: RRZ</t>
  </si>
  <si>
    <t>p.m. produkčná medzera</t>
  </si>
  <si>
    <t>CELKOVO</t>
  </si>
  <si>
    <t>5. Zmena štrukturálneho salda (Δ4)/ Fiškálny kompakt</t>
  </si>
  <si>
    <t xml:space="preserve"> Zdroj: MF SR</t>
  </si>
  <si>
    <t>1. Saldo verejnej správy</t>
  </si>
  <si>
    <t>4. Štrukturálne saldo (1-2-3)</t>
  </si>
  <si>
    <t>13. Zmena štrukturálneho primárneho salda oč. o diaľnice a II. pilier /národná metodika</t>
  </si>
  <si>
    <t>14. Vzťahy s rozpočtom EÚ</t>
  </si>
  <si>
    <r>
      <t>15. Fiškálny impulz  (13-</t>
    </r>
    <r>
      <rPr>
        <b/>
        <sz val="9"/>
        <color rgb="FF13B5EA"/>
        <rFont val="Calibri"/>
        <family val="2"/>
        <charset val="238"/>
      </rPr>
      <t>∆</t>
    </r>
    <r>
      <rPr>
        <b/>
        <sz val="9"/>
        <color rgb="FF13B5EA"/>
        <rFont val="Constantia"/>
        <family val="1"/>
        <charset val="238"/>
      </rPr>
      <t>14)</t>
    </r>
  </si>
  <si>
    <t>Zdroj: Eurostat, MF SR, RRZ</t>
  </si>
  <si>
    <t>6. Saldo verejnej správy v NPC scenári</t>
  </si>
  <si>
    <t>RRZ</t>
  </si>
  <si>
    <t xml:space="preserve"> - </t>
  </si>
  <si>
    <t>Zdroj: metodika RRZ</t>
  </si>
  <si>
    <t>HDP</t>
  </si>
  <si>
    <t xml:space="preserve">    Eximbanka</t>
  </si>
  <si>
    <r>
      <t xml:space="preserve"> </t>
    </r>
    <r>
      <rPr>
        <i/>
        <sz val="9"/>
        <rFont val="Constantia"/>
        <family val="1"/>
        <charset val="238"/>
      </rPr>
      <t xml:space="preserve">  (potreba opatrení na dosiahnutie cieľa  v mil. eur)</t>
    </r>
  </si>
  <si>
    <t>imputácia  DPH z PPP projektu</t>
  </si>
  <si>
    <t>časové rozlíšenie príjmov z DPH</t>
  </si>
  <si>
    <t>korekcie k EÚ fondom</t>
  </si>
  <si>
    <t>Príjmy spolu</t>
  </si>
  <si>
    <t>Daňové príjmy</t>
  </si>
  <si>
    <t>Dane z produkcie a dovozu</t>
  </si>
  <si>
    <t xml:space="preserve"> - Daň z pridanej hodnoty (spolu so zdrojom EÚ)</t>
  </si>
  <si>
    <t xml:space="preserve"> - Spotrebné dane</t>
  </si>
  <si>
    <t xml:space="preserve"> - Dovozné clo</t>
  </si>
  <si>
    <t xml:space="preserve"> - Dane z majetku a iné</t>
  </si>
  <si>
    <t>Bežné dane z dôchodkov, majetku</t>
  </si>
  <si>
    <t xml:space="preserve"> - Daň z príjmov fyzických osôb</t>
  </si>
  <si>
    <t xml:space="preserve"> - Daň z príjmov právnických osôb</t>
  </si>
  <si>
    <t xml:space="preserve"> - Daň z príjmov vyberaná zrážkou - rozp. klasif.</t>
  </si>
  <si>
    <t xml:space="preserve"> - Daň z príjmov - emisie</t>
  </si>
  <si>
    <t>Dane z kapitálu</t>
  </si>
  <si>
    <t>Príspevky na sociálne zabezpečenie</t>
  </si>
  <si>
    <t>Skutočné príspevky na sociálne zabezpečenie spolu</t>
  </si>
  <si>
    <t>Imputované príspevky na sociálne zabezpečenie</t>
  </si>
  <si>
    <t xml:space="preserve">Nedaňové príjmy </t>
  </si>
  <si>
    <t>Tržby</t>
  </si>
  <si>
    <t>Dôchodky z majetku, z ktorých</t>
  </si>
  <si>
    <t xml:space="preserve"> - Dividendy</t>
  </si>
  <si>
    <t xml:space="preserve"> - Úroky</t>
  </si>
  <si>
    <t>Granty a transfery</t>
  </si>
  <si>
    <t>z toho: z EÚ</t>
  </si>
  <si>
    <t>Ostatné bežné transfery</t>
  </si>
  <si>
    <t>Kapitálové transfery</t>
  </si>
  <si>
    <t>Výdavky spolu</t>
  </si>
  <si>
    <t>Bežné výdavky</t>
  </si>
  <si>
    <t>Kompenzácie zamestnancov</t>
  </si>
  <si>
    <t>Medzispotreba</t>
  </si>
  <si>
    <t>Dane</t>
  </si>
  <si>
    <t>Subvencie</t>
  </si>
  <si>
    <t>Dôchodky z majetku</t>
  </si>
  <si>
    <t xml:space="preserve"> - Úrokové náklady</t>
  </si>
  <si>
    <t>Celkové sociálne transfery</t>
  </si>
  <si>
    <t xml:space="preserve"> - Sociálne dávky okrem naturálnych soc. transferov</t>
  </si>
  <si>
    <t xml:space="preserve"> - Aktívne opatrenia trhu práce</t>
  </si>
  <si>
    <t xml:space="preserve"> - Nemocenské dávky</t>
  </si>
  <si>
    <t xml:space="preserve"> - Dávky v nezamestnanosti</t>
  </si>
  <si>
    <t xml:space="preserve"> - Štátne sociálne dávky a podpora</t>
  </si>
  <si>
    <t>Kapitálové výdavky</t>
  </si>
  <si>
    <t>Kapitálové investície</t>
  </si>
  <si>
    <t>Čisté pôžičky poskytnuté / prijaté</t>
  </si>
  <si>
    <t xml:space="preserve"> - Naturálne sociálne transfery (zdrav. zariadenia)</t>
  </si>
  <si>
    <t xml:space="preserve"> - Dôchodkové dávky </t>
  </si>
  <si>
    <t>z toho: Odvody do rozpočtu EÚ</t>
  </si>
  <si>
    <t>Zdroj: MF SR, RRZ</t>
  </si>
  <si>
    <t xml:space="preserve">prognóza VpMP </t>
  </si>
  <si>
    <t>2016OS</t>
  </si>
  <si>
    <t>vratky domácnostiam za spotrebu plynu</t>
  </si>
  <si>
    <t>štrukturálne saldo</t>
  </si>
  <si>
    <t>Príjmy z rozpočtu EÚ (VpMP)</t>
  </si>
  <si>
    <t xml:space="preserve">1. Saldo verejnej správy </t>
  </si>
  <si>
    <r>
      <t xml:space="preserve">2. Cyklická zložka </t>
    </r>
    <r>
      <rPr>
        <sz val="9"/>
        <color rgb="FF13B5EA"/>
        <rFont val="Constantia"/>
        <family val="1"/>
        <charset val="238"/>
      </rPr>
      <t>(MF SR)</t>
    </r>
  </si>
  <si>
    <r>
      <t xml:space="preserve">3. Jednorazové efekty </t>
    </r>
    <r>
      <rPr>
        <sz val="9"/>
        <color rgb="FF13B5EA"/>
        <rFont val="Constantia"/>
        <family val="1"/>
        <charset val="238"/>
      </rPr>
      <t>(MF SR)</t>
    </r>
  </si>
  <si>
    <t>Zmena štrukturálneho salda (∆4)</t>
  </si>
  <si>
    <t>p.m. požadovaná konsolidácia podľa EK</t>
  </si>
  <si>
    <t>2016R</t>
  </si>
  <si>
    <t xml:space="preserve">    MH Invest</t>
  </si>
  <si>
    <t xml:space="preserve"> - Platené poistné za skupiny osôb ustanovené zákonom</t>
  </si>
  <si>
    <t>Príjmy z rozpočtu EÚ (NRVS 2017-2019)</t>
  </si>
  <si>
    <t>A. Štátny rozpočet</t>
  </si>
  <si>
    <t xml:space="preserve">B. Ostatné subjekty rozpočtu verejnej správy </t>
  </si>
  <si>
    <t xml:space="preserve">    Obce </t>
  </si>
  <si>
    <t xml:space="preserve">    Vyššie územné celky</t>
  </si>
  <si>
    <t xml:space="preserve">    Sociálna poisťovňa </t>
  </si>
  <si>
    <t xml:space="preserve">    Verejné zdravotné poistenie</t>
  </si>
  <si>
    <t xml:space="preserve">    Národný jadrový fond </t>
  </si>
  <si>
    <t xml:space="preserve">    Environmentálny fond </t>
  </si>
  <si>
    <t xml:space="preserve">    Štátny fond rozvoja bývania</t>
  </si>
  <si>
    <t xml:space="preserve">    Úrad pre dohľad nad ZS</t>
  </si>
  <si>
    <t xml:space="preserve">    Slovenský pozemkový fond</t>
  </si>
  <si>
    <t xml:space="preserve">    Slovenská konsolidačná, a. s.</t>
  </si>
  <si>
    <t xml:space="preserve">    Verejné vysoké školy</t>
  </si>
  <si>
    <t xml:space="preserve">    Rozhlas a televizia Slovenska</t>
  </si>
  <si>
    <t xml:space="preserve">    Tlačová agentúra SR</t>
  </si>
  <si>
    <t xml:space="preserve">    Úrad pre dohľad nad výkonom auditu</t>
  </si>
  <si>
    <t xml:space="preserve">    Audiovizuálny fond </t>
  </si>
  <si>
    <t xml:space="preserve">    Kancelária Rady pre rozpočtovú zodpovednosť</t>
  </si>
  <si>
    <t xml:space="preserve">    Železnice SR</t>
  </si>
  <si>
    <t xml:space="preserve">    ŽSSK</t>
  </si>
  <si>
    <t xml:space="preserve">    Národná diaľničná spoločnosť, a. s.</t>
  </si>
  <si>
    <t xml:space="preserve">    Agentúra pre núdzové zásoby ropy a ropných výrobkov</t>
  </si>
  <si>
    <t xml:space="preserve">    Fond na podporu vzdelávania</t>
  </si>
  <si>
    <t xml:space="preserve">    Recyklačný fond</t>
  </si>
  <si>
    <t xml:space="preserve">    Zdravotnícke zariadenia</t>
  </si>
  <si>
    <t xml:space="preserve">    Príspevkové organizácie spolu</t>
  </si>
  <si>
    <t xml:space="preserve">Rozpočet verejnej správy spolu </t>
  </si>
  <si>
    <t xml:space="preserve">  (v % HDP)</t>
  </si>
  <si>
    <t>2016O</t>
  </si>
  <si>
    <t>Zdroj: MF SR</t>
  </si>
  <si>
    <t xml:space="preserve">   Národný rezolučný fond</t>
  </si>
  <si>
    <t xml:space="preserve">    MH manažment</t>
  </si>
  <si>
    <t>EK (jeseň 2016)</t>
  </si>
  <si>
    <t>OECD (jún 2016)</t>
  </si>
  <si>
    <t>IMF (okt 2016)</t>
  </si>
  <si>
    <t>4. zmena cieľa (salda VS) voči RVS 2016-2018 (1-3)</t>
  </si>
  <si>
    <t>5. zmena cieľa (salda VS)voči PS (2-3)</t>
  </si>
  <si>
    <t>4. zmena prognózy dlhu voči RVS 2016-2018 (1-3)</t>
  </si>
  <si>
    <t>5. zmena prognózy dlhu voči PS (2-3)</t>
  </si>
  <si>
    <t>1. Saldo VS (RVS 2016-2018)</t>
  </si>
  <si>
    <t>2. Saldo VS (PS 2016-2019)</t>
  </si>
  <si>
    <t>3. Saldo VS (NRVS 2017-2019)</t>
  </si>
  <si>
    <t>1. Hrubý dlh VS  (RVS 2016-2018)</t>
  </si>
  <si>
    <t>2. Hrubý dlh VS (PS 2016-2019)</t>
  </si>
  <si>
    <t>3. Hrubý dlh VS (NRVS 2017-2019)</t>
  </si>
  <si>
    <t>RVS 2016-2018</t>
  </si>
  <si>
    <t>PS 2016-2019</t>
  </si>
  <si>
    <t>NRVS 2017-2019</t>
  </si>
  <si>
    <t>Daňové opatrenia</t>
  </si>
  <si>
    <t>Investície</t>
  </si>
  <si>
    <t>Výdavky na tovary a služby</t>
  </si>
  <si>
    <t>Nedaňové a iné príjmy</t>
  </si>
  <si>
    <t>Mzdy</t>
  </si>
  <si>
    <t>revízia HDP</t>
  </si>
  <si>
    <t>1. Návrh rozpočtu VS na roky 2017-2019</t>
  </si>
  <si>
    <r>
      <t xml:space="preserve">2. Fiškálny rámec podľa NPC </t>
    </r>
    <r>
      <rPr>
        <sz val="9"/>
        <color rgb="FF13B5EA"/>
        <rFont val="Constantia"/>
        <family val="1"/>
        <charset val="238"/>
      </rPr>
      <t>(MF SR)</t>
    </r>
  </si>
  <si>
    <t>3. Opatrenie na dosiahnutie cieľa (1-2)</t>
  </si>
  <si>
    <t>NPC (MF SR)</t>
  </si>
  <si>
    <t>vplyv daňových opatrení</t>
  </si>
  <si>
    <t>NPC (daňové opatrenia)</t>
  </si>
  <si>
    <t>Bežné transfery</t>
  </si>
  <si>
    <t>saldo VS</t>
  </si>
  <si>
    <r>
      <t>3. Saldo obcí (odhad RRZ)</t>
    </r>
    <r>
      <rPr>
        <sz val="9"/>
        <color rgb="FF13B5EA"/>
        <rFont val="Constantia"/>
        <family val="1"/>
        <charset val="238"/>
      </rPr>
      <t>*</t>
    </r>
  </si>
  <si>
    <r>
      <t>4. Saldo VÚC (odhad RRZ)</t>
    </r>
    <r>
      <rPr>
        <sz val="9"/>
        <color rgb="FF13B5EA"/>
        <rFont val="Constantia"/>
        <family val="1"/>
        <charset val="238"/>
      </rPr>
      <t>*</t>
    </r>
  </si>
  <si>
    <t>Celkové riziká (3+4-1-2)</t>
  </si>
  <si>
    <t>* Bilancia príjmov a výdavkov samospráv je vzhľadom na jej rozsah súčasťou dátového súboru.</t>
  </si>
  <si>
    <t>1. Saldo obcí (NRVS 2017-2019)</t>
  </si>
  <si>
    <t>2. Saldo VÚC (NRVS 2017-2019)</t>
  </si>
  <si>
    <t>Príjmy z rozpočtu EÚ (RRZ)</t>
  </si>
  <si>
    <t>MF SR(DBP)</t>
  </si>
  <si>
    <t>Tab 1: Ciele v oblasti salda  a dlhu verejnej správy (ESA2010, % HDP)</t>
  </si>
  <si>
    <t>Graf 3: Vplyv revízie HDP na saldo VS (% HDP)</t>
  </si>
  <si>
    <t>Graf 4: Vplyv revízie HDP na dlh VS (% HDP)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</si>
  <si>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</si>
  <si>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</si>
  <si>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</si>
  <si>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</si>
  <si>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</si>
  <si>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</si>
  <si>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</si>
  <si>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</si>
  <si>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</si>
  <si>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</si>
  <si>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</si>
  <si>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</si>
  <si>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</si>
  <si>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2009</t>
  </si>
  <si>
    <t>2010</t>
  </si>
  <si>
    <t>2011</t>
  </si>
  <si>
    <t>2012</t>
  </si>
  <si>
    <t>2013</t>
  </si>
  <si>
    <t>2014</t>
  </si>
  <si>
    <t>2015</t>
  </si>
  <si>
    <t>MF SR</t>
  </si>
  <si>
    <t>NPC RRZ</t>
  </si>
  <si>
    <t xml:space="preserve">      </t>
  </si>
  <si>
    <t>p.m.1: Na základe jesennej notifikácie Eurostatu zo dňa 21.10.2016 dosiahol deficit VS úroveň 2,71 % HDP a dlh VS úroveň 52,5 % HDP v roku 2015.</t>
  </si>
  <si>
    <t>Graf 1: Porovnanie rozpočtových cieľov – saldo rozpočtu (% HDP)</t>
  </si>
  <si>
    <t>Nominálne HDP</t>
  </si>
  <si>
    <t xml:space="preserve"> - v % HDP</t>
  </si>
  <si>
    <t>Tab 3: Potreba opatrení na splnenie cieľa (ESA2010, % HDP)</t>
  </si>
  <si>
    <r>
      <t>Graf 5: Porovnanie rozpočtových cieľov voči</t>
    </r>
    <r>
      <rPr>
        <sz val="8"/>
        <color rgb="FF3C3C3B"/>
        <rFont val="Constantia"/>
        <family val="1"/>
        <charset val="238"/>
      </rPr>
      <t> </t>
    </r>
    <r>
      <rPr>
        <b/>
        <sz val="10"/>
        <color rgb="FF13B5EA"/>
        <rFont val="Constantia"/>
        <family val="1"/>
        <charset val="238"/>
      </rPr>
      <t xml:space="preserve"> NPC scenáru</t>
    </r>
    <r>
      <rPr>
        <sz val="10"/>
        <rFont val="Constantia"/>
        <family val="1"/>
        <charset val="238"/>
      </rPr>
      <t xml:space="preserve"> </t>
    </r>
    <r>
      <rPr>
        <b/>
        <sz val="10"/>
        <color rgb="FF13B5EA"/>
        <rFont val="Constantia"/>
        <family val="1"/>
        <charset val="238"/>
      </rPr>
      <t>(% HDP)</t>
    </r>
  </si>
  <si>
    <t>Graf 6: Opatrenia na splnenie rozpočtových cieľov (% HDP)</t>
  </si>
  <si>
    <t>Graf 7: Opatrenia na dosiahnutie rozpočtových cieľov - porovnanie voči scenáru nezmenených politík podľa návrhu rozpočtu verejnej správy na roky 2017-2019  (% HDP)</t>
  </si>
  <si>
    <t xml:space="preserve">Graf 28: Saldo rozpočtu v rokoch 1995 až 2019 (ESA2010, % HDP) </t>
  </si>
  <si>
    <t>RVS 2008-2010</t>
  </si>
  <si>
    <t>RVS 2009-2011</t>
  </si>
  <si>
    <t>RVS 2010-2012</t>
  </si>
  <si>
    <t>RVS 2011-2013</t>
  </si>
  <si>
    <t>RVS 2012-2014 *</t>
  </si>
  <si>
    <t>RVS 2013-2015**</t>
  </si>
  <si>
    <t>RVS 2014-2016***</t>
  </si>
  <si>
    <t>RVS 2015-2017****</t>
  </si>
  <si>
    <t>NRVS 2016-2018*****</t>
  </si>
  <si>
    <t>Cielený schodok RVS 2012-2014</t>
  </si>
  <si>
    <t>Cielený schodok RVS 2013-2015</t>
  </si>
  <si>
    <t>Cielený schodok RVS 2014-2016</t>
  </si>
  <si>
    <t>Cielený schodok RVS 2015-2017</t>
  </si>
  <si>
    <t>Cielený schodok NRVS 2016-2018</t>
  </si>
  <si>
    <t>Cielený schodok NRVS 2017-2019</t>
  </si>
  <si>
    <t>prvé zverejnenie</t>
  </si>
  <si>
    <t>aktualizácia po 3 rokoch</t>
  </si>
  <si>
    <t>rozdiel v cieli</t>
  </si>
  <si>
    <t>skutočnosť</t>
  </si>
  <si>
    <t>* Cielený deficit pre rok 2012 vo výške 4.6% HDP, 2.9 % HDP v roku 2013 a 2.8 % HDP v roku 2014</t>
  </si>
  <si>
    <t>** Cielený deficit pre rok 2013 vo výške 2.9 % HDP, 2.4 % HDP v roku 2014 a 1.9 % HDP v roku 2015</t>
  </si>
  <si>
    <t>*** Cielený deficit pre rok 2014 vo výške 2.64 % HDP, 2.57 % HDP v roku 2015 a 1.5 % HDP v roku 2016</t>
  </si>
  <si>
    <t>**** Cielený deficit pre rok 2015 vo výške 2.49 % HDP, 1.43 % HDP v roku 2016 a 0.39 % HDP v roku 2017</t>
  </si>
  <si>
    <t>***** Cielený deficit pre rok 2016 vo výške 1.93 % HDP, 0.42 % HDP v roku 2017 a 0.0 % HDP v roku 2018</t>
  </si>
  <si>
    <t>Graf 29: Revízia rozpočtových cieľov trojročného rozpočtu (% HDP)</t>
  </si>
  <si>
    <t>Tab: Schválené ciele rozpočtu VS v rokoch 2010 -2019 (ESA95/ESA2010, % HDP)</t>
  </si>
  <si>
    <t xml:space="preserve">Graf 36: Saldo VS v rokoch 2015 až 2019  (ESA2010, % HDP) </t>
  </si>
  <si>
    <t>Tabuľka: Štrukturálne saldo VS podľa RRZ (ESA2010, % HDP)</t>
  </si>
  <si>
    <t>cyklická zložka</t>
  </si>
  <si>
    <t>jednorazové efekty</t>
  </si>
  <si>
    <t>2017N</t>
  </si>
  <si>
    <t>2018N</t>
  </si>
  <si>
    <t>2019N</t>
  </si>
  <si>
    <r>
      <t xml:space="preserve">p.m.2: </t>
    </r>
    <r>
      <rPr>
        <i/>
        <sz val="9"/>
        <color rgb="FF13B5EA"/>
        <rFont val="Constantia"/>
        <family val="1"/>
        <charset val="238"/>
      </rPr>
      <t xml:space="preserve">2016O znamená aktuálny odhad (očakávaná skutočnosť) na rok 2016 uvedený v NRVS 2017-2019;  označenie N v rokoch 2017-2019 znamená rozpočtovanú hodnotu uvedenú v NRVS 2017-2019 na príslušné roky. </t>
    </r>
  </si>
  <si>
    <t>saldo VS (pr.os)</t>
  </si>
  <si>
    <t>štrukturálne saldo (pr.os)</t>
  </si>
  <si>
    <r>
      <t>Graf 59: Fiškálny impulz v rokoch 2015-2019</t>
    </r>
    <r>
      <rPr>
        <b/>
        <sz val="8"/>
        <color rgb="FF13B5EA"/>
        <rFont val="Constantia"/>
        <family val="1"/>
        <charset val="238"/>
      </rPr>
      <t xml:space="preserve"> </t>
    </r>
    <r>
      <rPr>
        <b/>
        <sz val="10"/>
        <color rgb="FF13B5EA"/>
        <rFont val="Constantia"/>
        <family val="1"/>
        <charset val="238"/>
      </rPr>
      <t xml:space="preserve">(% HDP) </t>
    </r>
  </si>
  <si>
    <t>Tab 11: Zmena štrukturálneho salda VS v rokoch 2015 až 2019 podľa RRZ (ESA2010, % HDP)</t>
  </si>
  <si>
    <t xml:space="preserve">Graf 37: Štrukturálne saldo VS v rokoch 2015-2019 (% HDP) </t>
  </si>
  <si>
    <t>Tab 2: Štrukturálne saldo podľa MF SR (ESA2010, % HDP) </t>
  </si>
  <si>
    <t>vplyv nedaňových opatrení</t>
  </si>
  <si>
    <t>NPC (nedaňové opatrenia)</t>
  </si>
  <si>
    <t>NPC (výdavková opatrenia)</t>
  </si>
  <si>
    <t>celkový vplyv</t>
  </si>
  <si>
    <t>vplyv výdavkových opatrení</t>
  </si>
  <si>
    <t>Tab: Porovnanie zmien v salde na rok 2017 - skrátené (NRVS 2017-19 oproti RVS 2016-18)</t>
  </si>
  <si>
    <t>% HDP</t>
  </si>
  <si>
    <t>mil. eur</t>
  </si>
  <si>
    <t>Graf 33: Rozpočet na rok 2016 – príspevky k zmene deficitu súčasného návrhu rozpočtu na rok 2016 v porovnaní s rozpočtom na rok 2016</t>
  </si>
  <si>
    <t>Nové opatrenia vlády</t>
  </si>
  <si>
    <t>v rámci rozpočtu na roky 2015 až 2017</t>
  </si>
  <si>
    <t>Zvyšovanie miezd v školstve od 1.9.2016</t>
  </si>
  <si>
    <t>Zmeny v sociálnej oblasti</t>
  </si>
  <si>
    <t>Nové investície (ŠR, MH Invest)</t>
  </si>
  <si>
    <t>Odvod do rozpočtu EÚ</t>
  </si>
  <si>
    <t>Ostatné opatrenia</t>
  </si>
  <si>
    <t>Ostatné</t>
  </si>
  <si>
    <t>Zreálnenie výdavkov (zníženie rizík)</t>
  </si>
  <si>
    <t>Mzdové výdavky a tovary a služby ŠR</t>
  </si>
  <si>
    <t>Výdavky samospráv</t>
  </si>
  <si>
    <t>Zdravotníctvo</t>
  </si>
  <si>
    <t>Pozitíva</t>
  </si>
  <si>
    <t>Zmeny v daniach</t>
  </si>
  <si>
    <t>Spolufinancovanie EÚ fondov</t>
  </si>
  <si>
    <t>Úspora úrokov</t>
  </si>
  <si>
    <t>Legislatívne zmeny v daniach a nedaňových príjmoch</t>
  </si>
  <si>
    <t>Zhoršenie cieľa</t>
  </si>
  <si>
    <t>Suma (*) obsahuje nad rámec položiek v spodnej časti grafu aj ostatné vplyvy v hodnote -6 mil. eur a suma (**) v kategórii pozitív navyše obsahuje vplyv nových subjektov -31 mil. eur.</t>
  </si>
  <si>
    <t>7. Štrukturálne saldo v NPC scenári</t>
  </si>
  <si>
    <t xml:space="preserve">8. Zmena štrukturálneho salda v NPC scenári </t>
  </si>
  <si>
    <t>9. Veľkosť opatrení (1-6)</t>
  </si>
  <si>
    <t>10. Medziročná zmena veľkosti opatrení (Δ9)</t>
  </si>
  <si>
    <t>11. Konsolidačné úsilie vlády (5-8)</t>
  </si>
  <si>
    <t>Tab 26: Odhad rizík v samosprávach (ESA2010, mil. eur)</t>
  </si>
  <si>
    <t>Tab 42: Jednorazové vplyvy v rokoch 2015-2019  (ESA2010, % HDP)</t>
  </si>
  <si>
    <t>Tab 47: Hospodárenie subjektov verejnej správy (ESA2010, tis. eur)</t>
  </si>
  <si>
    <t>Tab 46: Bilancia príjmov a výdavkov verejnej správy (ESA2010, % HDP)</t>
  </si>
  <si>
    <t>Tab 45: Bilancia príjmov a výdavkov verejnej správy (ESA2010, v mil. eur)</t>
  </si>
  <si>
    <t xml:space="preserve">1. Celkové výdavky </t>
  </si>
  <si>
    <t xml:space="preserve">2. Úrokové náklady </t>
  </si>
  <si>
    <t>3. Výdavky na EÚ programy plne kryté príjmami z fondov EÚ</t>
  </si>
  <si>
    <t xml:space="preserve"> - z toho: kapitálové výdavky na EÚ programy</t>
  </si>
  <si>
    <t>4. Tvorba hrubého fixného kapitálu (bez EÚ výdavkov)</t>
  </si>
  <si>
    <t>5. Tvorba hrubého fixného kapitálu (bez EÚ výdavkov, priemer za t-3 až t)</t>
  </si>
  <si>
    <t>6. Cyklické výdavky (nezamestnanosť, dôchodky)</t>
  </si>
  <si>
    <t>7. Jednorázové výdavky</t>
  </si>
  <si>
    <t>8. Primárny výdavkový agregát (1-2-3+4-5-6-7)</t>
  </si>
  <si>
    <r>
      <t>9. Medziročná zmena primárneho výdavkového agregátu (8</t>
    </r>
    <r>
      <rPr>
        <vertAlign val="subscript"/>
        <sz val="9"/>
        <color indexed="8"/>
        <rFont val="Constantia"/>
        <family val="1"/>
        <charset val="238"/>
      </rPr>
      <t>t</t>
    </r>
    <r>
      <rPr>
        <sz val="9"/>
        <color indexed="8"/>
        <rFont val="Constantia"/>
        <family val="1"/>
        <charset val="238"/>
      </rPr>
      <t>-8</t>
    </r>
    <r>
      <rPr>
        <vertAlign val="subscript"/>
        <sz val="9"/>
        <color indexed="8"/>
        <rFont val="Constantia"/>
        <family val="1"/>
        <charset val="238"/>
      </rPr>
      <t>t-1</t>
    </r>
    <r>
      <rPr>
        <sz val="9"/>
        <color indexed="8"/>
        <rFont val="Constantia"/>
        <family val="1"/>
        <charset val="238"/>
      </rPr>
      <t>)</t>
    </r>
  </si>
  <si>
    <t>10. Zmena v príjmoch z titulu diskrečných opatrení a metodiky vykazovania národných účtov</t>
  </si>
  <si>
    <r>
      <t>11. Nominálny rast agregátu výdavkov očisteného o zmenu príjmov ((9</t>
    </r>
    <r>
      <rPr>
        <vertAlign val="subscript"/>
        <sz val="9"/>
        <color indexed="8"/>
        <rFont val="Constantia"/>
        <family val="1"/>
        <charset val="238"/>
      </rPr>
      <t>t</t>
    </r>
    <r>
      <rPr>
        <sz val="9"/>
        <color indexed="8"/>
        <rFont val="Constantia"/>
        <family val="1"/>
        <charset val="238"/>
      </rPr>
      <t>-10</t>
    </r>
    <r>
      <rPr>
        <vertAlign val="subscript"/>
        <sz val="9"/>
        <color indexed="8"/>
        <rFont val="Constantia"/>
        <family val="1"/>
        <charset val="238"/>
      </rPr>
      <t>t</t>
    </r>
    <r>
      <rPr>
        <sz val="9"/>
        <color indexed="8"/>
        <rFont val="Constantia"/>
        <family val="1"/>
        <charset val="238"/>
      </rPr>
      <t>)/8</t>
    </r>
    <r>
      <rPr>
        <vertAlign val="subscript"/>
        <sz val="9"/>
        <color indexed="8"/>
        <rFont val="Constantia"/>
        <family val="1"/>
        <charset val="238"/>
      </rPr>
      <t>t-1</t>
    </r>
    <r>
      <rPr>
        <sz val="9"/>
        <color indexed="8"/>
        <rFont val="Constantia"/>
        <family val="1"/>
        <charset val="238"/>
      </rPr>
      <t>)</t>
    </r>
  </si>
  <si>
    <t>12. Medziročná zmena deflátora HDP</t>
  </si>
  <si>
    <t>13. Reálny medziročný rast agregátu výdavkov očisteného o zmenu príjmov (11-12)</t>
  </si>
  <si>
    <t>14. Miera potenciálneho rastu HDP</t>
  </si>
  <si>
    <t>15. Zníženie rastu výdavkov (p. b.) RRZ k.ú./(8(t-1)/HDP(t))</t>
  </si>
  <si>
    <t>16. Výdavkové pravidlo - referenčná miera rastu výdavkov (14-15)</t>
  </si>
  <si>
    <t>17. Plnenie výdavkového pravidla (13&lt;16)</t>
  </si>
  <si>
    <t>áno</t>
  </si>
  <si>
    <t>nie</t>
  </si>
  <si>
    <t>18.vplyv odchýlky na saldo v danom roku (16t-13t)*8t-1/HDPt</t>
  </si>
  <si>
    <t>19. kumulatívna odchýlka v rokoch 2013-2015</t>
  </si>
  <si>
    <t>THFK celkové</t>
  </si>
  <si>
    <t>požadovaná konsolidácia podľa RRZ</t>
  </si>
  <si>
    <t>Zdroj: RRZ, Eurostat, MF SR</t>
  </si>
  <si>
    <t>GDP, curr.p.</t>
  </si>
  <si>
    <t>Tab 44: Výdavkové pravidlo (ESA2010, mil. eur)</t>
  </si>
  <si>
    <t xml:space="preserve">Graf 38: Štrukturálne saldo v rokoch 1999 až 2019 podľa RRZ  (ESA2010, % HDP) </t>
  </si>
  <si>
    <r>
      <t>Graf 60: Predpokladané čerpanie EÚ príjmov v NRVS (2017-2019)</t>
    </r>
    <r>
      <rPr>
        <b/>
        <sz val="11"/>
        <color rgb="FF13B5EA"/>
        <rFont val="Constantia"/>
        <family val="1"/>
        <charset val="238"/>
      </rPr>
      <t xml:space="preserve"> </t>
    </r>
    <r>
      <rPr>
        <b/>
        <sz val="10"/>
        <color rgb="FF13B5EA"/>
        <rFont val="Constantia"/>
        <family val="1"/>
        <charset val="238"/>
      </rPr>
      <t xml:space="preserve">(% HDP) </t>
    </r>
  </si>
  <si>
    <t>Tab 1: Ciele v oblasti salda a dlhu verejnej správy</t>
  </si>
  <si>
    <t>Tab 2: Štrukturálne saldo podľa MF SR</t>
  </si>
  <si>
    <t>Tab 3: Opatrenia na splnenie cieľa</t>
  </si>
  <si>
    <t>Tab 4: Prognóza VpMP a medzinárodných inštitúcií</t>
  </si>
  <si>
    <t>Tab 5: Prognóza rastu HDP a fiškálne scenáre rozpočtu</t>
  </si>
  <si>
    <t>Tab 6: Revízia HDP a prognóza VpMP</t>
  </si>
  <si>
    <t>Tab 7: Riziká a zdroje ich krytia v rokoch 2016 až 2019</t>
  </si>
  <si>
    <t>Tab 8: Riziká spojené s dosiahnutím rozpočtových cieľov</t>
  </si>
  <si>
    <t>Tab 9: Predpoklady vývoja hrubého dlhu verejnej správy</t>
  </si>
  <si>
    <t>Tab 10: Veľkosť opatrení v návrhu rozpočtu</t>
  </si>
  <si>
    <t>Tab 11: Zmena štrukturálneho salda VS v rokoch 2015 až 2019 podľa RRZ</t>
  </si>
  <si>
    <t>Tab 12: Rozpočtové ciele ovplyvňujúce dlhodobú udržateľnosť (% HDP, ESA2010)</t>
  </si>
  <si>
    <t>Tab 13: Vypracovanie makroekonomických a daňových prognóz výbormi v roku 2016</t>
  </si>
  <si>
    <t>Tab 14: Prognózy Výboru pre makroekonomické prognózy</t>
  </si>
  <si>
    <t>Tab 15: Veľkosť a transmisné kanály príjmových opatrení (% HDP)</t>
  </si>
  <si>
    <t>Tab 16: Vyčíslenie vplyvov fiškálnych opatrení na makroekonomické ukazovatele</t>
  </si>
  <si>
    <t>Tab 17: Makroekonomický scenár po zohľadnení fiškálnych opatrení podľa RRZ</t>
  </si>
  <si>
    <t>Tab 18: Riziká prognózy rastu základní rozhodujúcich pre rozpočtové príjmy</t>
  </si>
  <si>
    <t>Tab 19: Prehľad rizík a rezerv rozpočtu na rok 2016 (mil. eur)</t>
  </si>
  <si>
    <t>Tab 20: Dividendy v rokoch 2016 až 2019</t>
  </si>
  <si>
    <t>Tab 21: Odhad príjmov z emisných kvót v rokoch 2016 až 2019</t>
  </si>
  <si>
    <t>Tab 22: Odhad rizika z príjmov z emisných kvót v porovnaní s programom stability</t>
  </si>
  <si>
    <t>Tab 23: Vývoj výdavkov na zdravotnú starostlivosť a hospodárenie nemocníc</t>
  </si>
  <si>
    <t>Tab 24: Vývoj nerozdelených ziskov súkromných zdravotných poisťovní</t>
  </si>
  <si>
    <t>Tab 25: Odhad rizika voči návrhu rozpočtu</t>
  </si>
  <si>
    <t>Tab 26: Odhad rizík v samosprávach</t>
  </si>
  <si>
    <t>Tab 27: Riziká v mzdových výdavkoch štátneho rozpočtu</t>
  </si>
  <si>
    <t>Tab 28: Porovnanie odhadnutých vplyvov na saldo verejnej správy v roku 2016</t>
  </si>
  <si>
    <t>Tab 29: Prehľad najdôležitejších položiek rozdielov medzi RVS a RRZ odhadom</t>
  </si>
  <si>
    <t>Tab 30: Riziká vo výdavkoch štátneho rozpočtu na tovary a služby</t>
  </si>
  <si>
    <t>Tab 31: Porovnanie odhadnutých vplyvov na saldo verejnej správy v roku 2016</t>
  </si>
  <si>
    <t>Tab 32: Prehľad najvýznamnejších položiek rozdielov medzi RVS a RRZ</t>
  </si>
  <si>
    <t>Tab 33: Odhad rizika pri kapitálových výdavkoch štátneho rozpočtu</t>
  </si>
  <si>
    <t>Tab 34: Prehľad zmien v porovnaní s odhadom MF SR na rok 2016</t>
  </si>
  <si>
    <t>Tab 35: Zoznam jednorazových a dočasných vplyvov v NPC scenári</t>
  </si>
  <si>
    <t>Tab 36: Predpoklady čerpania fondov EÚ v NPC scenári RRZ</t>
  </si>
  <si>
    <t>Tab 37: Porovnanie NPC scenára vývoja verejných financií RRZ</t>
  </si>
  <si>
    <t>Tab 38: Príspevky k medziročnej zmene salda v NPC scenári</t>
  </si>
  <si>
    <t>Tab 39: Zmeny v hotovosti bez vplyvu na čisté bohatstvo</t>
  </si>
  <si>
    <t>Tab 40: Prehľad vývoja dlhu do roku 2019</t>
  </si>
  <si>
    <t>Tab 41: Porovnanie skutočného vývoja položiek voči rozpočtu</t>
  </si>
  <si>
    <t>Tab 42: Jednorazové vplyvy v rokoch 2015-2019</t>
  </si>
  <si>
    <t>Tab 43: Započítavanie pracovných období kratších ako rok</t>
  </si>
  <si>
    <t>Tab 45: Bilancia príjmov a výdavkov verejnej správy (mil. eur, ESA2010)</t>
  </si>
  <si>
    <t>Tab 46: Bilancia príjmov a výdavkov verejnej správy (% HDP, ESA2010)</t>
  </si>
  <si>
    <t>Tab 47: Hospodárenie subjektov verejnej správy</t>
  </si>
  <si>
    <t>Graf 1: Porovnanie rozpočtových cieľov – saldo rozpočtu</t>
  </si>
  <si>
    <t>Graf 2: Zmeny v prognóze hrubého dlhu</t>
  </si>
  <si>
    <t>Graf 4 : Vplyv revízie HDP na dlh VS (% HDP)</t>
  </si>
  <si>
    <t>Graf 5: Porovnanie rozpočtových cieľov voči NPC scenáru</t>
  </si>
  <si>
    <t>Graf 6: Opatrenia na splnenie rozpočtových cieľov</t>
  </si>
  <si>
    <t>Graf 7: Opatrenia na dosiahnutie rozpočtových cieľov - porovnanie voči NPC MFSR</t>
  </si>
  <si>
    <t>Graf 8: Príspevky jednotlivých krajín k rastu ekonomiky EÚ od roku 2010</t>
  </si>
  <si>
    <t>Graf 9: Zmena rizík v priebehu roka</t>
  </si>
  <si>
    <t>Graf 10: Fiškálne scenáre NRVS a vplyv na rast HDP (v %)</t>
  </si>
  <si>
    <t>Graf 11: Fiškálne scenáre RRZ a vplyv na rast HDP (rast v %)</t>
  </si>
  <si>
    <t>Graf 12: Zmena štruktúry HDP podľa revízie ŠÚ SR (bežné ceny)</t>
  </si>
  <si>
    <t>Graf 13: Riziko revízie HDP – minulosť verzus rok 2016</t>
  </si>
  <si>
    <t>Graf 14: Neočakávaný vývoj zahraničia a vplyv na chybu prognózy VpMP</t>
  </si>
  <si>
    <t>Graf 15: Riziká prognózy rastu HDP podľa VpMP na základe chýb minulých prognóz VpMP</t>
  </si>
  <si>
    <t>Graf 16: Daňové príjmy s vplyvom nových legislatívnych opatrení (ESA2010, % HDP)</t>
  </si>
  <si>
    <t>Graf 17: Vplyvy legislatívnych opatrení zahrnutých v rozpočte (ESA2010, mil. eur)</t>
  </si>
  <si>
    <t>Graf 18: Počet noviel* daňových zákonov v rokoch 2004 až 2015</t>
  </si>
  <si>
    <t>Graf 19: Rozdelenie daňovníkov - reálne výdavky vs. paušálne</t>
  </si>
  <si>
    <t>Graf 20: Rozdelenie daňovníkov - vplyv zvýšenia paušálnych výdavkov na 60%</t>
  </si>
  <si>
    <t>Graf 21: Rozdelenie daňovníkov podľa príjmov v roku 2014</t>
  </si>
  <si>
    <t>Graf 22: Rozdelenie daňovníkov podľa zaplatených odvodov v roku 2014</t>
  </si>
  <si>
    <t>Graf 23: Scenáre vývoja hrubého dlhu</t>
  </si>
  <si>
    <t>Graf 24: Príspevky k medziročnej zmene salda v NPC scenári</t>
  </si>
  <si>
    <t>Graf 25: Vplyvy opatrení zapracovaných v návrhu rozpočtu v roku 2017</t>
  </si>
  <si>
    <t>Graf 26: Porovnanie prognózy dlhu MF SR s NPC scenárom RRZ</t>
  </si>
  <si>
    <t>Graf 27: Príspevky k zmene dlhu v prognóze MF SR</t>
  </si>
  <si>
    <t>Graf 28: Saldo rozpočtu v rokoch 1995 až 2019</t>
  </si>
  <si>
    <t>Graf 29: Revízia rozpočtových cieľov trojročného rozpočtu</t>
  </si>
  <si>
    <t>Graf 30: Zmena rozpočtového cieľa na rok 2017</t>
  </si>
  <si>
    <t>Graf 31: Vplyv neočakávaných vplyvov a ostatných položiek na saldo rozpočtu</t>
  </si>
  <si>
    <t>Graf 32: Potenciálne saldo rozpočtu po zohľadnení nerozpočtovaných vplyvov</t>
  </si>
  <si>
    <t>Graf 33: Rozpočet na rok 2016 – príspevky k zmene deficitu v porovnaní s RVS 2015 až 2017</t>
  </si>
  <si>
    <t>Graf 34: Vývoj hrubého dlhu VS</t>
  </si>
  <si>
    <t>Graf 35: Medziročná zmena dlhu</t>
  </si>
  <si>
    <t>Graf 36: Saldo VS v rokoch 2015 až 2019*  (ESA2010, % HDP)</t>
  </si>
  <si>
    <t>Graf 37: Štrukturálne saldo VS v rokoch 2015 až 2019* (ESA2010, % HDP)</t>
  </si>
  <si>
    <t>Graf 38: Štrukturálne saldo v rokoch 1999 až 2019 podľa RRZ (ESA2010, % HDP)</t>
  </si>
  <si>
    <t>Graf 39: Príspevky zmeny príjmov a výdavkov k zmene salda v jednotlivých rokoch</t>
  </si>
  <si>
    <t>Graf 41: Štruktúra príjmov v roku 2017 – odhad RRZ (ESA 2010, % HDP)</t>
  </si>
  <si>
    <t>Graf 42: Zmeny v príjmoch v období 2009 až 2019 (ESA 2010, % HDP)</t>
  </si>
  <si>
    <t>Graf 43: Vplyv príjmov na zmenu salda v jednotlivých rokoch – podľa typu príjmu</t>
  </si>
  <si>
    <t>Graf 44: Kumulatívny vplyv príjmov na zmenu salda – podľa typu príjmu</t>
  </si>
  <si>
    <t>Graf 45: Vývoj skutočného ŽM a teoretického ŽM indexovaného rastom mediánovej mzdy</t>
  </si>
  <si>
    <t>Graf 46: Vplyv tichého zdaňovania na priemernú sadzbu DPFO</t>
  </si>
  <si>
    <t>Graf 47: Efektívna daňová sadzba na úrovni domácností (v %)</t>
  </si>
  <si>
    <t>Graf 48: Daňový klin na úrovni domácností (v %)</t>
  </si>
  <si>
    <t>Graf 49: Daňový klin na úrovni jednotlivcov podľa príjmových skupín (v %)</t>
  </si>
  <si>
    <t>Graf 50: Daňový klin na úrovni domácností podľa príjmových skupín (v %)</t>
  </si>
  <si>
    <t>Graf 51: Štruktúra výdavkov verejnej správy v roku 2017 – odhad RRZ (ESA 2010)</t>
  </si>
  <si>
    <t>Graf 53: Vplyv celkových výdavkov na zmenu salda v jednotlivých rokoch</t>
  </si>
  <si>
    <t>Graf 54: Kumulatívny vplyv výdavkov na zmenu salda</t>
  </si>
  <si>
    <t>Graf 55: Vplyv fakultatívnych výdavkov na zmenu salda v jednotlivých rokoch</t>
  </si>
  <si>
    <t>Graf 56: Kumulatívny vplyv fakultatívnych výdavkov na zmenu salda</t>
  </si>
  <si>
    <t>Graf 57: Vplyv povinných výdavkov na zmenu salda v jednotlivých rokoch</t>
  </si>
  <si>
    <t>Graf 58: Kumulatívny vplyv povinných výdavkov na zmenu salda</t>
  </si>
  <si>
    <t>Graf 59: Fiškálny impulz v rokoch 2015-2019</t>
  </si>
  <si>
    <t>Graf 60: Predpokladané čerpanie EÚ príjmov v návrhu RVS 2016-2019</t>
  </si>
  <si>
    <t>Graf 61: Makroekonomické riziko vplývajúce na saldo verejnej správy</t>
  </si>
  <si>
    <t>Graf 62: Makroekonomické riziko vplývajúce na dlh verejnej správy</t>
  </si>
  <si>
    <t>Graf 63: Daňové základne</t>
  </si>
  <si>
    <t>Graf 64: Daňové príjmy</t>
  </si>
  <si>
    <t>Graf 65: Medziročná zmena mzdových výdavkov</t>
  </si>
  <si>
    <t>Graf 66: Rast miezd v súkromnom sektore a štátnom rozpočte (2009 = 100)</t>
  </si>
  <si>
    <t>Graf 67: Priebežné plnenia na titule Tovary a služby - Materiál</t>
  </si>
  <si>
    <t>Graf 68: Priebežné plnenia na titule Tovary a služby - Rutinná a štandardná údržba</t>
  </si>
  <si>
    <t>Graf 69: Priebežné plnenia na titule Tovary a služby - Služby</t>
  </si>
  <si>
    <t>Graf 70: Priebežné plnenia na titule Kapitálové výdavky - Nákup strojov, prístrojov, ...</t>
  </si>
  <si>
    <t>Graf 71: Priebežné plnenia na titule Kapitálové výdavky - Nákup dopravných prostriedkov</t>
  </si>
  <si>
    <t>Graf 72: Priebežné plnenia na titule Kapitálové výdavky - Realizácia stavieb</t>
  </si>
  <si>
    <t>Graf 73: Riziká v kapitálových výdavkoch</t>
  </si>
  <si>
    <t>Graf 74: Počet poberateľov dávky v hmotnej núdzi v rokoch 2008 až 2016</t>
  </si>
  <si>
    <t>Graf 75: Výdavky na dávku v hmotnej núdzi v rokoch 2013 až 2019</t>
  </si>
  <si>
    <t>Graf 76: Efektívna daňová sadzba na úrovni domácností (v %)</t>
  </si>
  <si>
    <t>Graf 77: Efektívny daňový klin na úrovni domácností (v %)</t>
  </si>
  <si>
    <t>Graf 78: Efektívna daňová sadzba na úrovni jednotlivcov podľa typu príjmu (v %)</t>
  </si>
  <si>
    <t>Graf 79: Efektívny daňový klin na úrovni jednotlivcov podľa typu príjmu (v %)</t>
  </si>
  <si>
    <t>Graf 80: Efektívna daňová sadzba podľa typu domácností (v %)</t>
  </si>
  <si>
    <t>Graf 81: Efektívny daňový klin podľa typu domácností (v %)</t>
  </si>
  <si>
    <t>Graf 82: Predlžovanie dôchodkového veku</t>
  </si>
  <si>
    <t xml:space="preserve">Zoznam tabuliek a grafov použitých v materiáli: </t>
  </si>
  <si>
    <t>Hodnotenie Návrhu rozpočtu verejnej správy na roky 2017 až 2019 (november 2016)</t>
  </si>
  <si>
    <t xml:space="preserve">12. Iné faktory: </t>
  </si>
  <si>
    <t xml:space="preserve">     - opatrenia bez vplyvu na dlhodobú udržateľnosť</t>
  </si>
  <si>
    <r>
      <t xml:space="preserve"> </t>
    </r>
    <r>
      <rPr>
        <sz val="11"/>
        <rFont val="Constantia"/>
        <family val="1"/>
        <charset val="238"/>
      </rPr>
      <t xml:space="preserve">   - </t>
    </r>
    <r>
      <rPr>
        <sz val="9"/>
        <rFont val="Constantia"/>
        <family val="1"/>
        <charset val="238"/>
      </rPr>
      <t>PPP projekty</t>
    </r>
  </si>
  <si>
    <r>
      <t xml:space="preserve">   </t>
    </r>
    <r>
      <rPr>
        <sz val="9"/>
        <rFont val="Constantia"/>
        <family val="1"/>
        <charset val="238"/>
      </rPr>
      <t xml:space="preserve"> </t>
    </r>
    <r>
      <rPr>
        <sz val="11"/>
        <rFont val="Constantia"/>
        <family val="1"/>
        <charset val="238"/>
      </rPr>
      <t xml:space="preserve">- </t>
    </r>
    <r>
      <rPr>
        <sz val="9"/>
        <rFont val="Constantia"/>
        <family val="1"/>
        <charset val="238"/>
      </rPr>
      <t>úrokové náklady</t>
    </r>
  </si>
  <si>
    <t>13. Opatrenia vlády s vplyvom na iné faktory*</t>
  </si>
  <si>
    <t>14. Zmena štrukturálneho salda po zohľadnení iných faktorov (5-12)</t>
  </si>
  <si>
    <t>15. Konsolidačné úsilie vlády po zohľadnení opatrení s vplyvom na iné faktory (11-13)</t>
  </si>
  <si>
    <t xml:space="preserve">1. </t>
  </si>
  <si>
    <t xml:space="preserve">2. </t>
  </si>
  <si>
    <t>3.</t>
  </si>
  <si>
    <t>Povinný termín do 15.2.</t>
  </si>
  <si>
    <t>Povinný termín do 30.6.</t>
  </si>
  <si>
    <t>Výbor pre makroekonomické prognózy</t>
  </si>
  <si>
    <t>zasadnutie VpMP</t>
  </si>
  <si>
    <t>zverejnenie prognóz</t>
  </si>
  <si>
    <t>Výbor pre daňové prognózy</t>
  </si>
  <si>
    <t>zasadnutie VpDP</t>
  </si>
  <si>
    <t>Zdroj: MF SR</t>
  </si>
  <si>
    <t>Skutočné ŽM</t>
  </si>
  <si>
    <t>Rast ŽM</t>
  </si>
  <si>
    <t>Mediánová mzda</t>
  </si>
  <si>
    <t>Rast mediánovej mzdy</t>
  </si>
  <si>
    <t>Teoretické ŽM</t>
  </si>
  <si>
    <t>Graf 46: Vplyv tichého zdaňovania na priemernú sadzbu DPFO (zmena oproti roku 2008 v p.b.)</t>
  </si>
  <si>
    <t>Vigintil zdaniteľného príjmu</t>
  </si>
  <si>
    <t>Daňový klin na úrovni domácností (v %)</t>
  </si>
  <si>
    <t>Efektívna daňová sadzba na úrovni domácností (v %)</t>
  </si>
  <si>
    <t>príjem od 400€ do 500€</t>
  </si>
  <si>
    <t>príjem od 600€ do 700€</t>
  </si>
  <si>
    <t>príjem od 800€ do 900€</t>
  </si>
  <si>
    <t>príjem nad 3300€</t>
  </si>
  <si>
    <t>príjem od 1200€ do 1300€</t>
  </si>
  <si>
    <t>príjem nad 4000€</t>
  </si>
  <si>
    <t>osoby s príjmom zo zamestnania</t>
  </si>
  <si>
    <t>osoby s príjmom zo živnosti</t>
  </si>
  <si>
    <t>osoby s príjmom z dohôd</t>
  </si>
  <si>
    <t>Graf 80: Daňový klin na úrovni domácností podľa príjmových skupín (v %)</t>
  </si>
  <si>
    <t>1-čl. domácnosti</t>
  </si>
  <si>
    <t>2-čl. domácnosti bez detí</t>
  </si>
  <si>
    <t>4-čl. domácnosti (2 dosp., 2 deti)</t>
  </si>
  <si>
    <t>rodina pracujúcich dôchodcov</t>
  </si>
  <si>
    <t xml:space="preserve">* Zahŕňa vplyv zvýšenia odvodu finančných inštitúcií, posun v termíne dostavby 3. a 4. bloku jadrovej elektrárne Mochovce a zmenu úrokových nákladov vplyvom konsolidácie.                                                                                                                 </t>
  </si>
  <si>
    <t>Tab 28: Porovnanie odhadnutých vplyvov na saldo verejnej správy v roku 2016 (ESA 2010; mil. Eur)</t>
  </si>
  <si>
    <t>RVS</t>
  </si>
  <si>
    <t>MF SR odhad</t>
  </si>
  <si>
    <t>RRZ - RVS</t>
  </si>
  <si>
    <t>RRZ - MF SR o</t>
  </si>
  <si>
    <t>Bežné výdavky - Tovary a služby</t>
  </si>
  <si>
    <t xml:space="preserve">   - z toho nezaviazané rezervy VPS</t>
  </si>
  <si>
    <t>Tovary a služby (bez rezerv VPS)</t>
  </si>
  <si>
    <t>Tab 29: Prehľad najdôležitejších položiek vzhľadom na príspevok k rozdielu medzi RIS a RRZ (ESA 2010, mil. Eur)</t>
  </si>
  <si>
    <t xml:space="preserve">Bežné výdavky - Tovary a služby (bez rezerv VPS)  </t>
  </si>
  <si>
    <t xml:space="preserve">   - materiál</t>
  </si>
  <si>
    <t xml:space="preserve">         z toho špeciálne stroje, prístroje, zariadeni, technika a náradie</t>
  </si>
  <si>
    <t xml:space="preserve">   - rutinná a štandardná údržba</t>
  </si>
  <si>
    <t xml:space="preserve">         z toho budov, objektov alebo ich častí</t>
  </si>
  <si>
    <t xml:space="preserve">         z toho softvéru</t>
  </si>
  <si>
    <t xml:space="preserve">   - služby</t>
  </si>
  <si>
    <t xml:space="preserve">         z toho špeciálne služby</t>
  </si>
  <si>
    <t>Tab 31: Porovnanie odhadnutých vplyvov na saldo verejnej správy v roku 2016 (ESA 2010; mil. Eur)</t>
  </si>
  <si>
    <t xml:space="preserve">   - obstarávanie kapitálových aktív</t>
  </si>
  <si>
    <t xml:space="preserve">   - kapitálové transfery</t>
  </si>
  <si>
    <t>Pozn: MF SR a RRZ odhady kapitálových transferov obsahujú korekcie voči fondom EÚ vo výške -201 mil. Eur.</t>
  </si>
  <si>
    <t>Tab 32: Prehľad najvýznamnejších položiek vzhľadom na rozdiel medzi RVS a RRZ (ESA 2010, mil. Eur)</t>
  </si>
  <si>
    <t>Obstarávanie kapitálových aktív</t>
  </si>
  <si>
    <t xml:space="preserve">   - nákup pozemkov a nehmotných aktív</t>
  </si>
  <si>
    <t xml:space="preserve">         z toho kapitola Ministerstva vnútra SR</t>
  </si>
  <si>
    <t xml:space="preserve">   - nákup strojov, prístrojov, zariadení, techniky a náradia</t>
  </si>
  <si>
    <t xml:space="preserve">         z toho kapitola Ministerstvo obrany SR</t>
  </si>
  <si>
    <t xml:space="preserve">         z toho kapitola Ministerstvo zahraničných vecí a európskych záležitostí SR</t>
  </si>
  <si>
    <t xml:space="preserve">         z toho kapitola Ministerstvo financií SR</t>
  </si>
  <si>
    <t xml:space="preserve">   - nákup dopravných prostriedkov všetkých druhov</t>
  </si>
  <si>
    <t xml:space="preserve">   - realizácia stavieb a ich technického zhodnotenia</t>
  </si>
  <si>
    <t xml:space="preserve">         z toho kapitola Ministerstvo dopravy, výstavby a regionálneho rozvoja SR</t>
  </si>
  <si>
    <t xml:space="preserve">         z toho kapitola Kancelária Národnej rady SR</t>
  </si>
  <si>
    <t xml:space="preserve">   - rekonštrukcia a modernizácia</t>
  </si>
  <si>
    <t xml:space="preserve">   - ostatné kapitálové výdavky</t>
  </si>
  <si>
    <t xml:space="preserve">         z toho kapitola Všeobecná pokladničná správa - rezerva na významné investície</t>
  </si>
  <si>
    <t>Graf 67: Medziročné porovnanie priebežného plnenia na titule Tovary a služby - Materiál (mil. Eur)</t>
  </si>
  <si>
    <t>MFSR R2016</t>
  </si>
  <si>
    <t>RRZ 2016</t>
  </si>
  <si>
    <t>Jan</t>
  </si>
  <si>
    <t>Feb</t>
  </si>
  <si>
    <t>Mar</t>
  </si>
  <si>
    <t>Apr</t>
  </si>
  <si>
    <t>Máj</t>
  </si>
  <si>
    <t>Jún</t>
  </si>
  <si>
    <t>Júl</t>
  </si>
  <si>
    <t>Aug</t>
  </si>
  <si>
    <t>Sep</t>
  </si>
  <si>
    <t xml:space="preserve">Okt </t>
  </si>
  <si>
    <t>Nov</t>
  </si>
  <si>
    <t>Dec</t>
  </si>
  <si>
    <t>Zdroj: RRZ, MF SR</t>
  </si>
  <si>
    <t>Graf 68: Medziročné porovnanie priebežného plnenia na titule Tovary a služby - Rutinná a štandardná údržba (mil. Eur)</t>
  </si>
  <si>
    <t>Graf 69: Medziročné porovnanie priebežného plnenia na titule Tovary a služby - Služby (mil. Eur)</t>
  </si>
  <si>
    <t>Graf 70: Medziročné porovnanie priebežného plnenia na titule Kapitálové výdavky - Nákup strojov, prístrojov, zariadení, techniky a náradia (ESA2010, mil. Eur)</t>
  </si>
  <si>
    <t>Graf 71: Medziročné porovnanie priebežného plnenia na titule Kapitálové výdavky - Nákup dopravných prostriedkov všetkých druhov (mil. Eur)</t>
  </si>
  <si>
    <t>Graf 72: Medziročné porovnanie priebežného plnenia na titule Kapitálové výdavky - Realizácia stavieb a ich technického zhodnotenia (mil. Eur)</t>
  </si>
  <si>
    <t>Vplyv legislatívnych opatrení na daňovo-odvodové príjmy VS</t>
  </si>
  <si>
    <t>OO v regul. odvet.</t>
  </si>
  <si>
    <t xml:space="preserve"> - z toho zvýšenie sadzby a iné vplyvy</t>
  </si>
  <si>
    <t xml:space="preserve"> - z toho predĺženie</t>
  </si>
  <si>
    <t>OO finanč. inštit.</t>
  </si>
  <si>
    <t>Daň z dividend</t>
  </si>
  <si>
    <t>Tabak</t>
  </si>
  <si>
    <t>Paušálne výdavky</t>
  </si>
  <si>
    <t>Sadzba DPPO</t>
  </si>
  <si>
    <t>Hazard</t>
  </si>
  <si>
    <t>Poplatky EOSA*</t>
  </si>
  <si>
    <t>Daňové príjmy podľa metodiky ESA2010</t>
  </si>
  <si>
    <t>2011 S</t>
  </si>
  <si>
    <t>2012 S</t>
  </si>
  <si>
    <t>2013 S</t>
  </si>
  <si>
    <t>2014 S</t>
  </si>
  <si>
    <t>2015 S</t>
  </si>
  <si>
    <t>2016 O</t>
  </si>
  <si>
    <t>2017 O</t>
  </si>
  <si>
    <t>2018 O</t>
  </si>
  <si>
    <t>2019 O</t>
  </si>
  <si>
    <t>Daňové príjmy bez poistného plateného štátom</t>
  </si>
  <si>
    <t>spolu</t>
  </si>
  <si>
    <t>daň z príjmov</t>
  </si>
  <si>
    <t>dph</t>
  </si>
  <si>
    <t>soc.poistenie</t>
  </si>
  <si>
    <t>zdravot. poistenie</t>
  </si>
  <si>
    <t xml:space="preserve">Graf 20: Rozdelenie daňovníkov podľa podielu výdavkov na príjmoch v roku 2014
- vplyv zvýšenia paušálnych výdavkov na 60%
</t>
  </si>
  <si>
    <t xml:space="preserve">Graf 19: Rozdelenie daňovníkov podľa podielu výdavkov na príjmoch v roku 2014
- reálne výdavky vs. paušálne
</t>
  </si>
  <si>
    <t>jednotlivec</t>
  </si>
  <si>
    <t>jednotlivec s 1 – 4 deťmi</t>
  </si>
  <si>
    <t>jednotlivec s viac ako 4 deťmi</t>
  </si>
  <si>
    <t>dvojica</t>
  </si>
  <si>
    <t>dvojica s 1 – 4 deťmi</t>
  </si>
  <si>
    <t xml:space="preserve">dvojica s viac ako 4 deťmi </t>
  </si>
  <si>
    <t xml:space="preserve">Graf 74: Počet poberateľov dávky v hmotnej núdzi v rokoch 2008 až 2016 </t>
  </si>
  <si>
    <t>Štruktúra poberateľov DHN a PkD (počty)</t>
  </si>
  <si>
    <t>Zdroj : UPSVAR</t>
  </si>
  <si>
    <t>Zdroj : MF SR, RRZ</t>
  </si>
  <si>
    <t>DHN (mil. eur)</t>
  </si>
  <si>
    <t>RVS 2017 - 2019</t>
  </si>
  <si>
    <t>HDP reálny rast v %</t>
  </si>
  <si>
    <t>Skut.*</t>
  </si>
  <si>
    <t>Prognóza</t>
  </si>
  <si>
    <t>Rozdiel oproti minulému roku</t>
  </si>
  <si>
    <t xml:space="preserve">Inštitúcia </t>
  </si>
  <si>
    <t>VpMP (sept. 2016 vs. sept. 2015)</t>
  </si>
  <si>
    <t>3,8</t>
  </si>
  <si>
    <t>3,6</t>
  </si>
  <si>
    <t>3,5</t>
  </si>
  <si>
    <t>3,9</t>
  </si>
  <si>
    <t>4,4</t>
  </si>
  <si>
    <t>+0,5</t>
  </si>
  <si>
    <t>-0,1</t>
  </si>
  <si>
    <t>+0,3</t>
  </si>
  <si>
    <t xml:space="preserve"> -</t>
  </si>
  <si>
    <t>MMF (okt. 2016 vs. okt2015)</t>
  </si>
  <si>
    <t>3,4</t>
  </si>
  <si>
    <t>3,3</t>
  </si>
  <si>
    <t>3,7</t>
  </si>
  <si>
    <t>-0,2</t>
  </si>
  <si>
    <t>-0,3</t>
  </si>
  <si>
    <t>+0,4</t>
  </si>
  <si>
    <t>+0,7</t>
  </si>
  <si>
    <t>EK (nov. 2016 vs. nov. 2015)</t>
  </si>
  <si>
    <t>3,2</t>
  </si>
  <si>
    <t>- </t>
  </si>
  <si>
    <t>+0,5 </t>
  </si>
  <si>
    <t>-0,1 </t>
  </si>
  <si>
    <t>OECD (jún 2016 vs. 2015)</t>
  </si>
  <si>
    <t>3,1 </t>
  </si>
  <si>
    <t>3,2 </t>
  </si>
  <si>
    <t> -</t>
  </si>
  <si>
    <t>-0,3 </t>
  </si>
  <si>
    <t>* Revidované údaje ŠÚ SR k 21. 10. 2016</t>
  </si>
  <si>
    <t>Zdroj: MF SR, MMF, EK, OECD</t>
  </si>
  <si>
    <t>Tab 5: Prognóza rastu HDP a fiškálne scenáre rozpočtu (rast v %)</t>
  </si>
  <si>
    <t>2015*</t>
  </si>
  <si>
    <t>VpMP</t>
  </si>
  <si>
    <t xml:space="preserve">NRVS scenár bez zmien politík </t>
  </si>
  <si>
    <t>2,8</t>
  </si>
  <si>
    <t>4,2</t>
  </si>
  <si>
    <t>5,0</t>
  </si>
  <si>
    <t xml:space="preserve">NRVS fiškálny scenár </t>
  </si>
  <si>
    <t>4,6</t>
  </si>
  <si>
    <t>RRZ scenár bez zmien politík</t>
  </si>
  <si>
    <t>4,0</t>
  </si>
  <si>
    <t>4,7</t>
  </si>
  <si>
    <t>RRZ fiškálny scenár</t>
  </si>
  <si>
    <t>4,5</t>
  </si>
  <si>
    <t>* revidovaná skutočnosť</t>
  </si>
  <si>
    <t>Nominálne HDP po revízií + prognóza VpMP (mld. eur)</t>
  </si>
  <si>
    <t>Nominálne HDP pred revíziou + prognóza VpMP (mld. eur)</t>
  </si>
  <si>
    <t>rozdiel v %</t>
  </si>
  <si>
    <t>Rast reálneho HDP po revízií + prognóza VpMP (%)</t>
  </si>
  <si>
    <t>rozdiel v p.b.</t>
  </si>
  <si>
    <t>Zdroj: MF SR, ŠÚ SR</t>
  </si>
  <si>
    <t>Ukazovateľ (v %)</t>
  </si>
  <si>
    <t>Skut.</t>
  </si>
  <si>
    <t>Prognóza (september 2016)</t>
  </si>
  <si>
    <t>Rozdiel (september 2015)</t>
  </si>
  <si>
    <r>
      <t>HDP, reálny rast</t>
    </r>
    <r>
      <rPr>
        <sz val="9"/>
        <color rgb="FF00B0F0"/>
        <rFont val="Constantia"/>
        <family val="1"/>
        <charset val="238"/>
      </rPr>
      <t>*</t>
    </r>
  </si>
  <si>
    <t>Inflácia, priemerná ročná; CPI</t>
  </si>
  <si>
    <t>Nominálna mzda, rast</t>
  </si>
  <si>
    <t>Reálna mzda, rast</t>
  </si>
  <si>
    <t>Zamestnanosť (ESA), rast</t>
  </si>
  <si>
    <t>Miera nezamestnanosti (VZPS)</t>
  </si>
  <si>
    <r>
      <t>Spotreba domácností, reálny rast</t>
    </r>
    <r>
      <rPr>
        <sz val="9"/>
        <color rgb="FF00B0F0"/>
        <rFont val="Constantia"/>
        <family val="1"/>
        <charset val="238"/>
      </rPr>
      <t>*</t>
    </r>
  </si>
  <si>
    <r>
      <t>Investície, reálny rast</t>
    </r>
    <r>
      <rPr>
        <sz val="9"/>
        <color rgb="FF00B0F0"/>
        <rFont val="Constantia"/>
        <family val="1"/>
        <charset val="238"/>
      </rPr>
      <t>*</t>
    </r>
  </si>
  <si>
    <r>
      <t>Export tovarov a služieb, reálny rast</t>
    </r>
    <r>
      <rPr>
        <sz val="9"/>
        <color rgb="FF00B0F0"/>
        <rFont val="Constantia"/>
        <family val="1"/>
        <charset val="238"/>
      </rPr>
      <t>*</t>
    </r>
  </si>
  <si>
    <r>
      <t>Vážené základne pre rozpočtové príjmy</t>
    </r>
    <r>
      <rPr>
        <sz val="9"/>
        <color rgb="FF00B0F0"/>
        <rFont val="Constantia"/>
        <family val="1"/>
        <charset val="238"/>
      </rPr>
      <t>*</t>
    </r>
  </si>
  <si>
    <t xml:space="preserve"> * Revidované údaje ŠÚ SR k 21. 10. 2016</t>
  </si>
  <si>
    <t>Zdroj: MF SR, RRZ, ŠÚ SR</t>
  </si>
  <si>
    <t>Opatrenia s vplyvom na HDP voči NPC(%), vplyv na saldo (+/-)</t>
  </si>
  <si>
    <t>Jadrové investície</t>
  </si>
  <si>
    <t>Hrubý disponibilný dôchodok</t>
  </si>
  <si>
    <t>Inflácia</t>
  </si>
  <si>
    <t>Veľkosť opatrení s vplyvom na HDP</t>
  </si>
  <si>
    <t>Zdroj: MF SR, výpočty RRZ</t>
  </si>
  <si>
    <t>Vplyvy opatrení na rast, v p.b.</t>
  </si>
  <si>
    <t>Prognóza NPC podľa RRZ</t>
  </si>
  <si>
    <t>Zmena voči prognóze VpMP</t>
  </si>
  <si>
    <t>Spotrebiteľská inflácia</t>
  </si>
  <si>
    <t>Zamestnanosť</t>
  </si>
  <si>
    <t>Nominálna mzda</t>
  </si>
  <si>
    <t>Reálna spotreba domácností</t>
  </si>
  <si>
    <t>Vládna spotreba</t>
  </si>
  <si>
    <t>Fixné investície</t>
  </si>
  <si>
    <t>Dovoz</t>
  </si>
  <si>
    <t>Reálne HDP</t>
  </si>
  <si>
    <t>Tab 17: Makroekonomickýc scenár po zohľadnení fiškálnych opatrení podľa RRZ</t>
  </si>
  <si>
    <t>Prognóza podľa RRZ fiškálneho scenára</t>
  </si>
  <si>
    <r>
      <t>Tab</t>
    </r>
    <r>
      <rPr>
        <b/>
        <sz val="10"/>
        <color rgb="FF13B5EB"/>
        <rFont val="Constantia"/>
        <family val="1"/>
        <charset val="238"/>
      </rPr>
      <t xml:space="preserve"> 18: Riziká prognózy rastu základní rozhodujúcich pre rozpočtové príjmy</t>
    </r>
  </si>
  <si>
    <t>Prognóza (september 2016) + intervaly spoľahlivosti v scenároch</t>
  </si>
  <si>
    <t>Vážené základne pre rozpočtové príjmy (VpMp)</t>
  </si>
  <si>
    <r>
      <t>-</t>
    </r>
    <r>
      <rPr>
        <sz val="7"/>
        <color rgb="FF000000"/>
        <rFont val="Times New Roman"/>
        <family val="1"/>
        <charset val="238"/>
      </rPr>
      <t xml:space="preserve">          </t>
    </r>
    <r>
      <rPr>
        <sz val="9"/>
        <color rgb="FF000000"/>
        <rFont val="Constantia"/>
        <family val="1"/>
        <charset val="238"/>
      </rPr>
      <t>40 % pravdepodobnosť</t>
    </r>
  </si>
  <si>
    <t>3,7-4,2</t>
  </si>
  <si>
    <t>3,6-4,9</t>
  </si>
  <si>
    <t>3,2-6,4</t>
  </si>
  <si>
    <t>2,9-7,7</t>
  </si>
  <si>
    <r>
      <t>-</t>
    </r>
    <r>
      <rPr>
        <sz val="7"/>
        <color rgb="FF000000"/>
        <rFont val="Times New Roman"/>
        <family val="1"/>
        <charset val="238"/>
      </rPr>
      <t xml:space="preserve">          </t>
    </r>
    <r>
      <rPr>
        <sz val="9"/>
        <color rgb="FF000000"/>
        <rFont val="Constantia"/>
        <family val="1"/>
        <charset val="238"/>
      </rPr>
      <t>60 % pravdepodobnosť</t>
    </r>
  </si>
  <si>
    <t>3,5-4,3</t>
  </si>
  <si>
    <t>3,1-5,4</t>
  </si>
  <si>
    <t>2,2-7,4</t>
  </si>
  <si>
    <t>1,5-9,1</t>
  </si>
  <si>
    <r>
      <t>-</t>
    </r>
    <r>
      <rPr>
        <sz val="7"/>
        <color rgb="FF000000"/>
        <rFont val="Times New Roman"/>
        <family val="1"/>
        <charset val="238"/>
      </rPr>
      <t xml:space="preserve">          </t>
    </r>
    <r>
      <rPr>
        <sz val="9"/>
        <color rgb="FF000000"/>
        <rFont val="Constantia"/>
        <family val="1"/>
        <charset val="238"/>
      </rPr>
      <t>80 % pravdepodobnosť</t>
    </r>
  </si>
  <si>
    <t>3,3-4,5</t>
  </si>
  <si>
    <t>2,6-5,9</t>
  </si>
  <si>
    <t>0,9-8,8</t>
  </si>
  <si>
    <t xml:space="preserve"> -0,5-11,1</t>
  </si>
  <si>
    <t>Graf 8: Príspevky jednotlivých krajín k rastu ekonomiky EÚ od roku 2010</t>
  </si>
  <si>
    <t>Nemecko</t>
  </si>
  <si>
    <t>Veľká Británia</t>
  </si>
  <si>
    <t>Španielsko</t>
  </si>
  <si>
    <t>Írsko</t>
  </si>
  <si>
    <t>Francúzsko</t>
  </si>
  <si>
    <t>V4</t>
  </si>
  <si>
    <t>Švédsko</t>
  </si>
  <si>
    <t>Poľsko</t>
  </si>
  <si>
    <t>Taliansko</t>
  </si>
  <si>
    <t>Holandsko</t>
  </si>
  <si>
    <t>Belgicko</t>
  </si>
  <si>
    <t>Česko</t>
  </si>
  <si>
    <t>Rumunsko</t>
  </si>
  <si>
    <t>Rakúsko</t>
  </si>
  <si>
    <t>Slovensko</t>
  </si>
  <si>
    <t>Maďarsko</t>
  </si>
  <si>
    <t>Portugalsko</t>
  </si>
  <si>
    <t>...</t>
  </si>
  <si>
    <t>Grécko</t>
  </si>
  <si>
    <t>príspevky od krízy</t>
  </si>
  <si>
    <t>príspevky za posledný rok</t>
  </si>
  <si>
    <t>Zdroj: Eurostat, výpočty RRZ</t>
  </si>
  <si>
    <t>Graf 9: Zmena rizík v priebehu roka*</t>
  </si>
  <si>
    <t>IFO</t>
  </si>
  <si>
    <t>ZEW</t>
  </si>
  <si>
    <t>DAX</t>
  </si>
  <si>
    <t>Export (DE)</t>
  </si>
  <si>
    <t xml:space="preserve"> Apríl 2016</t>
  </si>
  <si>
    <t xml:space="preserve"> Október 2015</t>
  </si>
  <si>
    <t>Zdroj: IFO, ZEW, BF, Destatis, výpočty RRZ</t>
  </si>
  <si>
    <t>* Zmena rizika je kvantifikovaná ako zmena koeficientu šikmosti rozdelenia časového radu od roku 1993</t>
  </si>
  <si>
    <t>Graf 10: Fiškálne scenáre NRVS a vplyv na rast HDP (rast v %)</t>
  </si>
  <si>
    <t>Oficiálna prognóza VpMP</t>
  </si>
  <si>
    <t>Fiškálne scenáre návrhu rozpočtu (min)</t>
  </si>
  <si>
    <t>Fiškálne scenáre návrhu rozpočtu</t>
  </si>
  <si>
    <t>NRVS scenár bez zmien politík</t>
  </si>
  <si>
    <t>NRVS fiškálny scenár</t>
  </si>
  <si>
    <t>Graf 11: Fiškálne scenáre RRZ a vplyv na rast HDP (rast v %)</t>
  </si>
  <si>
    <t>Fiškálne scenáre RRZ (min)</t>
  </si>
  <si>
    <t>Fiškálne scenáre RRZ</t>
  </si>
  <si>
    <t>RRZ  fiškálny scenár</t>
  </si>
  <si>
    <t>Graf 12: Zmena štruktúry HDP podľa revízie ŠÚ SR (bežné ceny)</t>
  </si>
  <si>
    <t>Spotreba domácností</t>
  </si>
  <si>
    <t>Verejná správa</t>
  </si>
  <si>
    <t>Čistý export</t>
  </si>
  <si>
    <t>Zmena stavu zásob</t>
  </si>
  <si>
    <t>Vývoz</t>
  </si>
  <si>
    <t>Zdroj: ŠÚ SR, výpočty RRZ</t>
  </si>
  <si>
    <t>Graf 13: Riziko revízie HDP - minulosť verzus rok 2016</t>
  </si>
  <si>
    <t>Min</t>
  </si>
  <si>
    <t>d80</t>
  </si>
  <si>
    <t>d60</t>
  </si>
  <si>
    <t>d40</t>
  </si>
  <si>
    <t>d20</t>
  </si>
  <si>
    <t>h20</t>
  </si>
  <si>
    <t>h40</t>
  </si>
  <si>
    <t>h60</t>
  </si>
  <si>
    <t>Max</t>
  </si>
  <si>
    <t>Rast HDP v %</t>
  </si>
  <si>
    <t>Zdroj: OECD, výpočty RRZ</t>
  </si>
  <si>
    <t>Graf 14: Neočakávaný vývoj zahraničia a vplyv na chybu prognózy VpMP</t>
  </si>
  <si>
    <t>Chyba VpMP prognóz, t+1 (september)</t>
  </si>
  <si>
    <t>Chyba VpMP prognóz, t+1 (jún)</t>
  </si>
  <si>
    <t>Chyba MMF prognóz, t+1 (október)</t>
  </si>
  <si>
    <t>Chyba IMF v. VpMP</t>
  </si>
  <si>
    <t>Chyba OECD prognóz, t+1 (jún)</t>
  </si>
  <si>
    <t>Chyba OECD v. VpMP</t>
  </si>
  <si>
    <t>Zdroj: OECD, IMF, MF SR, výpočty RRZ</t>
  </si>
  <si>
    <t>Prognóza VpMP (september 2016)</t>
  </si>
  <si>
    <t>Zdroj: MF SR, výpočty RRZ</t>
  </si>
  <si>
    <t>Graf 61: Makroekonomické riziko vplývajúce na saldo verejnej správy</t>
  </si>
  <si>
    <t>NRVS 2016-2018</t>
  </si>
  <si>
    <t>d40-h40</t>
  </si>
  <si>
    <t>h80</t>
  </si>
  <si>
    <t>VpMP (sept. 2016)</t>
  </si>
  <si>
    <t>VpDP (sept. 2016)</t>
  </si>
  <si>
    <t>Hotovosť na úrovni RVS 2016-2018</t>
  </si>
  <si>
    <t>Graf 2: Zmeny v prognóze hrubého dlhu (% HDP)</t>
  </si>
  <si>
    <t>Nominálny HDP</t>
  </si>
  <si>
    <t>Celkové daňové príjmy</t>
  </si>
  <si>
    <t>Vplyv legislatívy</t>
  </si>
  <si>
    <t>Daňové príjmy bez legislatívy</t>
  </si>
  <si>
    <t>Legislatíva zahrnutá v návrhu rozpočtu</t>
  </si>
  <si>
    <t>* V roku 2016 ide o odhad vlády prezentovaný v Návrhu rozpočtu verejnej správy na roky 2017 až 2019.</t>
  </si>
  <si>
    <t>Pozn.: znamienka vyjadrujú vplyv na saldo VS</t>
  </si>
  <si>
    <t>Saldo rozpočtu podľa odhadu RRZ v % HDP</t>
  </si>
  <si>
    <t>Saldo rozpočtu podľa odhadu RRZ v mil. eur</t>
  </si>
  <si>
    <t>Celkový vplyv rizík na saldo VS:</t>
  </si>
  <si>
    <t>4. Akrualizácia príspevkov Národného rezolučného fondu</t>
  </si>
  <si>
    <t xml:space="preserve"> - nešpecifikované rezervy</t>
  </si>
  <si>
    <t xml:space="preserve"> - rezerva na hospodárenie zdravotníckych zariadení</t>
  </si>
  <si>
    <t xml:space="preserve"> - rezerva na rok 2017</t>
  </si>
  <si>
    <t xml:space="preserve"> - rezerva na riešenie vplyvov nových zákonných úprav</t>
  </si>
  <si>
    <t>3. Krytie rizík z rezerv:</t>
  </si>
  <si>
    <t>2. Úspory na sociálnych dávkach</t>
  </si>
  <si>
    <t>1. Úspora na spolufinancovaní</t>
  </si>
  <si>
    <t>Zdroje krytia rizík:</t>
  </si>
  <si>
    <t>bez kvantifikácie</t>
  </si>
  <si>
    <t>8. Rekapitalizácia dlhodobo stratových štátnych podnikov</t>
  </si>
  <si>
    <t>7. Výdavky v rezorte obrany podliehajúce utajeniu</t>
  </si>
  <si>
    <t>6. Vplyv čerpania EÚ fondov na saldo subjektov mimo štátneho rozpočtu</t>
  </si>
  <si>
    <t>5. Vplyv vyšších výdavkov samospráv</t>
  </si>
  <si>
    <t xml:space="preserve"> - splátky záväzkov voči akcionárom súkromných zdravotných poisťovní</t>
  </si>
  <si>
    <t xml:space="preserve"> - výdavky na zdravotnú starostlivosť a hospodárenie nemocníc</t>
  </si>
  <si>
    <t>4. Podhodnotenie výdavkov v zdravotníctve</t>
  </si>
  <si>
    <t xml:space="preserve"> - kapitálové výdavky</t>
  </si>
  <si>
    <t xml:space="preserve"> - výdavky na tovary a služby</t>
  </si>
  <si>
    <t xml:space="preserve"> - zvýšenie platov v štátnej správe a školstve</t>
  </si>
  <si>
    <t>3. Podhodnotenie výdavkov štátneho rozpočtu</t>
  </si>
  <si>
    <t>2. Korekcie voči fondom EÚ</t>
  </si>
  <si>
    <t xml:space="preserve"> - príjmy z administratívnych poplatkov</t>
  </si>
  <si>
    <t xml:space="preserve"> - príjmy z predaja emisných kvót</t>
  </si>
  <si>
    <t xml:space="preserve"> - príjmy z dividend (SPP, VSE, SEPS)</t>
  </si>
  <si>
    <t>1. Nadhodnotenie nedaňových príjmov:</t>
  </si>
  <si>
    <t>Riziká spolu:</t>
  </si>
  <si>
    <t>Saldo rozpočtu podľa NRVS 2017-2019 v % HDP*</t>
  </si>
  <si>
    <t>Saldo rozpočtu NRVS 2017-2019 v mil. eur*</t>
  </si>
  <si>
    <t>Tab 7: Riziká a zdroje ich krytia v rokoch 2016 až 2019 (ESA2010, mil. eur)</t>
  </si>
  <si>
    <t>** Po zohľadnení vplyvu revízie HDP na prognózu.</t>
  </si>
  <si>
    <t>* V roku 2016 ide o odhad vlády SR</t>
  </si>
  <si>
    <r>
      <t>5. Potreba dodatočných opatrení (1-4)</t>
    </r>
    <r>
      <rPr>
        <sz val="9"/>
        <color rgb="FF13B5EA"/>
        <rFont val="Constantia"/>
        <family val="1"/>
        <charset val="238"/>
      </rPr>
      <t>**</t>
    </r>
  </si>
  <si>
    <t>4. Saldo VS po zohľadnení rizík (1+2+3)</t>
  </si>
  <si>
    <t>3. Veľkosť možných zdrojov krytia rizík</t>
  </si>
  <si>
    <t>2. Veľkosť kvantifikovaných rizík</t>
  </si>
  <si>
    <r>
      <t>1. Rozpočtové ciele</t>
    </r>
    <r>
      <rPr>
        <sz val="9"/>
        <color rgb="FF13B5EA"/>
        <rFont val="Constantia"/>
        <family val="1"/>
        <charset val="238"/>
      </rPr>
      <t>*</t>
    </r>
  </si>
  <si>
    <t>Tab 8: Riziká spojené s dosiahnutím rozpočtových cieľov (ESA2010, mil. eur)</t>
  </si>
  <si>
    <t>Zdroj: ŠÚ SR, MF SR, RRZ</t>
  </si>
  <si>
    <t>* Na účely odhadu vplyvu na hrubý dlh sa zohľadnili hotovostné vplyvy rizík (nebrali sa do úvahy príjmy Národného rezolučného fondu a príjmy z predaja emisných kvót).</t>
  </si>
  <si>
    <t>p.m. Výnos 10-ročného štátneho dlhopisu (VpMP, sept. 2016)</t>
  </si>
  <si>
    <t xml:space="preserve"> - hrubý dlh v % HDP po zohľadnení rizík</t>
  </si>
  <si>
    <t xml:space="preserve"> - vplyv revízie HDP (p.b.)</t>
  </si>
  <si>
    <t xml:space="preserve">3. Hrubý dlh VS po zohľadnení rizík </t>
  </si>
  <si>
    <t xml:space="preserve"> - dodatočné hotovostné úrokové náklady</t>
  </si>
  <si>
    <t xml:space="preserve"> - dividendy z mimoriadneho zisku</t>
  </si>
  <si>
    <r>
      <t xml:space="preserve"> - riziká a zdroje ich krytia s vplyvom na saldo VS</t>
    </r>
    <r>
      <rPr>
        <sz val="9"/>
        <color rgb="FF13B5EA"/>
        <rFont val="Constantia"/>
        <family val="1"/>
        <charset val="238"/>
      </rPr>
      <t>*</t>
    </r>
  </si>
  <si>
    <t>2. Dodatočná zmena dlhu:</t>
  </si>
  <si>
    <t>1. Prognóza hrubého dlhu VS (vláda SR)</t>
  </si>
  <si>
    <t>Tab 9: Predpoklady vývoja hrubého dlhu verejnej správy (mil. eur)</t>
  </si>
  <si>
    <t>3. RRZ riziká + oddlžovanie</t>
  </si>
  <si>
    <t>2. RRZ riziká</t>
  </si>
  <si>
    <t>1. Prognóza vlády</t>
  </si>
  <si>
    <t>Graf 23: Scenáre vývoja hrubého dlhu (% HDP)</t>
  </si>
  <si>
    <t xml:space="preserve">Úroky </t>
  </si>
  <si>
    <t>Dotácie a ost. transfery</t>
  </si>
  <si>
    <t>Prev. výdavky</t>
  </si>
  <si>
    <t>Sociálne platby</t>
  </si>
  <si>
    <t>Nedaňové príjmy</t>
  </si>
  <si>
    <t>Medziročná zmena salda v NPC scenári</t>
  </si>
  <si>
    <t>kumulatívne</t>
  </si>
  <si>
    <r>
      <t>Graf 24: Príspevky k medziročnej zmene salda v NPC scenári</t>
    </r>
    <r>
      <rPr>
        <b/>
        <sz val="8"/>
        <color rgb="FF13B5EA"/>
        <rFont val="Constantia"/>
        <family val="1"/>
        <charset val="238"/>
      </rPr>
      <t xml:space="preserve"> (</t>
    </r>
    <r>
      <rPr>
        <b/>
        <sz val="10"/>
        <color rgb="FF13B5EA"/>
        <rFont val="Constantia"/>
        <family val="1"/>
        <charset val="238"/>
      </rPr>
      <t>p. b.)</t>
    </r>
  </si>
  <si>
    <t>Dividendy</t>
  </si>
  <si>
    <t>Emisné kvóty</t>
  </si>
  <si>
    <t>Rezervy</t>
  </si>
  <si>
    <t>Starobné dôchodky</t>
  </si>
  <si>
    <t>Spolufinancovanie</t>
  </si>
  <si>
    <t>Celkové zmeny</t>
  </si>
  <si>
    <t>Graf 25: Vplyvy opatrení zapracovaných v návrhu rozpočtu v roku 2017 (% HDP)</t>
  </si>
  <si>
    <t>Pozn.: v roku 2016 ide o porovnanie odhadu RRZ s odhadom vlády, odhad roku 2016 bol východiskom zostavenia NPC scenára. V riadku 3 rozdiel nemusí sedieť z dôvodu zaokrúhľovania.                                                    Zdroj: RRZ, MF SR</t>
  </si>
  <si>
    <t xml:space="preserve"> - z toho: riziká identifikované RRZ</t>
  </si>
  <si>
    <t>3. Veľkosť opatrení (2-1)</t>
  </si>
  <si>
    <t>2. Návrh rozpočtu VS</t>
  </si>
  <si>
    <t>1. NPC saldo VS</t>
  </si>
  <si>
    <t>Tab 10: Veľkosť opatrení v návrhu rozpočtu (% HDP)</t>
  </si>
  <si>
    <t>Prognóza MF SR</t>
  </si>
  <si>
    <t>Scenár nezmenených politík</t>
  </si>
  <si>
    <r>
      <t>Graf 26: Porovnanie prognózy dlhu MF SR s NPC scenárom RRZ</t>
    </r>
    <r>
      <rPr>
        <sz val="9"/>
        <color theme="1"/>
        <rFont val="Constantia"/>
        <family val="1"/>
        <charset val="238"/>
      </rPr>
      <t xml:space="preserve"> </t>
    </r>
    <r>
      <rPr>
        <b/>
        <sz val="10"/>
        <color rgb="FF13B5EA"/>
        <rFont val="Constantia"/>
        <family val="1"/>
        <charset val="238"/>
      </rPr>
      <t>(% HDP)</t>
    </r>
  </si>
  <si>
    <r>
      <t>Zdroj:</t>
    </r>
    <r>
      <rPr>
        <i/>
        <sz val="8"/>
        <color rgb="FF13B5EA"/>
        <rFont val="Constantia"/>
        <family val="1"/>
        <charset val="238"/>
      </rPr>
      <t xml:space="preserve"> </t>
    </r>
    <r>
      <rPr>
        <i/>
        <sz val="8"/>
        <color rgb="FF00B0F0"/>
        <rFont val="Constantia"/>
        <family val="1"/>
        <charset val="238"/>
      </rPr>
      <t>MF SR, RRZ</t>
    </r>
  </si>
  <si>
    <t>Prognóza vlády</t>
  </si>
  <si>
    <t>Ostatné vplyvy</t>
  </si>
  <si>
    <t>Opatrenia v salde (NRVS)</t>
  </si>
  <si>
    <t>Dlh v NPC scenári</t>
  </si>
  <si>
    <r>
      <t>Graf 27: Príspevky k zmene dlhu v prognóze MF SR</t>
    </r>
    <r>
      <rPr>
        <b/>
        <sz val="9"/>
        <color rgb="FF13B5EA"/>
        <rFont val="Constantia"/>
        <family val="1"/>
        <charset val="238"/>
      </rPr>
      <t xml:space="preserve"> </t>
    </r>
    <r>
      <rPr>
        <b/>
        <sz val="10"/>
        <color rgb="FF13B5EA"/>
        <rFont val="Constantia"/>
        <family val="1"/>
        <charset val="238"/>
      </rPr>
      <t>(p. b.)</t>
    </r>
  </si>
  <si>
    <t>Pozn.: PS - program stability, RVS - rozpočet verejnej správy schválený NR SR, NRVS - návrh rozpočtu verejnej správy schválený vládou, VpDP - Výbor pre daňové prognózy</t>
  </si>
  <si>
    <t xml:space="preserve"> - zmena voči PS 2014-2017</t>
  </si>
  <si>
    <t>Daňové príjmy VS (VpDP)</t>
  </si>
  <si>
    <t>Saldo VS</t>
  </si>
  <si>
    <t>Zmena NRVS 2017-19 voči PS 2014-17</t>
  </si>
  <si>
    <t>NRVS 2017-19</t>
  </si>
  <si>
    <t>PS 2016-19</t>
  </si>
  <si>
    <t>RVS 2016-18</t>
  </si>
  <si>
    <t>PS 2015-18</t>
  </si>
  <si>
    <t>RVS 2015-17</t>
  </si>
  <si>
    <t>PS 2014-17</t>
  </si>
  <si>
    <t>Graf 30: Zmena rozpočtového cieľa na rok 2017 (% HDP)</t>
  </si>
  <si>
    <t>Skutočné saldo</t>
  </si>
  <si>
    <t>Saldo po zohľadnení neočakávaných vplyvov</t>
  </si>
  <si>
    <t>Rozpočtované saldo</t>
  </si>
  <si>
    <t>Saldo verejnej správy</t>
  </si>
  <si>
    <t>Ostatné rozpočtované položky</t>
  </si>
  <si>
    <t>Neočakávané vplyvy v rozpočte</t>
  </si>
  <si>
    <t>v % HDP</t>
  </si>
  <si>
    <t>Saldo VS po zohľadnení neočakávaných vplyvov</t>
  </si>
  <si>
    <t>Rozpočtované saldo VS</t>
  </si>
  <si>
    <t xml:space="preserve">Graf 32: Potenciálne saldo rozpočtu po zohľadnení nerozpočtovaných vplyvov (% HDP, ESA2010) </t>
  </si>
  <si>
    <t xml:space="preserve">Graf 31: Vplyv neočakávaných vplyvov a ostatných položiek na saldo rozpočtu (% HDP, ESA2010) </t>
  </si>
  <si>
    <t>Odhad vlády (% HDP)</t>
  </si>
  <si>
    <t>Skutočnosť (% HDP)</t>
  </si>
  <si>
    <t>Skutočnosť (mil. eur)</t>
  </si>
  <si>
    <r>
      <t>Graf 34: Vývoj hrubého dlhu VS</t>
    </r>
    <r>
      <rPr>
        <sz val="10"/>
        <color theme="1"/>
        <rFont val="Constantia"/>
        <family val="1"/>
        <charset val="238"/>
      </rPr>
      <t xml:space="preserve"> </t>
    </r>
    <r>
      <rPr>
        <b/>
        <sz val="10"/>
        <color rgb="FF13B5EA"/>
        <rFont val="Constantia"/>
        <family val="1"/>
        <charset val="238"/>
      </rPr>
      <t>(% HDP)</t>
    </r>
  </si>
  <si>
    <r>
      <t>Graf 34: Vývoj hrubého dlhu VS</t>
    </r>
    <r>
      <rPr>
        <sz val="10"/>
        <color theme="1"/>
        <rFont val="Constantia"/>
        <family val="1"/>
        <charset val="238"/>
      </rPr>
      <t/>
    </r>
  </si>
  <si>
    <t>Zdroj: RRZ, MF SR</t>
  </si>
  <si>
    <t xml:space="preserve"> - ostatné vplyvy</t>
  </si>
  <si>
    <t xml:space="preserve"> - vplyv EFSF</t>
  </si>
  <si>
    <t>5. Dlh bez jednorazových vplyvov (3-4)</t>
  </si>
  <si>
    <t>4. Hotovosť neovplyvňujúca čisté bohatstvo</t>
  </si>
  <si>
    <t>3. Čistý dlh (1-2)</t>
  </si>
  <si>
    <t>2. Likvidné finančné aktíva</t>
  </si>
  <si>
    <t>1. Hrubý dlh</t>
  </si>
  <si>
    <r>
      <t>Graf 35: Medziročná zmena dlhu</t>
    </r>
    <r>
      <rPr>
        <sz val="10"/>
        <color theme="1"/>
        <rFont val="Constantia"/>
        <family val="1"/>
        <charset val="238"/>
      </rPr>
      <t xml:space="preserve"> </t>
    </r>
    <r>
      <rPr>
        <b/>
        <sz val="10"/>
        <color rgb="FF13B5EA"/>
        <rFont val="Constantia"/>
        <family val="1"/>
        <charset val="238"/>
      </rPr>
      <t>(% HDP)</t>
    </r>
  </si>
  <si>
    <t>Graf 35: Medziročná zmena dlhu (% HDP)</t>
  </si>
  <si>
    <t>Saldo</t>
  </si>
  <si>
    <t>Výdavky</t>
  </si>
  <si>
    <t xml:space="preserve">Príjmy </t>
  </si>
  <si>
    <t>Kumulatívne zmeny (v % HDP)</t>
  </si>
  <si>
    <t>Medziročné zmeny (v % HDP)</t>
  </si>
  <si>
    <t>2010 S</t>
  </si>
  <si>
    <t>2009 S</t>
  </si>
  <si>
    <t>Graf 40: Kumulatívne príspevky zmeny príjmov a výdavkov k zmene salda (ESA 2010, % HDP, od roku 2010)</t>
  </si>
  <si>
    <t>Graf 39: Príspevky zmeny príjmov a výdavkov k zmene salda v jednotlivých rokoch (ESA 2010, % HDP)</t>
  </si>
  <si>
    <t>Vývoj celkových príjmov a výdavkov (ESA2010, % HDP)</t>
  </si>
  <si>
    <t>* Ide o celkové príjmy znížené o príjmy zo rozpočtu EÚ, poistné platené štátom a imputované poistné</t>
  </si>
  <si>
    <t>Bežné a kapitálové transfery</t>
  </si>
  <si>
    <t>Príjmy z majetku</t>
  </si>
  <si>
    <t>Sociálne príspevky</t>
  </si>
  <si>
    <t>Kapitálové dane</t>
  </si>
  <si>
    <t>Bežné dane z príjmu, majetku, atď.</t>
  </si>
  <si>
    <t>Dane z výroby a dovozov</t>
  </si>
  <si>
    <r>
      <t>Upravené príjmy</t>
    </r>
    <r>
      <rPr>
        <b/>
        <sz val="9"/>
        <color rgb="FF13B5EA"/>
        <rFont val="Constantia"/>
        <family val="1"/>
        <charset val="238"/>
      </rPr>
      <t>*</t>
    </r>
  </si>
  <si>
    <t>Graf 44: Kumulatívny vplyv príjmov na zmenu salda – podľa typu príjmu (ESA 2010, % HDP, od roku 2010)</t>
  </si>
  <si>
    <t>Graf 43: Vplyv príjmov na zmenu salda v jednotlivých rokoch – podľa typu príjmu (ESA 2010, % HDP)</t>
  </si>
  <si>
    <t>Štruktúra a vývoj príjmov verejnej správy (ESA2010, % HDP)</t>
  </si>
  <si>
    <t>* Ide o celkové výdavky znížené o výdavky financované z rozpočtu EÚ, poistné platené štátom a imputované poistné</t>
  </si>
  <si>
    <t>Zdravotná starostlivosť</t>
  </si>
  <si>
    <t>Sociálne transfery</t>
  </si>
  <si>
    <t>Odvody do rozpočtu EÚ</t>
  </si>
  <si>
    <t>Platené úroky</t>
  </si>
  <si>
    <t>Vplyv povinných výdavkov</t>
  </si>
  <si>
    <t>Graf 58: Kumulatívny vplyv povinných výdavkov na zmenu salda – podľa typu výdavkov (ESA2010, % HDP, od roku 2010)</t>
  </si>
  <si>
    <t>Graf 57: Vplyv povinných výdavkov na zmenu salda v jednotlivých rokoch – podľa typu výdavkov (ESA2010, % HDP)</t>
  </si>
  <si>
    <t>Fakultatívne</t>
  </si>
  <si>
    <t>Graf 56: Kumulatívny vplyv fakultatívnych výdavkov na zmenu salda – podľa typu výdavkov (ESA2010, % HDP, od roku 2010)</t>
  </si>
  <si>
    <t>Graf 55: Vplyv fakultatívnych výdavkov na zmenu salda v jednotlivých rokoch – podľa typu výdavkov (ESA2010, % HDP)</t>
  </si>
  <si>
    <t>Povinné</t>
  </si>
  <si>
    <r>
      <t>Vplyv celkových výdavkov</t>
    </r>
    <r>
      <rPr>
        <sz val="9"/>
        <color rgb="FF13B5EA"/>
        <rFont val="Constantia"/>
        <family val="1"/>
        <charset val="238"/>
      </rPr>
      <t>*</t>
    </r>
  </si>
  <si>
    <t>Graf 54: Kumulatívny vplyv výdavkov na zmenu salda – podľa typu výdavkov (ESA2010, % HDP, od roku 2010)</t>
  </si>
  <si>
    <t>Graf 53: Vplyv celkových výdavkov na zmenu salda v jednotlivých rokoch – podľa typu výdavkov (ESA2010, % HDP)</t>
  </si>
  <si>
    <t>Štruktúra a vývoj výdavkov verejnej správy (ESA2010, % HDP)</t>
  </si>
  <si>
    <t>** Vplyv tejto položky je zahrnutý v odhade daňových príjmov.</t>
  </si>
  <si>
    <t>* Ide o údaje prevzaté z odhadu vlády v Návrhu rozpočtu verejnej správy na roky 2017 až 2019.</t>
  </si>
  <si>
    <r>
      <t>26</t>
    </r>
    <r>
      <rPr>
        <sz val="9"/>
        <color rgb="FF13B5EA"/>
        <rFont val="Constantia"/>
        <family val="1"/>
        <charset val="238"/>
      </rPr>
      <t>*</t>
    </r>
  </si>
  <si>
    <t>0-26</t>
  </si>
  <si>
    <t>7. Zrušenie vkladov na doručiteľa</t>
  </si>
  <si>
    <r>
      <t>40</t>
    </r>
    <r>
      <rPr>
        <sz val="9"/>
        <color rgb="FF13B5EA"/>
        <rFont val="Constantia"/>
        <family val="1"/>
        <charset val="238"/>
      </rPr>
      <t>*</t>
    </r>
  </si>
  <si>
    <t>6. Úspory na odvode do rozpočtu EÚ</t>
  </si>
  <si>
    <r>
      <t>59</t>
    </r>
    <r>
      <rPr>
        <sz val="9"/>
        <color rgb="FF13B5EA"/>
        <rFont val="Constantia"/>
        <family val="1"/>
        <charset val="238"/>
      </rPr>
      <t>*</t>
    </r>
  </si>
  <si>
    <t>5. Úspory na sociálnych dávkach</t>
  </si>
  <si>
    <t>4. Rezerva na riešenie vplyvov nových zákonných úprav</t>
  </si>
  <si>
    <r>
      <t>3. Nižší vplyv zníženia sadzby DPH na vybrané potraviny</t>
    </r>
    <r>
      <rPr>
        <sz val="9"/>
        <color rgb="FF13B5EA"/>
        <rFont val="Constantia"/>
        <family val="1"/>
        <charset val="238"/>
      </rPr>
      <t>**</t>
    </r>
  </si>
  <si>
    <t>150 (rezerva)</t>
  </si>
  <si>
    <t>2. Lepší výber daní (vrátane rezervy)</t>
  </si>
  <si>
    <t>max. 90</t>
  </si>
  <si>
    <t>Krytie rizík</t>
  </si>
  <si>
    <r>
      <t>54</t>
    </r>
    <r>
      <rPr>
        <sz val="9"/>
        <color rgb="FF13B5EA"/>
        <rFont val="Constantia"/>
        <family val="1"/>
        <charset val="238"/>
      </rPr>
      <t>*</t>
    </r>
  </si>
  <si>
    <t>20. Akrualizácia výdavkov Sociálnej poisťovne</t>
  </si>
  <si>
    <t>19. Akrualizácia príspevkov Národného rezolučného fondu</t>
  </si>
  <si>
    <t>18. Splátka NFV od spoločnosti Cargo</t>
  </si>
  <si>
    <t>17. Ostatné kapitálové výdavky ŠR</t>
  </si>
  <si>
    <t>16. Výdavky ŠR na tovary a služby</t>
  </si>
  <si>
    <t>15. Zvýšenie platov v školstve</t>
  </si>
  <si>
    <r>
      <t>15</t>
    </r>
    <r>
      <rPr>
        <sz val="9"/>
        <color rgb="FF13B5EA"/>
        <rFont val="Constantia"/>
        <family val="1"/>
        <charset val="238"/>
      </rPr>
      <t>*</t>
    </r>
  </si>
  <si>
    <t>14. Výdavky Environmentálneho fondu</t>
  </si>
  <si>
    <t>13. Výdavky na nákup lietadla - vládny špeciál</t>
  </si>
  <si>
    <r>
      <t xml:space="preserve"> -15</t>
    </r>
    <r>
      <rPr>
        <sz val="9"/>
        <color rgb="FF13B5EA"/>
        <rFont val="Constantia"/>
        <family val="1"/>
        <charset val="238"/>
      </rPr>
      <t>*</t>
    </r>
  </si>
  <si>
    <t>12. Výdavky na významné investície</t>
  </si>
  <si>
    <t>11. Nadhodnotenie daňových príjmov</t>
  </si>
  <si>
    <t>10. Rekapitalizácia dlhodobo stratových štátnych podnikov</t>
  </si>
  <si>
    <r>
      <t>19</t>
    </r>
    <r>
      <rPr>
        <sz val="9"/>
        <color rgb="FF13B5EA"/>
        <rFont val="Constantia"/>
        <family val="1"/>
        <charset val="238"/>
      </rPr>
      <t>*</t>
    </r>
  </si>
  <si>
    <t>9. Výdavky Národného jadrového fondu na vyraďovanie jadrových zariadení</t>
  </si>
  <si>
    <t>8. Akrualizácia hotovostných výdavkov v rezorte obrany</t>
  </si>
  <si>
    <t>7. Výdavky na výstavbu národného futbalového štadióna</t>
  </si>
  <si>
    <r>
      <t>220</t>
    </r>
    <r>
      <rPr>
        <sz val="9"/>
        <color rgb="FF13B5EA"/>
        <rFont val="Constantia"/>
        <family val="1"/>
        <charset val="238"/>
      </rPr>
      <t>*</t>
    </r>
  </si>
  <si>
    <t>0-287</t>
  </si>
  <si>
    <t>6. Vplyv možného posunu výdavkov z roku 2015 v súvislosti s PPP projektom D4/R7</t>
  </si>
  <si>
    <t>5. Vplyv možných výdavkových úspor v roku 2015 (napríklad presun kapitálových výdavkov)</t>
  </si>
  <si>
    <t>0-100</t>
  </si>
  <si>
    <t>4. Podhodnotenie výdavkov samospráv</t>
  </si>
  <si>
    <t xml:space="preserve"> - výdavky na zdravotnú starostlivosť a hospodárenie nemocníc (vrátane rezervy)</t>
  </si>
  <si>
    <t>3. Podhodnotenie výdavkov v zdravotníctve</t>
  </si>
  <si>
    <r>
      <t>201</t>
    </r>
    <r>
      <rPr>
        <sz val="9"/>
        <color rgb="FF13B5EA"/>
        <rFont val="Constantia"/>
        <family val="1"/>
        <charset val="238"/>
      </rPr>
      <t>*</t>
    </r>
  </si>
  <si>
    <t>aspoň 15</t>
  </si>
  <si>
    <t xml:space="preserve"> - príjmy z dividend SPP a VSE</t>
  </si>
  <si>
    <t>November 2016</t>
  </si>
  <si>
    <t>Máj 2016</t>
  </si>
  <si>
    <t>December 2015</t>
  </si>
  <si>
    <t>Riziká rozpočtu s vplyvom na saldo</t>
  </si>
  <si>
    <t>O – odhad, N – návrh rozpočtu</t>
  </si>
  <si>
    <t>Riziko voči návrhu rozpočtu (RRZ-RVS)</t>
  </si>
  <si>
    <t>Suma riadnych dividend podľa ESA2010</t>
  </si>
  <si>
    <t xml:space="preserve">    - mimoriadne dividendy</t>
  </si>
  <si>
    <t xml:space="preserve">    - riadne dividendy</t>
  </si>
  <si>
    <t>Príjmy z dividend:</t>
  </si>
  <si>
    <r>
      <t>Slovenská elektrizačná prenosová sústava, a.s.</t>
    </r>
    <r>
      <rPr>
        <b/>
        <sz val="9"/>
        <color theme="1"/>
        <rFont val="Constantia"/>
        <family val="1"/>
        <charset val="238"/>
      </rPr>
      <t> </t>
    </r>
  </si>
  <si>
    <r>
      <t>Východoslovenská energetika Holding, a.s.</t>
    </r>
    <r>
      <rPr>
        <b/>
        <sz val="9"/>
        <color theme="1"/>
        <rFont val="Constantia"/>
        <family val="1"/>
        <charset val="238"/>
      </rPr>
      <t> </t>
    </r>
  </si>
  <si>
    <t>Slovenský plynárenský priemysel, a.s.</t>
  </si>
  <si>
    <t>RRZ </t>
  </si>
  <si>
    <t>RVS </t>
  </si>
  <si>
    <t>2019 N</t>
  </si>
  <si>
    <t>2018 N</t>
  </si>
  <si>
    <t>2017 N</t>
  </si>
  <si>
    <r>
      <t>Tab 20: Dividendy v rokoch 2016 až 2019</t>
    </r>
    <r>
      <rPr>
        <b/>
        <sz val="9"/>
        <color rgb="FF13B5EA"/>
        <rFont val="Constantia"/>
        <family val="1"/>
        <charset val="238"/>
      </rPr>
      <t xml:space="preserve"> </t>
    </r>
    <r>
      <rPr>
        <b/>
        <sz val="10"/>
        <color rgb="FF13B5EA"/>
        <rFont val="Constantia"/>
        <family val="1"/>
        <charset val="238"/>
      </rPr>
      <t>(ESA2010, mil. eur)</t>
    </r>
  </si>
  <si>
    <t>Zdroj: RRZ, ŠÚ SR</t>
  </si>
  <si>
    <t>14=13+2+4-6</t>
  </si>
  <si>
    <t>12=11+5-10</t>
  </si>
  <si>
    <t>10=6*9</t>
  </si>
  <si>
    <t>9=11/13</t>
  </si>
  <si>
    <t>7=6*8</t>
  </si>
  <si>
    <t>5=4*8</t>
  </si>
  <si>
    <t>3=2*8</t>
  </si>
  <si>
    <t>mil. jedn.</t>
  </si>
  <si>
    <t>eur/t CO2</t>
  </si>
  <si>
    <t>k 31.12.</t>
  </si>
  <si>
    <t>k 1.1.</t>
  </si>
  <si>
    <t>Stav aktívnych kvót</t>
  </si>
  <si>
    <t>Stav pohľadávok/záväzkov</t>
  </si>
  <si>
    <t>Ročný daňový príjem</t>
  </si>
  <si>
    <t>Priem. cena spotrebovaných kvót</t>
  </si>
  <si>
    <t>Priem. cena aukcií</t>
  </si>
  <si>
    <t>Spotrebované kvóty</t>
  </si>
  <si>
    <t>Aukcionované kvóty</t>
  </si>
  <si>
    <t>Pridelené kvóty</t>
  </si>
  <si>
    <t>Rok</t>
  </si>
  <si>
    <t>3. Rozdiel (riziko výpadku príjmov)</t>
  </si>
  <si>
    <t>2. Odhad RRZ</t>
  </si>
  <si>
    <t>1. Návrh rozpočtu verejnej správy na roky 2017 až 2019</t>
  </si>
  <si>
    <t>Tab 22: Odhad rizika z príjmov z emisných kvót v porovnaní s návrhom rozpočtu (mil. eur)</t>
  </si>
  <si>
    <t>* v roku 2011 bez oddlženia vo výške 350 mil. eur</t>
  </si>
  <si>
    <t>Hospodárenie nemocníc*</t>
  </si>
  <si>
    <t>Zmena výdavkov zdravotného poistenia (%)</t>
  </si>
  <si>
    <t>Výdavky zdravotného poistenia</t>
  </si>
  <si>
    <t>Tab 23: Vývoj výdavkov na zdravotnú starostlivosť a hospodárenie nemocníc (mil. eur)</t>
  </si>
  <si>
    <t>** vlastné imanie znížené o základné imanie a zákonný rezervný fond</t>
  </si>
  <si>
    <t>Zdroj: ÚDZS, výročné správy ZP Dôvera, výročné správy ZP Union</t>
  </si>
  <si>
    <t>* vplyv na saldo VS</t>
  </si>
  <si>
    <r>
      <t>Nerozdelený zisk/strata k 31.12.</t>
    </r>
    <r>
      <rPr>
        <b/>
        <sz val="9"/>
        <color rgb="FF13B5EA"/>
        <rFont val="Constantia"/>
        <family val="1"/>
      </rPr>
      <t>**</t>
    </r>
  </si>
  <si>
    <t>Ostatné zmeny</t>
  </si>
  <si>
    <t>Zvýšenie zákonného rezervného fondu zo zisku</t>
  </si>
  <si>
    <r>
      <t>Úhrada dividendy akcionárom</t>
    </r>
    <r>
      <rPr>
        <sz val="9"/>
        <color rgb="FF13B5EA"/>
        <rFont val="Constantia"/>
        <family val="1"/>
      </rPr>
      <t>*</t>
    </r>
  </si>
  <si>
    <t>Úhrada nerozdeleného zisku zo základného imania</t>
  </si>
  <si>
    <t>Vytvorený zisk/strata</t>
  </si>
  <si>
    <r>
      <t>Nerozdelený zisk/strata k 1.1.</t>
    </r>
    <r>
      <rPr>
        <b/>
        <sz val="9"/>
        <color rgb="FF13B5EA"/>
        <rFont val="Constantia"/>
        <family val="1"/>
      </rPr>
      <t>**</t>
    </r>
  </si>
  <si>
    <t>Zdravotná poisťovňa Union</t>
  </si>
  <si>
    <r>
      <t xml:space="preserve"> - splátky úverov</t>
    </r>
    <r>
      <rPr>
        <sz val="9"/>
        <color rgb="FF13B5EA"/>
        <rFont val="Constantia"/>
        <family val="1"/>
        <charset val="238"/>
      </rPr>
      <t>*</t>
    </r>
  </si>
  <si>
    <t>Záväzky voči akcionárom a nerozdelený zisk k 31.12.</t>
  </si>
  <si>
    <r>
      <t>Zníženie rezervného fondu</t>
    </r>
    <r>
      <rPr>
        <sz val="9"/>
        <color rgb="FF13B5EA"/>
        <rFont val="Constantia"/>
        <family val="1"/>
      </rPr>
      <t>*</t>
    </r>
  </si>
  <si>
    <r>
      <t>Splátky záväzkov voči akcionárom formou dividend</t>
    </r>
    <r>
      <rPr>
        <sz val="9"/>
        <color rgb="FF13B5EA"/>
        <rFont val="Constantia"/>
        <family val="1"/>
      </rPr>
      <t>*</t>
    </r>
  </si>
  <si>
    <t>Splátky záväzkov voči akcionárom z úverov</t>
  </si>
  <si>
    <t>Vyplatenie nerozdeleného zisku</t>
  </si>
  <si>
    <t>Záväzky voči akcionárom a nerozdelený zisk k 1.1.</t>
  </si>
  <si>
    <t>Zdravotná poisťovňa Dôvera</t>
  </si>
  <si>
    <r>
      <t>Tab 24: Vývoj nerozdelených ziskov súkromných zdravotných poisťovní</t>
    </r>
    <r>
      <rPr>
        <b/>
        <sz val="10"/>
        <color rgb="FF13B5EA"/>
        <rFont val="Times New Roman"/>
        <family val="1"/>
        <charset val="238"/>
      </rPr>
      <t xml:space="preserve"> </t>
    </r>
    <r>
      <rPr>
        <b/>
        <sz val="10"/>
        <color rgb="FF13B5EA"/>
        <rFont val="Constantia"/>
        <family val="1"/>
        <charset val="238"/>
      </rPr>
      <t>(mil. eur)</t>
    </r>
  </si>
  <si>
    <t>* Rozpočet na rok 2016 uvažoval s výdavkami zdravotného poistenia vo výške 4 048 mil. eur, splátkami nerozdeleného zisku vo výške 26 mil. eur a deficitom nemocníc vo výške 54 mil. eur. Riziko voči rozpočtu predstavuje 208 mil. eur.</t>
  </si>
  <si>
    <t>Zdroje krytia (rezerva)</t>
  </si>
  <si>
    <t xml:space="preserve"> - nerozdelený zisk</t>
  </si>
  <si>
    <t xml:space="preserve"> - výdavky ZP a hospodárenie</t>
  </si>
  <si>
    <t>Rozdiely (riziká):</t>
  </si>
  <si>
    <t>Splátky nerozdeleného zisku</t>
  </si>
  <si>
    <t>Hospodárenie nemocníc</t>
  </si>
  <si>
    <t>Odhad RRZ</t>
  </si>
  <si>
    <t>Rezerva na hospodárenie nemocníc</t>
  </si>
  <si>
    <t>Návrh rozpočtu verejnej správy na roky 2017 až 2019</t>
  </si>
  <si>
    <t>Tab 25: Odhad rizika v zdravotníctve voči návrhu rozpočtu (mil. eur)</t>
  </si>
  <si>
    <t>Štátne RO - odhad RRZ</t>
  </si>
  <si>
    <t>Štátne RO (od 2016 NRVS)</t>
  </si>
  <si>
    <t>Súkromný sektor</t>
  </si>
  <si>
    <t>Indexy</t>
  </si>
  <si>
    <r>
      <t>Graf 66: Rast miezd v súkromnom sektore a štátnom rozpočte</t>
    </r>
    <r>
      <rPr>
        <b/>
        <sz val="8"/>
        <color rgb="FF13B5EA"/>
        <rFont val="Constantia"/>
        <family val="1"/>
        <charset val="238"/>
      </rPr>
      <t xml:space="preserve"> </t>
    </r>
    <r>
      <rPr>
        <b/>
        <sz val="10"/>
        <color rgb="FF13B5EA"/>
        <rFont val="Constantia"/>
        <family val="1"/>
        <charset val="238"/>
      </rPr>
      <t>(2009 = 100)</t>
    </r>
  </si>
  <si>
    <t xml:space="preserve"> - tempo rastu miezd v súkromnom sektore</t>
  </si>
  <si>
    <t xml:space="preserve"> - skutočné tempo rastu zamestnanosti (%)</t>
  </si>
  <si>
    <t xml:space="preserve"> - skutočné tempo rastu platov (%)</t>
  </si>
  <si>
    <t xml:space="preserve"> - skutočné tempo rastu mzdovej bázy (%)</t>
  </si>
  <si>
    <t xml:space="preserve"> - tempo rastu tarifných platov v zákone/kolektívnej zmluve (%)</t>
  </si>
  <si>
    <t xml:space="preserve"> - počet zamestnancov v štátnych RO (odhad RRZ)</t>
  </si>
  <si>
    <t xml:space="preserve"> - počet zamestnancov v štátnych RO (kniha rozpočtu)</t>
  </si>
  <si>
    <t xml:space="preserve"> - odhad RRZ</t>
  </si>
  <si>
    <t xml:space="preserve"> - skutočnosť (2016 - odhad)</t>
  </si>
  <si>
    <t xml:space="preserve"> - návrh rozpočtu</t>
  </si>
  <si>
    <t>Mzdy a poistné v ŠR (bez EÚ a cofin)</t>
  </si>
  <si>
    <r>
      <t>Graf 65: Medziročná zmena mzdových výdavkov</t>
    </r>
    <r>
      <rPr>
        <b/>
        <sz val="11"/>
        <color rgb="FF13B5EA"/>
        <rFont val="Constantia"/>
        <family val="1"/>
        <charset val="238"/>
      </rPr>
      <t xml:space="preserve"> </t>
    </r>
    <r>
      <rPr>
        <sz val="10"/>
        <color rgb="FF13B5EA"/>
        <rFont val="Constantia"/>
        <family val="1"/>
        <charset val="238"/>
      </rPr>
      <t>(rast, v %)</t>
    </r>
  </si>
  <si>
    <t>4. Veľkosť rizík - vplyv na saldo (2-1+3)</t>
  </si>
  <si>
    <t>3. Zvyšovanie miezd v školstve v rokoch 2018 a 2019</t>
  </si>
  <si>
    <t>2. Štátny rozpočet - odhad RRZ</t>
  </si>
  <si>
    <t>1. Štátny rozpočet - návrh rozpočtu</t>
  </si>
  <si>
    <t>Tab 27: Riziká v mzdových výdavkoch štátneho rozpočtu (mil. eur)</t>
  </si>
  <si>
    <t>Ide o výdavky štátneho rozpočtu a mimorozpočtových účtov na položke ekonomickej klasifikácie 630 bez rozpočtovaných rezerv, výdavkov financovaných z EÚ fondov a spolufinancovania.                                                                            Zdroj: MF SR, RRZ, ŠÚ SR</t>
  </si>
  <si>
    <t>prognózovaná miera inflácie (%)</t>
  </si>
  <si>
    <t>3. Veľkosť rizík - vplyv na saldo (2-1)</t>
  </si>
  <si>
    <t>1. Skutočnosť / Návrh rozpočtu (bez výdavkov na rezervy)</t>
  </si>
  <si>
    <t>Tab 30: Riziká vo výdavkoch štátneho rozpočtu na tovary a služby (mil. eur)</t>
  </si>
  <si>
    <t>Priemer za roky 2006-2016</t>
  </si>
  <si>
    <t>5. Riziká</t>
  </si>
  <si>
    <t>4. Štátny rozpočet + MRÚ (bez EÚ fondov, spolufinancovania a GAP)</t>
  </si>
  <si>
    <t>(% HDP)</t>
  </si>
  <si>
    <t>3. Celkové kapitálové výdavky - odhad RRZ (1+2)</t>
  </si>
  <si>
    <t>2. Riziká</t>
  </si>
  <si>
    <t>1. Štátny rozpočet + MRÚ (bez EÚ fondov, spolufinancovania a GAP)</t>
  </si>
  <si>
    <r>
      <t>Graf 73: Riziká v kapitálových výdavkoch</t>
    </r>
    <r>
      <rPr>
        <sz val="6"/>
        <color rgb="FF13B5EA"/>
        <rFont val="Constantia"/>
        <family val="1"/>
        <charset val="238"/>
      </rPr>
      <t xml:space="preserve"> </t>
    </r>
    <r>
      <rPr>
        <b/>
        <sz val="10"/>
        <color rgb="FF13B5EA"/>
        <rFont val="Constantia"/>
        <family val="1"/>
        <charset val="238"/>
      </rPr>
      <t>(% HDP)</t>
    </r>
  </si>
  <si>
    <t>3. Veľkosť rizík (1-2)</t>
  </si>
  <si>
    <t>1. Návrh rozpočtu</t>
  </si>
  <si>
    <r>
      <t>Tab 33: Riziká v kapitálových výdavkoch</t>
    </r>
    <r>
      <rPr>
        <sz val="6"/>
        <color rgb="FF13B5EA"/>
        <rFont val="Constantia"/>
        <family val="1"/>
        <charset val="238"/>
      </rPr>
      <t xml:space="preserve"> </t>
    </r>
    <r>
      <rPr>
        <b/>
        <sz val="10"/>
        <color rgb="FF13B5EA"/>
        <rFont val="Constantia"/>
        <family val="1"/>
        <charset val="238"/>
      </rPr>
      <t>(% HDP)</t>
    </r>
  </si>
  <si>
    <t>D.9 P</t>
  </si>
  <si>
    <t>P.51 G</t>
  </si>
  <si>
    <t xml:space="preserve">Tvorba hrubého fixného kapitálu </t>
  </si>
  <si>
    <t>D.7 P</t>
  </si>
  <si>
    <t>D.41 P</t>
  </si>
  <si>
    <t xml:space="preserve">Úrokové výdavky </t>
  </si>
  <si>
    <t>D.3 P</t>
  </si>
  <si>
    <t>Dotácie</t>
  </si>
  <si>
    <t>D.62 P</t>
  </si>
  <si>
    <t>P.2</t>
  </si>
  <si>
    <t>D.1 P</t>
  </si>
  <si>
    <t>Výdavky VS</t>
  </si>
  <si>
    <t>D.7 R</t>
  </si>
  <si>
    <t>D.4 R</t>
  </si>
  <si>
    <t>P.11+P.12+P.131</t>
  </si>
  <si>
    <t>D.2 R</t>
  </si>
  <si>
    <t>Príjmy VS</t>
  </si>
  <si>
    <t>položka ESA</t>
  </si>
  <si>
    <t>Spolu (vplyv na hrubý dlh VS)</t>
  </si>
  <si>
    <t>GD</t>
  </si>
  <si>
    <t>Nižšia úroveň hotovostnej rezervy</t>
  </si>
  <si>
    <t>Spolu (vplyv na saldo VS)</t>
  </si>
  <si>
    <t>D.62 PAY</t>
  </si>
  <si>
    <t>Vratky za spotrebu plynu</t>
  </si>
  <si>
    <t>D.9 PAY</t>
  </si>
  <si>
    <t>Imputácia DPH z PPP projektu</t>
  </si>
  <si>
    <t>D.9 REC</t>
  </si>
  <si>
    <t>Príjmy zo zrušenia vkladov na doručiteľa</t>
  </si>
  <si>
    <t>D.7 PAY</t>
  </si>
  <si>
    <t>Poistné platené štátom na zdravotné poistenie</t>
  </si>
  <si>
    <t>D.6 REC</t>
  </si>
  <si>
    <t>Výdavky spojené s predsedníctvom SR v EÚ</t>
  </si>
  <si>
    <t>D.1 PAY</t>
  </si>
  <si>
    <t>Tab 35: Zoznam jednorazových a dočasných vplyvov v NPC scenári (% HDP)</t>
  </si>
  <si>
    <t>Nominálny HDP (NPC scenár)</t>
  </si>
  <si>
    <t>ESA</t>
  </si>
  <si>
    <r>
      <t>Tab 35: Zoznam jednorazových a dočasných vplyvov v NPC scenári</t>
    </r>
    <r>
      <rPr>
        <b/>
        <sz val="7"/>
        <color rgb="FF13B5EA"/>
        <rFont val="Constantia"/>
        <family val="1"/>
        <charset val="238"/>
      </rPr>
      <t xml:space="preserve"> </t>
    </r>
    <r>
      <rPr>
        <b/>
        <sz val="10"/>
        <color rgb="FF13B5EA"/>
        <rFont val="Constantia"/>
        <family val="1"/>
        <charset val="238"/>
      </rPr>
      <t>(mil. eur)</t>
    </r>
  </si>
  <si>
    <t>Výdavky na spolufinancovanie</t>
  </si>
  <si>
    <t xml:space="preserve"> - subjekty mimo verejnej správy</t>
  </si>
  <si>
    <t xml:space="preserve"> - verejná správa</t>
  </si>
  <si>
    <t>Rozdelenie podľa konečného príjemcu</t>
  </si>
  <si>
    <t xml:space="preserve"> - poľnohospodárske fondy</t>
  </si>
  <si>
    <t xml:space="preserve"> - štrukturálne fondy a Kohézny fond - 3. PO</t>
  </si>
  <si>
    <t xml:space="preserve"> - štrukturálne fondy a Kohézny fond - 2. PO</t>
  </si>
  <si>
    <t>Rozdelenie podľa fondov a programových období</t>
  </si>
  <si>
    <t>Tab 36: Predpoklady čerpania fondov EÚ v NPC scenári RRZ (% HDP)</t>
  </si>
  <si>
    <t>Tab 36: Predpoklady čerpania fondov EÚ v NPC scenári RRZ (mil. eur)</t>
  </si>
  <si>
    <t xml:space="preserve">** rozdiely voči návrhu rozpočtu sú očistené o nerozpočtované položky </t>
  </si>
  <si>
    <t>* upravené o jednorazové vplyvy</t>
  </si>
  <si>
    <t>Hrubý dlh VS</t>
  </si>
  <si>
    <t>Primárne saldo VS</t>
  </si>
  <si>
    <t>D.2 P, D.5 P, D.7 P, P.5 M, NP</t>
  </si>
  <si>
    <t>Bežné transfery a ostatné výdavky</t>
  </si>
  <si>
    <t>D.632 P</t>
  </si>
  <si>
    <t>Výdavky na zdravotníctvo</t>
  </si>
  <si>
    <t>Sociálne platby (bez výd. na zdravot.)</t>
  </si>
  <si>
    <t>TE</t>
  </si>
  <si>
    <t>D.7 R, D.9 R</t>
  </si>
  <si>
    <t>Ostatné prijaté transfery</t>
  </si>
  <si>
    <t>Príjmy z EÚ fondov</t>
  </si>
  <si>
    <t>D.61 R</t>
  </si>
  <si>
    <t>D.91 R</t>
  </si>
  <si>
    <t>D.5 R</t>
  </si>
  <si>
    <t>Bežné dane z príjmu, majetku</t>
  </si>
  <si>
    <t>TR</t>
  </si>
  <si>
    <t>2017 NRVS</t>
  </si>
  <si>
    <t>Rozdiel**</t>
  </si>
  <si>
    <t>2019 NPC</t>
  </si>
  <si>
    <t>2018 NPC</t>
  </si>
  <si>
    <t>2017 NPC</t>
  </si>
  <si>
    <t>2016 O (upr.)*</t>
  </si>
  <si>
    <t>Tab 37: Porovnanie NPC scenára vývoja verejných financií RRZ (% HDP)</t>
  </si>
  <si>
    <t>Sociálne platby (bez výdavkov na zdravotníctvo)</t>
  </si>
  <si>
    <t>Tab 37: Porovnanie NPC scenára vývoja verejných financií (mil. eur)</t>
  </si>
  <si>
    <t xml:space="preserve"> - ostatné výdavky</t>
  </si>
  <si>
    <t xml:space="preserve"> - spolufinancovanie</t>
  </si>
  <si>
    <t xml:space="preserve"> - úroky</t>
  </si>
  <si>
    <t xml:space="preserve"> - sociálne platby</t>
  </si>
  <si>
    <t xml:space="preserve"> - medzispotreba</t>
  </si>
  <si>
    <t xml:space="preserve"> - mzdy</t>
  </si>
  <si>
    <t xml:space="preserve"> - nedaňové príjmy (bez EU)</t>
  </si>
  <si>
    <t xml:space="preserve"> - dane (bez 2% a kreditov)</t>
  </si>
  <si>
    <t>Príjmy a výdavky v NPC scenári (% HDP)</t>
  </si>
  <si>
    <t>Dotácie a ostatné transfery</t>
  </si>
  <si>
    <t>Prevádzkové výdavky</t>
  </si>
  <si>
    <t>Tab 38: Príspevky k medziročnej zmene salda v NPC scenári (perc. body)</t>
  </si>
  <si>
    <t>Zdroj: RRZ, MF SR, ŠÚ SR</t>
  </si>
  <si>
    <t>Pozn.: (+) zvyšuje a (-) znižuje hotovosť na účtoch verejnej správy</t>
  </si>
  <si>
    <t>p.m. Nominálne HDP (mil. eur)</t>
  </si>
  <si>
    <t>4. Zmeny v hotovosti bez vplyvu na čisté bohatstvo (1+2+3)</t>
  </si>
  <si>
    <t xml:space="preserve"> - nezahrnuté v rozpočte (preddavky)</t>
  </si>
  <si>
    <t xml:space="preserve"> - korekcie k EÚ fondom</t>
  </si>
  <si>
    <t xml:space="preserve"> - zahrnuté v rozpočte</t>
  </si>
  <si>
    <t>3. Vplyvy čerpania a preplácania EÚ fondov</t>
  </si>
  <si>
    <t xml:space="preserve">    - osobitný odvod z podnikania v regulovaných odvetviach</t>
  </si>
  <si>
    <t xml:space="preserve"> - príjmy zo splátky NFV od spoločnosti Cargo</t>
  </si>
  <si>
    <t xml:space="preserve"> - príjmy zo splátky NFV od Vodohospodárskej výstavby</t>
  </si>
  <si>
    <t xml:space="preserve"> - privatizácia/odkúpenie podielov</t>
  </si>
  <si>
    <t xml:space="preserve"> - dividendy nad rámec zisku z riadnej činnosti</t>
  </si>
  <si>
    <t xml:space="preserve"> - jednorazový vplyv otvorenia II. piliera dôchodkového systému</t>
  </si>
  <si>
    <t>2. Ostatné jednorazové vplyvy (bez vplyvu na saldo)</t>
  </si>
  <si>
    <t xml:space="preserve">    - vratky domácnostiam za spotrebu plynu</t>
  </si>
  <si>
    <t xml:space="preserve"> - splátka NFV Vodohospodárska výstavba</t>
  </si>
  <si>
    <t xml:space="preserve"> - prepočet odvodu do rozpočtu EÚ</t>
  </si>
  <si>
    <t xml:space="preserve"> - pokuta protimonopolného úradu</t>
  </si>
  <si>
    <t xml:space="preserve"> - doplatok dôchodkov ozbrojeným zložkám</t>
  </si>
  <si>
    <t xml:space="preserve"> - mimoriadny odvod v bankovom sektore</t>
  </si>
  <si>
    <t xml:space="preserve"> - náklady spojené so suchom/povodňami</t>
  </si>
  <si>
    <t xml:space="preserve"> - príjmy z predaja telekomunikačných licencií</t>
  </si>
  <si>
    <t xml:space="preserve"> - príjmy Sociálnej poisťovne z oddlženia zdravotníctva </t>
  </si>
  <si>
    <t xml:space="preserve"> - zvýšenie nezdaniteľnej časti základu dane DPFO</t>
  </si>
  <si>
    <t>1. Jednorazové hotovostné vplyvy na saldo VS</t>
  </si>
  <si>
    <t>Tab 39: Zmeny v hotovosti bez vplyvu na čisté bohatstvo (mil. eur)</t>
  </si>
  <si>
    <t>EFSF</t>
  </si>
  <si>
    <t xml:space="preserve"> - vplyvy čerpania a preplácania EÚ fondov</t>
  </si>
  <si>
    <t xml:space="preserve"> - ostatné jednorazové vplyvy (bez vplyvu na saldo)</t>
  </si>
  <si>
    <t xml:space="preserve"> - jednorazové hotovostné vplyvy na saldo VS</t>
  </si>
  <si>
    <t>Hotovosť neovplyvňujúca čisté bohatstvo:</t>
  </si>
  <si>
    <t>Čistý dlh</t>
  </si>
  <si>
    <t>Likvidné finančné aktíva</t>
  </si>
  <si>
    <t>Hrubý dlh</t>
  </si>
  <si>
    <t>Vývoj dlhu medzi rokmi 2010 až 2019</t>
  </si>
  <si>
    <t>Tab 40: Prehľad vývoja dlhu do roku 2019 (medziročné zmeny, % HDP)</t>
  </si>
  <si>
    <t>Zdroj: RRZ, ŠÚSR, MF SR</t>
  </si>
  <si>
    <t>C. Skutočné saldo</t>
  </si>
  <si>
    <t>B.Hypotetické saldo, saldo upravené o "neočakávané vplyvy"  (A+4)</t>
  </si>
  <si>
    <t>A. Rozpočtované saldo</t>
  </si>
  <si>
    <t>5. Ostatné rozpočtované položky (1-4)</t>
  </si>
  <si>
    <t xml:space="preserve"> - z toho legislatíva</t>
  </si>
  <si>
    <t>4. "Neočakávané vplyvy" v rozpočte</t>
  </si>
  <si>
    <t>Vývoj ostatných príjmov a výdavkov</t>
  </si>
  <si>
    <t>Saldo MH Invest</t>
  </si>
  <si>
    <t>Saldo JAVYS</t>
  </si>
  <si>
    <t>Saldo ŽSSK</t>
  </si>
  <si>
    <t>Saldo ŽSR</t>
  </si>
  <si>
    <t>Saldo NDS</t>
  </si>
  <si>
    <t>Sociálna oblasť</t>
  </si>
  <si>
    <t>Výdavky zdravotníctva</t>
  </si>
  <si>
    <t>Pohľadávky a záväzky ŠR (+ŠFA, MRÚ)</t>
  </si>
  <si>
    <t xml:space="preserve"> - obstaranie kapitálových aktív</t>
  </si>
  <si>
    <t xml:space="preserve"> - dotácie</t>
  </si>
  <si>
    <t xml:space="preserve"> - hrubé mzdy</t>
  </si>
  <si>
    <t>Hotovostné výdavky ŠR</t>
  </si>
  <si>
    <t xml:space="preserve"> - úrokové náklady ŠR znížené o emisnú prémiu</t>
  </si>
  <si>
    <t xml:space="preserve"> - odvody do rozpočtu EÚ</t>
  </si>
  <si>
    <t xml:space="preserve"> - GAP (bez SSC)</t>
  </si>
  <si>
    <t xml:space="preserve"> - spolufinancovanie zo ŠR</t>
  </si>
  <si>
    <t>Vybrané výdavky (vplyv na saldo)</t>
  </si>
  <si>
    <t>Poskytovanie úverov z fondov EÚ (iba spolufin)</t>
  </si>
  <si>
    <t>Korekcie k čerpaniu EU fondov</t>
  </si>
  <si>
    <t xml:space="preserve"> - z predaja telekomunikačných licencií</t>
  </si>
  <si>
    <t xml:space="preserve"> - z odvodu z hazardných hier (štátny rozpočet)</t>
  </si>
  <si>
    <t xml:space="preserve"> - administratívne poplatky štátneho rozpočtu (221)</t>
  </si>
  <si>
    <t xml:space="preserve"> - kapitálové príjmy (bez samospráv)</t>
  </si>
  <si>
    <t xml:space="preserve"> - dividendy</t>
  </si>
  <si>
    <t>Vybrané nedaňové príjmy</t>
  </si>
  <si>
    <t>Legislatívne zmeny</t>
  </si>
  <si>
    <t xml:space="preserve">Daňové príjmy a odvody bez legislatívnych zmien </t>
  </si>
  <si>
    <t>3. Saldo ostatných subjektov VS (1-2)</t>
  </si>
  <si>
    <t xml:space="preserve"> c) vplyv transferov na prenesený výkon kompetencií zo ŠR</t>
  </si>
  <si>
    <t xml:space="preserve"> b) nerozpočtované subjekty samospráv (NOO, DP, nemocnice)</t>
  </si>
  <si>
    <t xml:space="preserve"> a) rozpočtované subjekty samospráv (RO, PO obce, RO, PO VÚC)</t>
  </si>
  <si>
    <t>2. Saldo samospráv (a+b-c)</t>
  </si>
  <si>
    <t>2017 R</t>
  </si>
  <si>
    <t>Tab 41: Porovanie skutočného vývoja položiek voči rozpočtu  (ESA2010, mil. eur)</t>
  </si>
  <si>
    <t>Zdroj: ŠÚSR, RRZ</t>
  </si>
  <si>
    <t>Kapitálové transfery a ostatné</t>
  </si>
  <si>
    <t>Naturálne sociálne transfery</t>
  </si>
  <si>
    <t>Ostatné sociálne transfery</t>
  </si>
  <si>
    <t>Ochrana životného prostredia</t>
  </si>
  <si>
    <t>Doprava</t>
  </si>
  <si>
    <t>Poľnohospodárstvo</t>
  </si>
  <si>
    <t>Ostatné bežné</t>
  </si>
  <si>
    <t>Príspevok do Národného rezolučného fondu</t>
  </si>
  <si>
    <t>Príspevok do Fondu ochrany vkladov</t>
  </si>
  <si>
    <t>2% z daní na verejnoprospešný účel</t>
  </si>
  <si>
    <t>Imputované sociálne transfery</t>
  </si>
  <si>
    <t>Daňový bonus a zamestnanecká prémia</t>
  </si>
  <si>
    <t>Dôchodkový systém ozbrojených zložiek</t>
  </si>
  <si>
    <t>Ostatné dávky</t>
  </si>
  <si>
    <t>Na peňažné príspevky na kompenzáciu</t>
  </si>
  <si>
    <t>Na dávku v hmotnej núdzi a príspevky k dávke</t>
  </si>
  <si>
    <t>Podpora rodiny</t>
  </si>
  <si>
    <t>Štátne sociálne dávky a podpora</t>
  </si>
  <si>
    <t>Dávky v nezamestnanosti</t>
  </si>
  <si>
    <t>Dôchodkové dávky zo starobného a invalidného poistenia</t>
  </si>
  <si>
    <t>Nemocenské dávky</t>
  </si>
  <si>
    <t>Aktívne opatrenia trhu práce</t>
  </si>
  <si>
    <t>Dané legislatívou</t>
  </si>
  <si>
    <t>Prevádzkové</t>
  </si>
  <si>
    <t>Upravené výdavky</t>
  </si>
  <si>
    <t xml:space="preserve"> - Odvody do rozpočtu EÚ</t>
  </si>
  <si>
    <t xml:space="preserve"> - Imputované poistné (kompenzácie)</t>
  </si>
  <si>
    <t xml:space="preserve"> - Poistné platené štátom + SP</t>
  </si>
  <si>
    <t xml:space="preserve"> - Platené úroky</t>
  </si>
  <si>
    <t xml:space="preserve"> - Spolufinancovanie</t>
  </si>
  <si>
    <t xml:space="preserve"> - EÚ výdavky</t>
  </si>
  <si>
    <t>Celkové výdavky</t>
  </si>
  <si>
    <t>Tab 49: Výdavky podľa odhadu RRZ (ESA2010, % HDP)</t>
  </si>
  <si>
    <t>Tab 49: Výdavky podľa odhadu RRZ (ESA2010, mil. eur)</t>
  </si>
  <si>
    <t>Daňové príjmy bez poistného plateného štátom a imputovaného poistného</t>
  </si>
  <si>
    <t xml:space="preserve"> - ostatné</t>
  </si>
  <si>
    <t xml:space="preserve"> - nemocnice</t>
  </si>
  <si>
    <t xml:space="preserve"> - NDS, ŽSR, ŽSSK, DP</t>
  </si>
  <si>
    <t xml:space="preserve"> - ozbrojené zložky</t>
  </si>
  <si>
    <t xml:space="preserve"> - Zdravotné poistenie EAO + dlžné</t>
  </si>
  <si>
    <t xml:space="preserve"> - Sociálne poistenie EAO + dlžné </t>
  </si>
  <si>
    <t xml:space="preserve"> - daň z emisných kvót</t>
  </si>
  <si>
    <t xml:space="preserve"> - osobitný odvod z podnikania v regulovaných odvetviach</t>
  </si>
  <si>
    <t xml:space="preserve"> - úhrada za služby verejnosti 85/100</t>
  </si>
  <si>
    <t xml:space="preserve"> - daň z nehnuteľností 33/100</t>
  </si>
  <si>
    <t xml:space="preserve"> - daň z príjmov vyberaná zrážkou</t>
  </si>
  <si>
    <t xml:space="preserve"> - daň z príjmov právnickej osoby</t>
  </si>
  <si>
    <t xml:space="preserve"> - daň z príjmov fyzických osôb</t>
  </si>
  <si>
    <t xml:space="preserve"> - príspevok do Agentúry pre núdzové zásoby ropy a ropné výrobky</t>
  </si>
  <si>
    <t xml:space="preserve"> - príspevok do Národného rezolučného fondu</t>
  </si>
  <si>
    <t xml:space="preserve"> - príspevok do Fondu ochrany vkladov (FOV)</t>
  </si>
  <si>
    <t xml:space="preserve"> - príjmy z emisných kvót</t>
  </si>
  <si>
    <t xml:space="preserve"> - dane za špecifické služby</t>
  </si>
  <si>
    <t xml:space="preserve"> - odvod z hazardných hier do štátneho rozpočtu</t>
  </si>
  <si>
    <t xml:space="preserve"> - osobitný odvod vybraných finančných inštitúcií</t>
  </si>
  <si>
    <t xml:space="preserve"> - úhrada za služby verejnosti 15/100</t>
  </si>
  <si>
    <t xml:space="preserve"> - daň z motorových vozidiel</t>
  </si>
  <si>
    <t xml:space="preserve"> - daň z nehnuteľností 67/100</t>
  </si>
  <si>
    <t xml:space="preserve"> - spotrebné dane</t>
  </si>
  <si>
    <t xml:space="preserve"> - daň z pridanej hodnoty</t>
  </si>
  <si>
    <t>Upravené príjmy</t>
  </si>
  <si>
    <t xml:space="preserve"> - imputované poistné</t>
  </si>
  <si>
    <t xml:space="preserve"> - EÚ príjmy</t>
  </si>
  <si>
    <t>Celkové príjmy</t>
  </si>
  <si>
    <t>Tab 48: Príjmy podľa odhadu RRZ (ESA2010, % HDP)</t>
  </si>
  <si>
    <t>Tab 48: Príjmy podľa odhadu RRZ (ESA2010, mil. eur)</t>
  </si>
  <si>
    <t>Tab 49b: Medziročná zmena výdavkov v odhade RRZ očistená o vplyv nových subjektov (ESA2010, medziročná zmena, %)</t>
  </si>
  <si>
    <t>Tab 49a: Medziročná zmena výdavkov v odhade RRZ (ESA2010, medziročná zmena, %)</t>
  </si>
  <si>
    <t>Tab 48b: Medziročná zmena príjmov v odhade RRZ očistená o vplyv nových subjektov (ESA2010, medziročná zmena, %)</t>
  </si>
  <si>
    <t>Tab 48a: Medziročná zmena príjmov v odhade RRZ (ESA2010, medziročná zmena, %)</t>
  </si>
  <si>
    <t xml:space="preserve"> - bežné transfery</t>
  </si>
  <si>
    <t xml:space="preserve"> - kapitálové transfery</t>
  </si>
  <si>
    <t xml:space="preserve"> - tvorba hrubého fixného kapitálu</t>
  </si>
  <si>
    <t xml:space="preserve"> - kompenzácie zamestnancov</t>
  </si>
  <si>
    <t>Rozdelenie spolufinancovania:</t>
  </si>
  <si>
    <t xml:space="preserve"> - bežné výdavky </t>
  </si>
  <si>
    <t>Výdavky na EÚ fondy (mimo sektora VS):</t>
  </si>
  <si>
    <t>Rozdelenie výdavkov na EÚ fondy (v sektore VS):</t>
  </si>
  <si>
    <t>ostatné</t>
  </si>
  <si>
    <t>one-offs</t>
  </si>
  <si>
    <t>2016 OS báza</t>
  </si>
  <si>
    <t>2016 úpravy</t>
  </si>
  <si>
    <t>2016 OS</t>
  </si>
  <si>
    <t>ESA kódy</t>
  </si>
  <si>
    <t>(v metodike ESA 2010, v mil. eur)</t>
  </si>
  <si>
    <t>RRZ NPC</t>
  </si>
  <si>
    <t>Návrh RVS 2017-2019</t>
  </si>
  <si>
    <t>Tab: Predpoklady o čerpaní EÚ fondov (v metodike ESA 2010, v % HDP)</t>
  </si>
  <si>
    <t>Tvorba hrubého fixného kapitálu</t>
  </si>
  <si>
    <t xml:space="preserve"> - tržby</t>
  </si>
  <si>
    <t xml:space="preserve"> - spotreba fixného kapitálu</t>
  </si>
  <si>
    <t xml:space="preserve"> - naturálne sociálne transfery</t>
  </si>
  <si>
    <t xml:space="preserve"> - dane</t>
  </si>
  <si>
    <t>Spotreba verejnej správy</t>
  </si>
  <si>
    <t>2017 NPC - 2016 OS bez OO</t>
  </si>
  <si>
    <t>Rozdiely</t>
  </si>
  <si>
    <t>Tab: Spotreba a investície verejnej správy (v metodike ESA 2010, v % HDP)</t>
  </si>
  <si>
    <t>Primárne saldo</t>
  </si>
  <si>
    <t xml:space="preserve"> - mimorozpočtové účty</t>
  </si>
  <si>
    <t xml:space="preserve"> - JAVYS</t>
  </si>
  <si>
    <t xml:space="preserve"> - Dopravné podniky</t>
  </si>
  <si>
    <t xml:space="preserve"> - Zdravotnícke zariadenia</t>
  </si>
  <si>
    <t xml:space="preserve"> - Fond na podporu umenia</t>
  </si>
  <si>
    <t xml:space="preserve"> - MH Invest</t>
  </si>
  <si>
    <t xml:space="preserve"> - Recyklačný fond</t>
  </si>
  <si>
    <t xml:space="preserve"> - transfer do Fondu ochrany vkladov</t>
  </si>
  <si>
    <t xml:space="preserve"> - hotovostné korekcie</t>
  </si>
  <si>
    <t xml:space="preserve"> - pozemky NDS</t>
  </si>
  <si>
    <t xml:space="preserve"> - rezerva na nové zákonné úpravy</t>
  </si>
  <si>
    <t xml:space="preserve"> - nešpecifikovaná rezerva</t>
  </si>
  <si>
    <t xml:space="preserve"> - rezerva na významné investície</t>
  </si>
  <si>
    <t xml:space="preserve"> - 2% z daní</t>
  </si>
  <si>
    <t xml:space="preserve"> - odvod do rozpočtu EÚ</t>
  </si>
  <si>
    <t xml:space="preserve"> - EU fondy</t>
  </si>
  <si>
    <t>Iné</t>
  </si>
  <si>
    <t xml:space="preserve"> - transfer od NJF</t>
  </si>
  <si>
    <t xml:space="preserve"> - korekcie voči EÚ</t>
  </si>
  <si>
    <t xml:space="preserve"> - akrualizácia DPH z PPP projektu</t>
  </si>
  <si>
    <t>B.9</t>
  </si>
  <si>
    <t xml:space="preserve"> - rezerva na rýchlejšiu realizáciu EÚ fondov a korekcie</t>
  </si>
  <si>
    <t xml:space="preserve"> - VVŠ nerozpočtované</t>
  </si>
  <si>
    <t xml:space="preserve"> - imputované výdavky na vedu a výskum</t>
  </si>
  <si>
    <t xml:space="preserve"> - OPD/OPII vlastné zdroje mimo spolufinancovania</t>
  </si>
  <si>
    <t>D.2P+(D.4-D.41)+D.5P+D.7+P.52+P.53+K.2+D.8</t>
  </si>
  <si>
    <t xml:space="preserve"> - samosprávy</t>
  </si>
  <si>
    <t>D.9P</t>
  </si>
  <si>
    <t xml:space="preserve"> - transfer Fondu ochrany vkladov</t>
  </si>
  <si>
    <t>Úrokové výdavky</t>
  </si>
  <si>
    <t xml:space="preserve"> - ostatné (jednotlivcovi, štipendiá, aktívne opatrenia trhu práce)</t>
  </si>
  <si>
    <t xml:space="preserve"> - mimorozpočtové účty (ozbrojené zložky)</t>
  </si>
  <si>
    <t xml:space="preserve"> - príspevok za spotrebu plynu</t>
  </si>
  <si>
    <t>P.51</t>
  </si>
  <si>
    <t xml:space="preserve"> - daňový bonus a zamestnanecká prémia</t>
  </si>
  <si>
    <t xml:space="preserve"> - imputované</t>
  </si>
  <si>
    <t xml:space="preserve"> - štátom platené poistné - zdravotné poistenie</t>
  </si>
  <si>
    <t xml:space="preserve"> - štátom platené poistné + SP - sociálne poistenie</t>
  </si>
  <si>
    <t xml:space="preserve"> - vybrané sociálne dávky (DHN, ZŤP, podpora rodiny, vianočný príspevok)</t>
  </si>
  <si>
    <t xml:space="preserve"> - výdavky zdravotného poistenia</t>
  </si>
  <si>
    <t xml:space="preserve">D.3P </t>
  </si>
  <si>
    <t xml:space="preserve"> - dávky v nezamestnanosti</t>
  </si>
  <si>
    <t>D.41P</t>
  </si>
  <si>
    <t xml:space="preserve"> - dávky úrazového poistenia</t>
  </si>
  <si>
    <t xml:space="preserve"> - nemocenské SP</t>
  </si>
  <si>
    <t xml:space="preserve"> - starobné a invalidné dôchodky SP</t>
  </si>
  <si>
    <t xml:space="preserve"> - rezerva na zrušenie daňovej licencie</t>
  </si>
  <si>
    <t xml:space="preserve"> - rezerva na hospodárenie nemocníc</t>
  </si>
  <si>
    <t xml:space="preserve"> - platba za dostupnosť PPP projektu</t>
  </si>
  <si>
    <t>D.62P+D.631P</t>
  </si>
  <si>
    <t>D.1P</t>
  </si>
  <si>
    <t xml:space="preserve"> - príspevky od prevádzkovateľov jadrových zariadení</t>
  </si>
  <si>
    <t xml:space="preserve"> - odvod z neživotného poistenia mimo PZP</t>
  </si>
  <si>
    <t xml:space="preserve">Iné </t>
  </si>
  <si>
    <t>D.7R+D.9R</t>
  </si>
  <si>
    <t xml:space="preserve"> - NDS, ŽSR, ŽSSK</t>
  </si>
  <si>
    <t xml:space="preserve"> - poplatok za udržiavanie ropných zásob</t>
  </si>
  <si>
    <t xml:space="preserve"> - imputované príjmy z vedy a výskumu</t>
  </si>
  <si>
    <t>P11+P12 +P131</t>
  </si>
  <si>
    <t>D.4R</t>
  </si>
  <si>
    <t xml:space="preserve"> - Sociálne poistenie štát + SP</t>
  </si>
  <si>
    <t xml:space="preserve"> - Zdravotné poistenie štát</t>
  </si>
  <si>
    <t>D.61R</t>
  </si>
  <si>
    <t>D.91R</t>
  </si>
  <si>
    <t>D.5R</t>
  </si>
  <si>
    <t xml:space="preserve"> - príspevok do Fondu ochrany vkladov</t>
  </si>
  <si>
    <t xml:space="preserve"> - odvod z hazardných hier (iba ŠR)</t>
  </si>
  <si>
    <t>D.2R</t>
  </si>
  <si>
    <t>Tab: NPC scenár vývoja verejných financií (v metodike ESA 2010, % HDP)</t>
  </si>
  <si>
    <t>Investície NDS</t>
  </si>
  <si>
    <t>Chýba na splnenie cieľa</t>
  </si>
  <si>
    <t>Ciele NRVS 2015-2017</t>
  </si>
  <si>
    <t>Spolufinancovanie celkom</t>
  </si>
  <si>
    <t xml:space="preserve"> - z toho v sektore VS</t>
  </si>
  <si>
    <t>EU fondy celkom</t>
  </si>
  <si>
    <t>Tab: Predpoklady o čerpaní EÚ fondov (v metodike ESA 2010, v mil. eur)</t>
  </si>
  <si>
    <t>Tab: Spotreba a investície verejnej správy (v metodike ESA 2010, v mil. eur)</t>
  </si>
  <si>
    <t>rozdiely</t>
  </si>
  <si>
    <t>2017 N (upr)</t>
  </si>
  <si>
    <t>Rozdiely v roku 2017 na porovnateľnej báze</t>
  </si>
  <si>
    <t>Tab: NPC scenár vývoja verejných financií (v metodike ESA 2010, v mil. eur)</t>
  </si>
  <si>
    <t>Prevádzkové (mzdy, tovary a služby)</t>
  </si>
  <si>
    <t>Výdavky ovplyvňujúce saldo</t>
  </si>
  <si>
    <t>výdavky neovplyvňujúce saldo</t>
  </si>
  <si>
    <t>Celkové výdavky rozpočtu</t>
  </si>
  <si>
    <t>Príjmy ovplyvňujúce saldo</t>
  </si>
  <si>
    <t>Iné príjmy</t>
  </si>
  <si>
    <t>Príjmy z EÚ</t>
  </si>
  <si>
    <t>Dane a odvody</t>
  </si>
  <si>
    <t>Celkové príjmy rozpočtu</t>
  </si>
  <si>
    <t>Graf 52: Vývoj výdavkov verejnej správy v rokoch 2009 az 2019 (ESA2010, v % HDP)</t>
  </si>
  <si>
    <t>Bez vplyvu na saldo</t>
  </si>
  <si>
    <t>EÚ výdavky</t>
  </si>
  <si>
    <t>Poistné platené štátom</t>
  </si>
  <si>
    <t>Imputované poistné</t>
  </si>
  <si>
    <t>Graf 51: Štruktúra výdavkov verejnej správy v roku 2017 - odhad RRZ (ESA2010, v % HDP)</t>
  </si>
  <si>
    <t>Daňové zaťaženie</t>
  </si>
  <si>
    <t>Odvody</t>
  </si>
  <si>
    <t>Transfery</t>
  </si>
  <si>
    <t>Graf 41: Štruktúra príjmov verejnej správy v roku 2017 - odhad RRZ (ESA2010, v % HDP)</t>
  </si>
  <si>
    <t>Graf 40: Kumulatívne príspevky zmeny príjmov a výdavkov k zmene salda</t>
  </si>
  <si>
    <t>NPC</t>
  </si>
  <si>
    <t>Bezdetné ženy</t>
  </si>
  <si>
    <t>Ženy s 1 dieťaťom</t>
  </si>
  <si>
    <t>Ženy s 2 deťmi</t>
  </si>
  <si>
    <t>Ženy 3-4 deťmi</t>
  </si>
  <si>
    <t>Ženy 5 a viac deťmi</t>
  </si>
  <si>
    <t>Muži</t>
  </si>
  <si>
    <t>Dôchodca A</t>
  </si>
  <si>
    <t>Dôchodca B</t>
  </si>
  <si>
    <t>(1)</t>
  </si>
  <si>
    <t>mesačný plat pred priznaním dôchodku</t>
  </si>
  <si>
    <t xml:space="preserve">(2) </t>
  </si>
  <si>
    <t>počet odpracovaných mesiacov v roku</t>
  </si>
  <si>
    <t xml:space="preserve">(3) = (1) x (2) </t>
  </si>
  <si>
    <t>osobný vymeriavací základ (OVZ)</t>
  </si>
  <si>
    <t xml:space="preserve">(4) </t>
  </si>
  <si>
    <t>všeobecný vymeriavací základ (ročná priem. mzda v t-2 )</t>
  </si>
  <si>
    <t xml:space="preserve">(5) = (3) / (4) </t>
  </si>
  <si>
    <t>OMB</t>
  </si>
  <si>
    <t>(6) = (2) / 12</t>
  </si>
  <si>
    <t xml:space="preserve">R  - rozhodujúce obdobie </t>
  </si>
  <si>
    <t xml:space="preserve">(7) = (5) x (6) </t>
  </si>
  <si>
    <t xml:space="preserve">dôchodkové nároky za daný rok </t>
  </si>
  <si>
    <t>podiel nárokov dôchodcu B voči nárokom dôch. A</t>
  </si>
  <si>
    <t xml:space="preserve">Dlh verejnej správy </t>
  </si>
  <si>
    <t xml:space="preserve">Zdroj: RRZ </t>
  </si>
  <si>
    <t>Graf 42: Zmeny v príjmoch v období 2009 az 2019 (ESA2010, v % HDP)</t>
  </si>
  <si>
    <t>Graf 52: Vývoj výdavkov verejnej správy v rokoch 2009 až 2019 (ESA 2010, % HDP)</t>
  </si>
  <si>
    <t xml:space="preserve">    Fond na podporu umenia</t>
  </si>
  <si>
    <t xml:space="preserve">    Dopravné podniky (BA, PO, KE, ZA)</t>
  </si>
  <si>
    <r>
      <t xml:space="preserve"> - rezerva na prostriedky EÚ a odvody EÚ</t>
    </r>
    <r>
      <rPr>
        <sz val="9"/>
        <color rgb="FF13B5EA"/>
        <rFont val="Constantia"/>
        <family val="1"/>
        <charset val="238"/>
      </rPr>
      <t>**</t>
    </r>
  </si>
  <si>
    <t>** Ide o rezervu na prostriedky EÚ a odvody EÚ bez ďalších výdavkov súvisiacich s financovaním spoločných programov a na zefektívnenie systému finančného riadenia EÚ fondov a iných finančných nástrojov.</t>
  </si>
  <si>
    <t xml:space="preserve">Štrukturálne primárne saldo VS </t>
  </si>
  <si>
    <t>Výdavky mesta Bratislava spojené s predsedníctvom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</si>
</sst>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7">
    <numFmt numFmtId="43" formatCode="_-* #,##0.00\ _€_-;\-* #,##0.00\ _€_-;_-* &quot;-&quot;??\ _€_-;_-@_-"/>
    <numFmt numFmtId="164" formatCode="_(* #,##0_);_(* \(#,##0\);_(* &quot;-&quot;_);_(@_)"/>
    <numFmt numFmtId="165" formatCode="_(* #,##0.00_);_(* \(#,##0.00\);_(* &quot;-&quot;??_);_(@_)"/>
    <numFmt numFmtId="166" formatCode="0.0"/>
    <numFmt numFmtId="167" formatCode="#,##0.0"/>
    <numFmt numFmtId="168" formatCode="[$-409]mmm\-yy;@"/>
    <numFmt numFmtId="169" formatCode="&quot;   &quot;@"/>
    <numFmt numFmtId="170" formatCode="&quot;      &quot;@"/>
    <numFmt numFmtId="171" formatCode="&quot;         &quot;@"/>
    <numFmt numFmtId="172" formatCode="&quot;            &quot;@"/>
    <numFmt numFmtId="173" formatCode="&quot;               &quot;@"/>
    <numFmt numFmtId="174" formatCode="#,##0.0;\-#,##0.0;;"/>
    <numFmt numFmtId="175" formatCode="_(&quot;$&quot;* #,##0.00_);_(&quot;$&quot;* \(#,##0.00\);_(&quot;$&quot;* &quot;-&quot;??_);_(@_)"/>
    <numFmt numFmtId="176" formatCode="#,##0\ &quot;SIT&quot;;\-#,##0\ &quot;SIT&quot;"/>
    <numFmt numFmtId="177" formatCode="_-* #,##0.00\ _S_k_-;\-* #,##0.00\ _S_k_-;_-* &quot;-&quot;??\ _S_k_-;_-@_-"/>
    <numFmt numFmtId="178" formatCode="_-[$€-2]* #,##0.00_-;\-[$€-2]* #,##0.00_-;_-[$€-2]* &quot;-&quot;??_-"/>
    <numFmt numFmtId="179" formatCode="General_)"/>
    <numFmt numFmtId="180" formatCode="_-* #,##0\ _F_t_-;\-* #,##0\ _F_t_-;_-* &quot;-&quot;\ _F_t_-;_-@_-"/>
    <numFmt numFmtId="181" formatCode="_-* #,##0.00\ _F_t_-;\-* #,##0.00\ _F_t_-;_-* &quot;-&quot;??\ _F_t_-;_-@_-"/>
    <numFmt numFmtId="182" formatCode="#,##0\ &quot;Kč&quot;;\-#,##0\ &quot;Kč&quot;"/>
    <numFmt numFmtId="183" formatCode="_-* #,##0.00\ &quot;Kč&quot;_-;\-* #,##0.00\ &quot;Kč&quot;_-;_-* &quot;-&quot;??\ &quot;Kč&quot;_-;_-@_-"/>
    <numFmt numFmtId="184" formatCode="&quot;$&quot;#,##0_);\(&quot;$&quot;#,##0\)"/>
    <numFmt numFmtId="185" formatCode="_(&quot;$&quot;* #,##0_);_(&quot;$&quot;* \(#,##0\);_(&quot;$&quot;* &quot;-&quot;_);_(@_)"/>
    <numFmt numFmtId="186" formatCode="ddd\ d\-mmm\-yy"/>
    <numFmt numFmtId="187" formatCode="0.00_)"/>
    <numFmt numFmtId="188" formatCode="_-* #,##0\ &quot;Ft&quot;_-;\-* #,##0\ &quot;Ft&quot;_-;_-* &quot;-&quot;\ &quot;Ft&quot;_-;_-@_-"/>
    <numFmt numFmtId="189" formatCode="_-* #,##0.00\ &quot;Ft&quot;_-;\-* #,##0.00\ &quot;Ft&quot;_-;_-* &quot;-&quot;??\ &quot;Ft&quot;_-;_-@_-"/>
    <numFmt numFmtId="190" formatCode="[Black]#,##0.0;[Black]\-#,##0.0;;"/>
    <numFmt numFmtId="191" formatCode="[Black][&gt;0.05]#,##0.0;[Black][&lt;-0.05]\-#,##0.0;;"/>
    <numFmt numFmtId="192" formatCode="[Black][&gt;0.5]#,##0;[Black][&lt;-0.5]\-#,##0;;"/>
    <numFmt numFmtId="193" formatCode="#,##0_)"/>
    <numFmt numFmtId="194" formatCode="#\ ###\ ##0;&quot;-&quot;#\ ###\ ##0"/>
    <numFmt numFmtId="195" formatCode="\(\$#,###\)"/>
    <numFmt numFmtId="196" formatCode="_-&quot;€&quot;\ * #,##0_-;_-&quot;€&quot;\ * #,##0\-;_-&quot;€&quot;\ * &quot;-&quot;_-;_-@_-"/>
    <numFmt numFmtId="197" formatCode="_-&quot;€&quot;\ * #,##0.00_-;_-&quot;€&quot;\ * #,##0.00\-;_-&quot;€&quot;\ * &quot;-&quot;??_-;_-@_-"/>
    <numFmt numFmtId="198" formatCode="General\ \ \ \ \ \ "/>
    <numFmt numFmtId="199" formatCode="0.0\ \ \ \ \ \ \ \ "/>
    <numFmt numFmtId="200" formatCode="mmmm\ yyyy"/>
    <numFmt numFmtId="201" formatCode="0.0_ ;\-0.0\ "/>
    <numFmt numFmtId="202" formatCode="0.00_ ;\-0.00\ "/>
    <numFmt numFmtId="203" formatCode="#,##0.00000"/>
    <numFmt numFmtId="204" formatCode="0.00000"/>
    <numFmt numFmtId="205" formatCode="#,##0_ ;\-#,##0\ "/>
    <numFmt numFmtId="206" formatCode="_-* #,##0.00\ _S_k_-;\-* #,##0.00\ _S_k_-;_-* \-??\ _S_k_-;_-@_-"/>
    <numFmt numFmtId="207" formatCode="#,##0.000"/>
    <numFmt numFmtId="208" formatCode="0.000"/>
    <numFmt numFmtId="209" formatCode="#\ ###\ ##0_-;\-#\ ###\ ##0_-;_-0_-;_-@_ "/>
    <numFmt numFmtId="210" formatCode="#\ ##0_-;\-#\ ##0_-;_-0_-;_-@_ "/>
    <numFmt numFmtId="211" formatCode="0.0%"/>
    <numFmt numFmtId="212" formatCode="mm\-yy"/>
    <numFmt numFmtId="213" formatCode="\+\ 0.0;\-\ 0.0"/>
    <numFmt numFmtId="214" formatCode="#,##0.0000"/>
    <numFmt numFmtId="215" formatCode="0.0E+00"/>
    <numFmt numFmtId="216" formatCode="#,##0.0_ ;[Red]\-#,##0.0\ "/>
    <numFmt numFmtId="217" formatCode="0_ ;[Red]\-0\ "/>
    <numFmt numFmtId="218" formatCode="#,##0_ ;[Red]\-#,##0\ "/>
    <numFmt numFmtId="219" formatCode="0.0000E+00"/>
  </numFmts>
  <fonts count="326"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color theme="1"/>
      <name val="Constantia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b/>
      <sz val="9"/>
      <color rgb="FF13B5EA"/>
      <name val="Constantia"/>
      <family val="1"/>
      <charset val="238"/>
    </font>
    <font>
      <sz val="9"/>
      <name val="Constantia"/>
      <family val="1"/>
      <charset val="238"/>
    </font>
    <font>
      <b/>
      <sz val="9"/>
      <name val="Constantia"/>
      <family val="1"/>
      <charset val="238"/>
    </font>
    <font>
      <i/>
      <sz val="9"/>
      <name val="Constantia"/>
      <family val="1"/>
      <charset val="238"/>
    </font>
    <font>
      <sz val="10"/>
      <name val="Arial"/>
      <family val="2"/>
    </font>
    <font>
      <sz val="10"/>
      <name val="Times New Roman"/>
      <family val="1"/>
    </font>
    <font>
      <sz val="9"/>
      <name val="Times New Roman"/>
      <family val="1"/>
    </font>
    <font>
      <sz val="10"/>
      <color indexed="12"/>
      <name val="MS Sans Serif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1"/>
      <color indexed="63"/>
      <name val="Calibri"/>
      <family val="2"/>
    </font>
    <font>
      <b/>
      <sz val="11"/>
      <color indexed="52"/>
      <name val="Calibri"/>
      <family val="2"/>
    </font>
    <font>
      <sz val="10"/>
      <name val="Arial CE"/>
      <family val="2"/>
      <charset val="238"/>
    </font>
    <font>
      <sz val="12"/>
      <name val="Times New Roman"/>
      <family val="1"/>
    </font>
    <font>
      <sz val="10"/>
      <name val="times new roman"/>
      <family val="1"/>
      <charset val="238"/>
    </font>
    <font>
      <b/>
      <sz val="9"/>
      <name val="Arial"/>
      <family val="2"/>
    </font>
    <font>
      <sz val="9"/>
      <name val="Tms Rmn"/>
    </font>
    <font>
      <sz val="11"/>
      <color indexed="62"/>
      <name val="Calibri"/>
      <family val="2"/>
    </font>
    <font>
      <b/>
      <sz val="11"/>
      <color indexed="8"/>
      <name val="Calibri"/>
      <family val="2"/>
    </font>
    <font>
      <i/>
      <sz val="11"/>
      <color indexed="23"/>
      <name val="Calibri"/>
      <family val="2"/>
    </font>
    <font>
      <sz val="12"/>
      <name val="Helv"/>
    </font>
    <font>
      <sz val="18"/>
      <name val="Arial"/>
      <family val="2"/>
    </font>
    <font>
      <sz val="12"/>
      <name val="Arial"/>
      <family val="2"/>
    </font>
    <font>
      <sz val="8"/>
      <name val="Arial"/>
      <family val="2"/>
    </font>
    <font>
      <sz val="10"/>
      <color indexed="24"/>
      <name val="Arial"/>
      <family val="2"/>
    </font>
    <font>
      <sz val="11"/>
      <name val="Arial CE"/>
      <family val="2"/>
      <charset val="238"/>
    </font>
    <font>
      <sz val="14"/>
      <name val="Helv"/>
    </font>
    <font>
      <sz val="11"/>
      <color indexed="17"/>
      <name val="Calibri"/>
      <family val="2"/>
    </font>
    <font>
      <b/>
      <sz val="8"/>
      <name val="Arial"/>
      <family val="2"/>
    </font>
    <font>
      <b/>
      <sz val="12"/>
      <name val="Arial"/>
      <family val="2"/>
    </font>
    <font>
      <b/>
      <sz val="18"/>
      <name val="Arial"/>
      <family val="2"/>
      <charset val="238"/>
    </font>
    <font>
      <b/>
      <sz val="12"/>
      <name val="Arial"/>
      <family val="2"/>
      <charset val="238"/>
    </font>
    <font>
      <u/>
      <sz val="10"/>
      <color indexed="12"/>
      <name val="Arial"/>
      <family val="2"/>
    </font>
    <font>
      <u/>
      <sz val="10"/>
      <color indexed="12"/>
      <name val="Arial"/>
      <family val="2"/>
      <charset val="238"/>
    </font>
    <font>
      <b/>
      <sz val="10"/>
      <name val="Arial"/>
      <family val="2"/>
    </font>
    <font>
      <sz val="10"/>
      <name val="Arial Cyr"/>
      <charset val="204"/>
    </font>
    <font>
      <u/>
      <sz val="10"/>
      <color indexed="12"/>
      <name val="MS Sans Serif"/>
      <family val="2"/>
      <charset val="238"/>
    </font>
    <font>
      <u/>
      <sz val="10"/>
      <color indexed="36"/>
      <name val="MS Sans Serif"/>
      <family val="2"/>
      <charset val="238"/>
    </font>
    <font>
      <sz val="10"/>
      <name val="Arial CE"/>
      <family val="2"/>
      <charset val="238"/>
    </font>
    <font>
      <sz val="10"/>
      <color indexed="8"/>
      <name val="MS Sans Serif"/>
      <family val="2"/>
    </font>
    <font>
      <sz val="9"/>
      <name val="arial"/>
      <family val="2"/>
    </font>
    <font>
      <sz val="10"/>
      <name val="Courier"/>
      <family val="3"/>
    </font>
    <font>
      <b/>
      <i/>
      <sz val="16"/>
      <name val="Helv"/>
    </font>
    <font>
      <sz val="12"/>
      <name val="Tms Rmn"/>
    </font>
    <font>
      <sz val="10"/>
      <name val="Tms Rmn"/>
    </font>
    <font>
      <sz val="10"/>
      <color indexed="8"/>
      <name val="Arial Narrow"/>
      <family val="2"/>
    </font>
    <font>
      <sz val="10"/>
      <color indexed="8"/>
      <name val="Arial"/>
      <family val="2"/>
    </font>
    <font>
      <sz val="11"/>
      <color indexed="8"/>
      <name val="Arial Narrow"/>
      <family val="2"/>
      <charset val="238"/>
    </font>
    <font>
      <sz val="11"/>
      <name val="Arial"/>
      <family val="2"/>
    </font>
    <font>
      <sz val="11"/>
      <name val="Arial"/>
      <family val="2"/>
      <charset val="238"/>
    </font>
    <font>
      <sz val="11"/>
      <color indexed="8"/>
      <name val="Calibri"/>
      <family val="2"/>
      <charset val="238"/>
    </font>
    <font>
      <i/>
      <sz val="10"/>
      <name val="Helv"/>
    </font>
    <font>
      <b/>
      <sz val="11"/>
      <color indexed="18"/>
      <name val="Arial"/>
      <family val="2"/>
    </font>
    <font>
      <b/>
      <sz val="10"/>
      <color indexed="8"/>
      <name val="Arial"/>
      <family val="2"/>
    </font>
    <font>
      <b/>
      <i/>
      <sz val="11"/>
      <color indexed="18"/>
      <name val="Arial"/>
      <family val="2"/>
    </font>
    <font>
      <sz val="11"/>
      <color indexed="9"/>
      <name val="Arial"/>
      <family val="2"/>
    </font>
    <font>
      <b/>
      <sz val="11"/>
      <color indexed="9"/>
      <name val="Arial"/>
      <family val="2"/>
    </font>
    <font>
      <b/>
      <sz val="11"/>
      <color indexed="18"/>
      <name val="Arial Narrow"/>
      <family val="2"/>
    </font>
    <font>
      <b/>
      <sz val="11"/>
      <color indexed="9"/>
      <name val="Arial Narrow"/>
      <family val="2"/>
    </font>
    <font>
      <sz val="11"/>
      <color indexed="18"/>
      <name val="Arial"/>
      <family val="2"/>
    </font>
    <font>
      <sz val="10"/>
      <color indexed="56"/>
      <name val="Arial"/>
      <family val="2"/>
    </font>
    <font>
      <sz val="10"/>
      <color indexed="18"/>
      <name val="Arial"/>
      <family val="2"/>
    </font>
    <font>
      <sz val="10"/>
      <color indexed="9"/>
      <name val="Arial"/>
      <family val="2"/>
    </font>
    <font>
      <sz val="12"/>
      <color indexed="9"/>
      <name val="MS Sans Serif"/>
      <family val="2"/>
    </font>
    <font>
      <sz val="12"/>
      <color indexed="56"/>
      <name val="Arial"/>
      <family val="2"/>
    </font>
    <font>
      <i/>
      <sz val="12"/>
      <color indexed="56"/>
      <name val="Arial"/>
      <family val="2"/>
    </font>
    <font>
      <sz val="11"/>
      <color indexed="56"/>
      <name val="Arial"/>
      <family val="2"/>
    </font>
    <font>
      <i/>
      <sz val="11"/>
      <color indexed="56"/>
      <name val="Arial"/>
      <family val="2"/>
    </font>
    <font>
      <b/>
      <sz val="11"/>
      <color indexed="56"/>
      <name val="Arial"/>
      <family val="2"/>
    </font>
    <font>
      <b/>
      <i/>
      <sz val="11"/>
      <color indexed="56"/>
      <name val="Arial"/>
      <family val="2"/>
    </font>
    <font>
      <sz val="18"/>
      <color indexed="18"/>
      <name val="Arial"/>
      <family val="2"/>
    </font>
    <font>
      <sz val="11"/>
      <color indexed="10"/>
      <name val="Arial"/>
      <family val="2"/>
    </font>
    <font>
      <sz val="11"/>
      <color indexed="20"/>
      <name val="Calibri"/>
      <family val="2"/>
    </font>
    <font>
      <sz val="6.5"/>
      <name val="Univers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52"/>
      <name val="Calibri"/>
      <family val="2"/>
    </font>
    <font>
      <sz val="11"/>
      <color indexed="10"/>
      <name val="Calibri"/>
      <family val="2"/>
    </font>
    <font>
      <b/>
      <sz val="10"/>
      <name val="Times New Roman"/>
      <family val="1"/>
    </font>
    <font>
      <b/>
      <i/>
      <sz val="10"/>
      <name val="Times New Roman"/>
      <family val="1"/>
    </font>
    <font>
      <sz val="12"/>
      <name val="Comic Sans MS"/>
      <family val="4"/>
    </font>
    <font>
      <sz val="10"/>
      <name val="Comic Sans MS"/>
      <family val="4"/>
    </font>
    <font>
      <vertAlign val="superscript"/>
      <sz val="9"/>
      <color indexed="8"/>
      <name val="Times New Roman"/>
      <family val="1"/>
    </font>
    <font>
      <sz val="9"/>
      <color indexed="8"/>
      <name val="Times New Roman"/>
      <family val="1"/>
    </font>
    <font>
      <b/>
      <sz val="18"/>
      <name val="Arial CE"/>
      <family val="2"/>
      <charset val="238"/>
    </font>
    <font>
      <b/>
      <sz val="12"/>
      <name val="Arial CE"/>
      <family val="2"/>
      <charset val="238"/>
    </font>
    <font>
      <b/>
      <sz val="11"/>
      <color indexed="9"/>
      <name val="Calibri"/>
      <family val="2"/>
    </font>
    <font>
      <sz val="12"/>
      <name val="Times New Roman"/>
      <family val="1"/>
      <charset val="238"/>
    </font>
    <font>
      <sz val="12"/>
      <color indexed="24"/>
      <name val="Modern"/>
      <family val="3"/>
      <charset val="255"/>
    </font>
    <font>
      <b/>
      <sz val="18"/>
      <color indexed="24"/>
      <name val="Modern"/>
      <family val="3"/>
      <charset val="255"/>
    </font>
    <font>
      <b/>
      <sz val="12"/>
      <color indexed="24"/>
      <name val="Modern"/>
      <family val="3"/>
      <charset val="255"/>
    </font>
    <font>
      <sz val="8.5"/>
      <name val="MS Sans Serif"/>
      <family val="2"/>
    </font>
    <font>
      <b/>
      <sz val="10"/>
      <color rgb="FF13B5EA"/>
      <name val="Constantia"/>
      <family val="1"/>
      <charset val="238"/>
    </font>
    <font>
      <sz val="11"/>
      <color theme="1"/>
      <name val="Calibri"/>
      <family val="2"/>
      <charset val="238"/>
      <scheme val="minor"/>
    </font>
    <font>
      <b/>
      <sz val="10"/>
      <color theme="1"/>
      <name val="Constantia"/>
      <family val="1"/>
      <charset val="238"/>
    </font>
    <font>
      <sz val="10"/>
      <color theme="1"/>
      <name val="Constantia"/>
      <family val="1"/>
      <charset val="238"/>
    </font>
    <font>
      <b/>
      <sz val="10"/>
      <color theme="0"/>
      <name val="Constantia"/>
      <family val="1"/>
      <charset val="238"/>
    </font>
    <font>
      <sz val="9"/>
      <color rgb="FF13B5EA"/>
      <name val="Constantia"/>
      <family val="1"/>
      <charset val="238"/>
    </font>
    <font>
      <sz val="9"/>
      <color theme="1"/>
      <name val="Constantia"/>
      <family val="1"/>
      <charset val="238"/>
    </font>
    <font>
      <i/>
      <sz val="9"/>
      <color theme="1"/>
      <name val="Constantia"/>
      <family val="1"/>
      <charset val="238"/>
    </font>
    <font>
      <sz val="10"/>
      <name val="Constantia"/>
      <family val="1"/>
      <charset val="238"/>
    </font>
    <font>
      <sz val="11"/>
      <color theme="1"/>
      <name val="Arial Narrow"/>
      <family val="2"/>
      <charset val="238"/>
    </font>
    <font>
      <i/>
      <sz val="8"/>
      <color rgb="FF13B5EA"/>
      <name val="Constantia"/>
      <family val="1"/>
      <charset val="238"/>
    </font>
    <font>
      <b/>
      <sz val="9"/>
      <color theme="0"/>
      <name val="Constantia"/>
      <family val="1"/>
      <charset val="238"/>
    </font>
    <font>
      <b/>
      <sz val="9"/>
      <color theme="1"/>
      <name val="Constantia"/>
      <family val="1"/>
      <charset val="238"/>
    </font>
    <font>
      <b/>
      <sz val="9"/>
      <color rgb="FF13B5EA"/>
      <name val="Calibri"/>
      <family val="2"/>
      <charset val="238"/>
    </font>
    <font>
      <sz val="9"/>
      <color rgb="FFFFFFFF"/>
      <name val="Constantia"/>
      <family val="1"/>
      <charset val="238"/>
    </font>
    <font>
      <b/>
      <sz val="9"/>
      <color rgb="FFFFFFFF"/>
      <name val="Constantia"/>
      <family val="1"/>
      <charset val="238"/>
    </font>
    <font>
      <b/>
      <sz val="9"/>
      <color rgb="FF000000"/>
      <name val="Constantia"/>
      <family val="1"/>
      <charset val="238"/>
    </font>
    <font>
      <sz val="9"/>
      <color rgb="FF000000"/>
      <name val="Constantia"/>
      <family val="1"/>
      <charset val="238"/>
    </font>
    <font>
      <sz val="11"/>
      <name val="Arial"/>
      <family val="2"/>
      <charset val="238"/>
    </font>
    <font>
      <sz val="11"/>
      <color theme="1"/>
      <name val="Constantia"/>
      <family val="1"/>
      <charset val="238"/>
    </font>
    <font>
      <i/>
      <sz val="8"/>
      <name val="Constantia"/>
      <family val="1"/>
      <charset val="238"/>
    </font>
    <font>
      <i/>
      <sz val="9"/>
      <color rgb="FF13B5EA"/>
      <name val="Constantia"/>
      <family val="1"/>
      <charset val="238"/>
    </font>
    <font>
      <sz val="10"/>
      <color rgb="FF13B5EA"/>
      <name val="Arial"/>
      <family val="2"/>
      <charset val="238"/>
    </font>
    <font>
      <b/>
      <sz val="10"/>
      <name val="Constantia"/>
      <family val="1"/>
      <charset val="238"/>
    </font>
    <font>
      <b/>
      <sz val="10"/>
      <name val="Arial"/>
      <family val="2"/>
      <charset val="238"/>
    </font>
    <font>
      <sz val="10"/>
      <name val="Arial CE"/>
      <charset val="238"/>
    </font>
    <font>
      <b/>
      <sz val="18"/>
      <name val="Arial CE"/>
      <charset val="238"/>
    </font>
    <font>
      <b/>
      <sz val="12"/>
      <name val="Arial CE"/>
      <charset val="238"/>
    </font>
    <font>
      <sz val="11"/>
      <color theme="1"/>
      <name val="Arial Narrow"/>
      <family val="2"/>
    </font>
    <font>
      <sz val="11"/>
      <color theme="1"/>
      <name val="Calibri"/>
      <family val="2"/>
      <scheme val="minor"/>
    </font>
    <font>
      <sz val="10"/>
      <color theme="1"/>
      <name val="Arial Narrow"/>
      <family val="2"/>
    </font>
    <font>
      <u/>
      <sz val="10"/>
      <color theme="10"/>
      <name val="Arial Narrow"/>
      <family val="2"/>
    </font>
    <font>
      <sz val="11"/>
      <name val="Times New Roman"/>
      <family val="1"/>
      <charset val="238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b/>
      <sz val="11"/>
      <color rgb="FFFA7D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0"/>
      <name val="MS Sans Serif"/>
      <family val="2"/>
    </font>
    <font>
      <b/>
      <sz val="9"/>
      <color indexed="8"/>
      <name val="Constantia"/>
      <family val="1"/>
      <charset val="238"/>
    </font>
    <font>
      <sz val="9"/>
      <color indexed="8"/>
      <name val="Constantia"/>
      <family val="1"/>
      <charset val="238"/>
    </font>
    <font>
      <sz val="10"/>
      <color rgb="FF13B5EA"/>
      <name val="Constantia"/>
      <family val="1"/>
      <charset val="238"/>
    </font>
    <font>
      <b/>
      <sz val="8"/>
      <color rgb="FF13B5EA"/>
      <name val="Constantia"/>
      <family val="1"/>
      <charset val="238"/>
    </font>
    <font>
      <b/>
      <sz val="11"/>
      <color rgb="FF13B5EA"/>
      <name val="Constantia"/>
      <family val="1"/>
      <charset val="238"/>
    </font>
    <font>
      <b/>
      <sz val="10"/>
      <color rgb="FF000000"/>
      <name val="Arial Narrow"/>
      <family val="2"/>
      <charset val="238"/>
    </font>
    <font>
      <b/>
      <sz val="10"/>
      <color theme="4"/>
      <name val="Arial Narrow"/>
      <family val="2"/>
      <charset val="238"/>
    </font>
    <font>
      <sz val="8"/>
      <color theme="1"/>
      <name val="Constantia"/>
      <family val="1"/>
      <charset val="238"/>
    </font>
    <font>
      <b/>
      <sz val="10"/>
      <color rgb="FF13B5EA"/>
      <name val="Arial"/>
      <family val="2"/>
      <charset val="238"/>
    </font>
    <font>
      <i/>
      <sz val="10"/>
      <name val="Arial"/>
      <family val="2"/>
      <charset val="238"/>
    </font>
    <font>
      <sz val="9"/>
      <name val="Calibri"/>
      <family val="2"/>
      <charset val="238"/>
    </font>
    <font>
      <i/>
      <sz val="10"/>
      <color rgb="FF13B5EA"/>
      <name val="Constantia"/>
      <family val="1"/>
      <charset val="238"/>
    </font>
    <font>
      <b/>
      <sz val="11"/>
      <color rgb="FF2C9ADC"/>
      <name val="Arial Narrow"/>
      <family val="2"/>
      <charset val="238"/>
    </font>
    <font>
      <sz val="11"/>
      <color rgb="FF000000"/>
      <name val="Arial Narrow"/>
      <family val="2"/>
      <charset val="238"/>
    </font>
    <font>
      <b/>
      <sz val="11"/>
      <color rgb="FF000000"/>
      <name val="Arial Narrow"/>
      <family val="2"/>
      <charset val="238"/>
    </font>
    <font>
      <i/>
      <sz val="9"/>
      <color rgb="FF000000"/>
      <name val="Arial Narrow"/>
      <family val="2"/>
      <charset val="238"/>
    </font>
    <font>
      <sz val="11"/>
      <name val="Calibri"/>
      <family val="2"/>
      <charset val="238"/>
    </font>
    <font>
      <b/>
      <sz val="11"/>
      <color theme="1"/>
      <name val="Arial Narrow"/>
      <family val="2"/>
      <charset val="238"/>
    </font>
    <font>
      <sz val="11"/>
      <name val="Arial Narrow"/>
      <family val="2"/>
      <charset val="238"/>
    </font>
    <font>
      <i/>
      <sz val="11"/>
      <name val="Arial Narrow"/>
      <family val="2"/>
      <charset val="238"/>
    </font>
    <font>
      <i/>
      <sz val="9"/>
      <color theme="1"/>
      <name val="Arial Narrow"/>
      <family val="2"/>
      <charset val="238"/>
    </font>
    <font>
      <b/>
      <sz val="15"/>
      <color theme="3"/>
      <name val="Constantia"/>
      <family val="2"/>
      <charset val="238"/>
    </font>
    <font>
      <b/>
      <sz val="13"/>
      <color theme="3"/>
      <name val="Constantia"/>
      <family val="2"/>
      <charset val="238"/>
    </font>
    <font>
      <b/>
      <sz val="11"/>
      <color theme="3"/>
      <name val="Constantia"/>
      <family val="2"/>
      <charset val="238"/>
    </font>
    <font>
      <sz val="10"/>
      <color rgb="FF9C0006"/>
      <name val="Constantia"/>
      <family val="2"/>
      <charset val="238"/>
    </font>
    <font>
      <sz val="10"/>
      <color rgb="FF9C6500"/>
      <name val="Constantia"/>
      <family val="2"/>
      <charset val="238"/>
    </font>
    <font>
      <sz val="10"/>
      <color rgb="FF3F3F76"/>
      <name val="Constantia"/>
      <family val="2"/>
      <charset val="238"/>
    </font>
    <font>
      <b/>
      <sz val="10"/>
      <color rgb="FF3F3F3F"/>
      <name val="Constantia"/>
      <family val="2"/>
      <charset val="238"/>
    </font>
    <font>
      <b/>
      <sz val="10"/>
      <color rgb="FFFA7D00"/>
      <name val="Constantia"/>
      <family val="2"/>
      <charset val="238"/>
    </font>
    <font>
      <sz val="10"/>
      <color rgb="FFFA7D00"/>
      <name val="Constantia"/>
      <family val="2"/>
      <charset val="238"/>
    </font>
    <font>
      <b/>
      <sz val="10"/>
      <color theme="0"/>
      <name val="Constantia"/>
      <family val="2"/>
      <charset val="238"/>
    </font>
    <font>
      <i/>
      <sz val="10"/>
      <color rgb="FF7F7F7F"/>
      <name val="Constantia"/>
      <family val="2"/>
      <charset val="238"/>
    </font>
    <font>
      <sz val="10"/>
      <color theme="0"/>
      <name val="Constantia"/>
      <family val="2"/>
      <charset val="238"/>
    </font>
    <font>
      <sz val="10"/>
      <color rgb="FF006100"/>
      <name val="Constantia"/>
      <family val="2"/>
      <charset val="238"/>
    </font>
    <font>
      <sz val="10"/>
      <color rgb="FFFF0000"/>
      <name val="Constantia"/>
      <family val="2"/>
      <charset val="238"/>
    </font>
    <font>
      <b/>
      <sz val="10"/>
      <color theme="1"/>
      <name val="Constantia"/>
      <family val="2"/>
      <charset val="238"/>
    </font>
    <font>
      <sz val="10"/>
      <color theme="1"/>
      <name val="Arial"/>
      <family val="2"/>
    </font>
    <font>
      <sz val="7.5"/>
      <name val="Century Schoolbook"/>
      <family val="1"/>
    </font>
    <font>
      <sz val="9"/>
      <name val="Times"/>
      <family val="1"/>
    </font>
    <font>
      <sz val="10"/>
      <name val="Times"/>
      <family val="1"/>
    </font>
    <font>
      <i/>
      <sz val="8"/>
      <name val="Tms Rmn"/>
    </font>
    <font>
      <b/>
      <sz val="8"/>
      <name val="Tms Rmn"/>
    </font>
    <font>
      <u/>
      <sz val="9"/>
      <color theme="10"/>
      <name val="Times"/>
      <family val="1"/>
    </font>
    <font>
      <sz val="9"/>
      <color theme="1"/>
      <name val="Times New Roman"/>
      <family val="2"/>
    </font>
    <font>
      <b/>
      <sz val="8.5"/>
      <name val="Arial"/>
      <family val="2"/>
    </font>
    <font>
      <sz val="10"/>
      <color theme="0"/>
      <name val="Calibri"/>
      <family val="2"/>
      <charset val="238"/>
    </font>
    <font>
      <b/>
      <sz val="10"/>
      <color theme="0"/>
      <name val="Calibri"/>
      <family val="2"/>
      <charset val="238"/>
    </font>
    <font>
      <sz val="10"/>
      <color theme="1"/>
      <name val="Calibri"/>
      <family val="2"/>
      <charset val="238"/>
    </font>
    <font>
      <sz val="12"/>
      <name val="Garamond"/>
      <family val="1"/>
      <charset val="238"/>
    </font>
    <font>
      <sz val="10"/>
      <name val="MS Sans Serif"/>
      <family val="2"/>
      <charset val="238"/>
    </font>
    <font>
      <sz val="11"/>
      <color indexed="60"/>
      <name val="Calibri"/>
      <family val="2"/>
    </font>
    <font>
      <b/>
      <sz val="10"/>
      <color theme="1"/>
      <name val="Calibri"/>
      <family val="2"/>
      <charset val="238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</font>
    <font>
      <b/>
      <sz val="13"/>
      <color theme="3"/>
      <name val="Calibri"/>
      <family val="2"/>
      <charset val="238"/>
    </font>
    <font>
      <b/>
      <sz val="11"/>
      <color theme="3"/>
      <name val="Calibri"/>
      <family val="2"/>
      <charset val="238"/>
    </font>
    <font>
      <sz val="10"/>
      <color rgb="FF006100"/>
      <name val="Calibri"/>
      <family val="2"/>
      <charset val="238"/>
    </font>
    <font>
      <sz val="10"/>
      <color rgb="FF9C0006"/>
      <name val="Calibri"/>
      <family val="2"/>
      <charset val="238"/>
    </font>
    <font>
      <sz val="10"/>
      <color rgb="FF9C6500"/>
      <name val="Calibri"/>
      <family val="2"/>
      <charset val="238"/>
    </font>
    <font>
      <sz val="10"/>
      <color rgb="FF3F3F76"/>
      <name val="Calibri"/>
      <family val="2"/>
      <charset val="238"/>
    </font>
    <font>
      <b/>
      <sz val="10"/>
      <color rgb="FF3F3F3F"/>
      <name val="Calibri"/>
      <family val="2"/>
      <charset val="238"/>
    </font>
    <font>
      <b/>
      <sz val="10"/>
      <color rgb="FFFA7D00"/>
      <name val="Calibri"/>
      <family val="2"/>
      <charset val="238"/>
    </font>
    <font>
      <sz val="10"/>
      <color rgb="FFFA7D00"/>
      <name val="Calibri"/>
      <family val="2"/>
      <charset val="238"/>
    </font>
    <font>
      <sz val="10"/>
      <color rgb="FFFF0000"/>
      <name val="Calibri"/>
      <family val="2"/>
      <charset val="238"/>
    </font>
    <font>
      <i/>
      <sz val="10"/>
      <color rgb="FF7F7F7F"/>
      <name val="Calibri"/>
      <family val="2"/>
      <charset val="238"/>
    </font>
    <font>
      <b/>
      <sz val="18"/>
      <color indexed="56"/>
      <name val="Cambria"/>
      <family val="2"/>
      <charset val="238"/>
    </font>
    <font>
      <sz val="10"/>
      <name val="Helv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b/>
      <sz val="18"/>
      <color indexed="62"/>
      <name val="Cambria"/>
      <family val="2"/>
    </font>
    <font>
      <sz val="11"/>
      <color indexed="9"/>
      <name val="Calibri"/>
      <family val="2"/>
      <charset val="238"/>
    </font>
    <font>
      <b/>
      <sz val="11"/>
      <color indexed="8"/>
      <name val="Calibri"/>
      <family val="2"/>
      <charset val="238"/>
    </font>
    <font>
      <sz val="11"/>
      <color indexed="20"/>
      <name val="Calibri"/>
      <family val="2"/>
      <charset val="238"/>
    </font>
    <font>
      <b/>
      <sz val="11"/>
      <color indexed="9"/>
      <name val="Calibri"/>
      <family val="2"/>
      <charset val="238"/>
    </font>
    <font>
      <sz val="11"/>
      <color indexed="60"/>
      <name val="Calibri"/>
      <family val="2"/>
      <charset val="238"/>
    </font>
    <font>
      <sz val="11"/>
      <color indexed="52"/>
      <name val="Calibri"/>
      <family val="2"/>
      <charset val="238"/>
    </font>
    <font>
      <sz val="11"/>
      <color indexed="17"/>
      <name val="Calibri"/>
      <family val="2"/>
      <charset val="238"/>
    </font>
    <font>
      <sz val="11"/>
      <color indexed="10"/>
      <name val="Calibri"/>
      <family val="2"/>
      <charset val="238"/>
    </font>
    <font>
      <i/>
      <sz val="11"/>
      <color indexed="23"/>
      <name val="Calibri"/>
      <family val="2"/>
      <charset val="238"/>
    </font>
    <font>
      <b/>
      <sz val="9"/>
      <color rgb="FF00B0F0"/>
      <name val="Constantia"/>
      <family val="1"/>
      <charset val="238"/>
    </font>
    <font>
      <sz val="11"/>
      <color theme="0"/>
      <name val="Constantia"/>
      <family val="1"/>
      <charset val="238"/>
    </font>
    <font>
      <b/>
      <sz val="11"/>
      <color theme="0"/>
      <name val="Constantia"/>
      <family val="1"/>
      <charset val="238"/>
    </font>
    <font>
      <sz val="9"/>
      <color theme="0"/>
      <name val="Constantia"/>
      <family val="1"/>
      <charset val="238"/>
    </font>
    <font>
      <sz val="8"/>
      <color rgb="FF3C3C3B"/>
      <name val="Constantia"/>
      <family val="1"/>
      <charset val="238"/>
    </font>
    <font>
      <sz val="8"/>
      <name val="Constantia"/>
      <family val="1"/>
      <charset val="238"/>
    </font>
    <font>
      <sz val="9"/>
      <color theme="1"/>
      <name val="Constantia"/>
      <family val="1"/>
    </font>
    <font>
      <sz val="11"/>
      <color rgb="FFFF0000"/>
      <name val="Calibri"/>
      <family val="2"/>
      <charset val="238"/>
      <scheme val="minor"/>
    </font>
    <font>
      <i/>
      <sz val="8"/>
      <color theme="1"/>
      <name val="Calibri"/>
      <family val="2"/>
      <charset val="238"/>
      <scheme val="minor"/>
    </font>
    <font>
      <b/>
      <sz val="8"/>
      <color theme="1"/>
      <name val="Constantia"/>
      <family val="1"/>
      <charset val="238"/>
    </font>
    <font>
      <vertAlign val="subscript"/>
      <sz val="9"/>
      <color indexed="8"/>
      <name val="Constantia"/>
      <family val="1"/>
      <charset val="238"/>
    </font>
    <font>
      <i/>
      <sz val="8"/>
      <color theme="1"/>
      <name val="Constantia"/>
      <family val="1"/>
      <charset val="238"/>
    </font>
    <font>
      <i/>
      <sz val="11"/>
      <color theme="1"/>
      <name val="Constantia"/>
      <family val="1"/>
      <charset val="238"/>
    </font>
    <font>
      <sz val="11"/>
      <color rgb="FFFF0000"/>
      <name val="Constantia"/>
      <family val="1"/>
      <charset val="238"/>
    </font>
    <font>
      <i/>
      <sz val="9"/>
      <color rgb="FF000000"/>
      <name val="Constantia"/>
      <family val="1"/>
      <charset val="238"/>
    </font>
    <font>
      <b/>
      <i/>
      <sz val="9"/>
      <color rgb="FF13B5EA"/>
      <name val="Constantia"/>
      <family val="1"/>
      <charset val="238"/>
    </font>
    <font>
      <i/>
      <sz val="8"/>
      <color rgb="FF000000"/>
      <name val="Constantia"/>
      <family val="1"/>
      <charset val="238"/>
    </font>
    <font>
      <b/>
      <sz val="8"/>
      <color theme="3"/>
      <name val="Constantia"/>
      <family val="1"/>
      <charset val="238"/>
    </font>
    <font>
      <sz val="11"/>
      <name val="Constantia"/>
      <family val="1"/>
      <charset val="238"/>
    </font>
    <font>
      <u/>
      <sz val="10"/>
      <color theme="10"/>
      <name val="Arial"/>
      <family val="2"/>
      <charset val="238"/>
    </font>
    <font>
      <b/>
      <sz val="16"/>
      <color rgb="FF13B5EA"/>
      <name val="Constantia"/>
      <family val="1"/>
      <charset val="238"/>
    </font>
    <font>
      <b/>
      <i/>
      <sz val="9"/>
      <color rgb="FFFFFFFF"/>
      <name val="Constantia"/>
      <family val="1"/>
      <charset val="238"/>
    </font>
    <font>
      <sz val="10"/>
      <color theme="1"/>
      <name val="Calibri"/>
      <family val="2"/>
      <charset val="238"/>
      <scheme val="minor"/>
    </font>
    <font>
      <i/>
      <sz val="8"/>
      <color rgb="FF00B0F0"/>
      <name val="Constantia"/>
      <family val="1"/>
      <charset val="238"/>
    </font>
    <font>
      <sz val="11"/>
      <name val="Calibri"/>
      <family val="2"/>
      <charset val="238"/>
      <scheme val="minor"/>
    </font>
    <font>
      <sz val="10"/>
      <color theme="0" tint="-0.14999847407452621"/>
      <name val="Constantia"/>
      <family val="1"/>
      <charset val="238"/>
    </font>
    <font>
      <sz val="9"/>
      <color theme="1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b/>
      <sz val="10"/>
      <color rgb="FFFFFFFF"/>
      <name val="Constantia"/>
      <family val="1"/>
      <charset val="238"/>
    </font>
    <font>
      <sz val="10"/>
      <color rgb="FF000000"/>
      <name val="Constantia"/>
      <family val="1"/>
      <charset val="238"/>
    </font>
    <font>
      <i/>
      <sz val="10"/>
      <name val="Constantia"/>
      <family val="1"/>
      <charset val="238"/>
    </font>
    <font>
      <i/>
      <sz val="10"/>
      <color rgb="FF000000"/>
      <name val="Constantia"/>
      <family val="1"/>
      <charset val="238"/>
    </font>
    <font>
      <i/>
      <sz val="10"/>
      <color rgb="FF00B0F0"/>
      <name val="Constantia"/>
      <family val="1"/>
      <charset val="238"/>
    </font>
    <font>
      <sz val="9"/>
      <color rgb="FF00B0F0"/>
      <name val="Constantia"/>
      <family val="1"/>
      <charset val="238"/>
    </font>
    <font>
      <i/>
      <sz val="9"/>
      <color rgb="FF00B0F0"/>
      <name val="Constantia"/>
      <family val="1"/>
      <charset val="238"/>
    </font>
    <font>
      <b/>
      <sz val="10"/>
      <color rgb="FF13B5EB"/>
      <name val="Constantia"/>
      <family val="1"/>
      <charset val="238"/>
    </font>
    <font>
      <sz val="10"/>
      <color rgb="FFFFFFFF"/>
      <name val="Constantia"/>
      <family val="1"/>
      <charset val="238"/>
    </font>
    <font>
      <b/>
      <sz val="10"/>
      <color rgb="FF00B0F0"/>
      <name val="Constantia"/>
      <family val="1"/>
      <charset val="238"/>
    </font>
    <font>
      <sz val="7"/>
      <color rgb="FF000000"/>
      <name val="Times New Roman"/>
      <family val="1"/>
      <charset val="238"/>
    </font>
    <font>
      <sz val="10"/>
      <color theme="0"/>
      <name val="Constantia"/>
      <family val="1"/>
      <charset val="238"/>
    </font>
    <font>
      <i/>
      <sz val="9"/>
      <color rgb="FF13B5EE"/>
      <name val="Constantia"/>
      <family val="1"/>
      <charset val="238"/>
    </font>
    <font>
      <b/>
      <sz val="9"/>
      <color theme="0"/>
      <name val="Constantia"/>
      <family val="1"/>
    </font>
    <font>
      <b/>
      <sz val="11"/>
      <color rgb="FF7030A0"/>
      <name val="Constantia"/>
      <family val="1"/>
      <charset val="238"/>
    </font>
    <font>
      <b/>
      <sz val="9"/>
      <color rgb="FF00B050"/>
      <name val="Constantia"/>
      <family val="1"/>
      <charset val="238"/>
    </font>
    <font>
      <b/>
      <sz val="11"/>
      <color theme="1"/>
      <name val="Calibri"/>
      <family val="2"/>
      <charset val="238"/>
      <scheme val="minor"/>
    </font>
    <font>
      <i/>
      <sz val="8"/>
      <color rgb="FF13B5EA"/>
      <name val="Constantia"/>
      <family val="1"/>
    </font>
    <font>
      <b/>
      <sz val="9"/>
      <color theme="1"/>
      <name val="Constantia"/>
      <family val="1"/>
    </font>
    <font>
      <b/>
      <sz val="10"/>
      <color rgb="FF13B5EA"/>
      <name val="Constantia"/>
      <family val="1"/>
    </font>
    <font>
      <i/>
      <vertAlign val="superscript"/>
      <sz val="8"/>
      <color rgb="FF00B0F0"/>
      <name val="Constantia"/>
      <family val="1"/>
      <charset val="238"/>
    </font>
    <font>
      <i/>
      <sz val="9"/>
      <color rgb="FF10B5EA"/>
      <name val="Constantia"/>
      <family val="1"/>
      <charset val="238"/>
    </font>
    <font>
      <sz val="9"/>
      <color rgb="FF10B5EA"/>
      <name val="Constantia"/>
      <family val="1"/>
      <charset val="238"/>
    </font>
    <font>
      <u/>
      <sz val="11"/>
      <color theme="10"/>
      <name val="Calibri"/>
      <family val="2"/>
      <charset val="238"/>
      <scheme val="minor"/>
    </font>
    <font>
      <b/>
      <sz val="9"/>
      <name val="Constantia"/>
      <family val="1"/>
    </font>
    <font>
      <sz val="9"/>
      <name val="Constantia"/>
      <family val="1"/>
    </font>
    <font>
      <sz val="8"/>
      <color theme="0"/>
      <name val="Constantia"/>
      <family val="1"/>
    </font>
    <font>
      <sz val="9"/>
      <color theme="0"/>
      <name val="Constantia"/>
      <family val="1"/>
    </font>
    <font>
      <b/>
      <sz val="9"/>
      <color rgb="FF13B5EA"/>
      <name val="Constantia"/>
      <family val="1"/>
    </font>
    <font>
      <sz val="9"/>
      <color rgb="FF13B5EA"/>
      <name val="Constantia"/>
      <family val="1"/>
    </font>
    <font>
      <b/>
      <sz val="10"/>
      <color rgb="FF13B5EA"/>
      <name val="Times New Roman"/>
      <family val="1"/>
      <charset val="238"/>
    </font>
    <font>
      <b/>
      <sz val="9"/>
      <color indexed="81"/>
      <name val="Segoe UI"/>
      <family val="2"/>
      <charset val="238"/>
    </font>
    <font>
      <sz val="9"/>
      <color indexed="81"/>
      <name val="Segoe UI"/>
      <family val="2"/>
      <charset val="238"/>
    </font>
    <font>
      <sz val="6"/>
      <color rgb="FF13B5EA"/>
      <name val="Constantia"/>
      <family val="1"/>
      <charset val="238"/>
    </font>
    <font>
      <i/>
      <sz val="9"/>
      <color theme="1"/>
      <name val="Calibri"/>
      <family val="2"/>
      <charset val="238"/>
      <scheme val="minor"/>
    </font>
    <font>
      <b/>
      <sz val="7"/>
      <color rgb="FF13B5EA"/>
      <name val="Constantia"/>
      <family val="1"/>
      <charset val="238"/>
    </font>
    <font>
      <sz val="10"/>
      <color theme="1"/>
      <name val="Times New Roman"/>
      <family val="1"/>
    </font>
    <font>
      <b/>
      <sz val="9"/>
      <color rgb="FF000000"/>
      <name val="Constantia"/>
      <family val="1"/>
    </font>
    <font>
      <sz val="9"/>
      <color rgb="FF000000"/>
      <name val="Constantia"/>
      <family val="1"/>
    </font>
    <font>
      <b/>
      <sz val="9"/>
      <color rgb="FFFFFFFF"/>
      <name val="Constantia"/>
      <family val="1"/>
    </font>
    <font>
      <b/>
      <sz val="10"/>
      <color rgb="FFFFFFFF"/>
      <name val="Constantia"/>
      <family val="1"/>
    </font>
    <font>
      <i/>
      <sz val="8"/>
      <color rgb="FF13B5EA"/>
      <name val="Calibri"/>
      <family val="2"/>
      <charset val="238"/>
      <scheme val="minor"/>
    </font>
    <font>
      <b/>
      <sz val="10"/>
      <color theme="1"/>
      <name val="Constantia"/>
      <family val="1"/>
    </font>
    <font>
      <b/>
      <sz val="10"/>
      <color rgb="FF000000"/>
      <name val="Constantia"/>
      <family val="1"/>
      <charset val="238"/>
    </font>
    <font>
      <sz val="11"/>
      <color rgb="FF000000"/>
      <name val="Constantia"/>
      <family val="1"/>
      <charset val="238"/>
    </font>
    <font>
      <sz val="10"/>
      <color theme="0"/>
      <name val="Times New Roman"/>
      <family val="1"/>
      <charset val="238"/>
    </font>
    <font>
      <sz val="9"/>
      <color theme="1"/>
      <name val="Times New Roman"/>
      <family val="1"/>
      <charset val="238"/>
    </font>
  </fonts>
  <fills count="89">
    <fill>
      <patternFill patternType="none"/>
    </fill>
    <fill>
      <patternFill patternType="gray125"/>
    </fill>
    <fill>
      <patternFill patternType="solid">
        <fgColor rgb="FF13B5EA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27"/>
        <bgColor indexed="8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6"/>
      </patternFill>
    </fill>
    <fill>
      <patternFill patternType="solid">
        <fgColor indexed="43"/>
        <bgColor indexed="64"/>
      </patternFill>
    </fill>
    <fill>
      <patternFill patternType="solid">
        <fgColor indexed="43"/>
      </patternFill>
    </fill>
    <fill>
      <patternFill patternType="solid">
        <fgColor indexed="10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1"/>
        <bgColor indexed="64"/>
      </patternFill>
    </fill>
    <fill>
      <patternFill patternType="solid">
        <fgColor indexed="50"/>
      </patternFill>
    </fill>
    <fill>
      <patternFill patternType="lightUp">
        <fgColor indexed="54"/>
        <bgColor indexed="41"/>
      </patternFill>
    </fill>
    <fill>
      <patternFill patternType="solid">
        <fgColor indexed="41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1"/>
      </patternFill>
    </fill>
    <fill>
      <patternFill patternType="solid">
        <fgColor indexed="40"/>
      </patternFill>
    </fill>
    <fill>
      <patternFill patternType="solid">
        <fgColor indexed="55"/>
      </patternFill>
    </fill>
    <fill>
      <patternFill patternType="solid">
        <fgColor theme="0"/>
        <bgColor indexed="64"/>
      </patternFill>
    </fill>
    <fill>
      <patternFill patternType="solid">
        <fgColor rgb="FFD2DCE6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FF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23"/>
      </patternFill>
    </fill>
    <fill>
      <patternFill patternType="solid">
        <fgColor indexed="14"/>
      </patternFill>
    </fill>
    <fill>
      <patternFill patternType="solid">
        <fgColor indexed="5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/>
        <bgColor theme="0"/>
      </patternFill>
    </fill>
    <fill>
      <patternFill patternType="solid">
        <fgColor rgb="FF585858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13B5EA"/>
        <bgColor rgb="FF00FFFF"/>
      </patternFill>
    </fill>
    <fill>
      <patternFill patternType="solid">
        <fgColor rgb="FF13B5EB"/>
        <bgColor indexed="64"/>
      </patternFill>
    </fill>
    <fill>
      <patternFill patternType="solid">
        <fgColor rgb="FF12B5EB"/>
        <bgColor indexed="64"/>
      </patternFill>
    </fill>
    <fill>
      <patternFill patternType="solid">
        <fgColor rgb="FF13B5EE"/>
        <bgColor indexed="64"/>
      </patternFill>
    </fill>
    <fill>
      <patternFill patternType="solid">
        <fgColor rgb="FFB2E4F8"/>
        <bgColor indexed="64"/>
      </patternFill>
    </fill>
    <fill>
      <patternFill patternType="solid">
        <fgColor theme="4" tint="0.79998168889431442"/>
        <bgColor indexed="64"/>
      </patternFill>
    </fill>
  </fills>
  <borders count="1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double">
        <color indexed="8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double">
        <color indexed="0"/>
      </top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medium">
        <color indexed="64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rgb="FF13B5EA"/>
      </top>
      <bottom style="thin">
        <color rgb="FF13B5EA"/>
      </bottom>
      <diagonal/>
    </border>
    <border>
      <left/>
      <right/>
      <top/>
      <bottom style="thin">
        <color rgb="FF13B5EA"/>
      </bottom>
      <diagonal/>
    </border>
    <border>
      <left/>
      <right/>
      <top style="thin">
        <color rgb="FF13B5EA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/>
      <bottom/>
      <diagonal/>
    </border>
    <border>
      <left/>
      <right style="dotted">
        <color indexed="64"/>
      </right>
      <top/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rgb="FF13B5EA"/>
      </bottom>
      <diagonal/>
    </border>
    <border>
      <left/>
      <right/>
      <top style="medium">
        <color rgb="FF13B5EA"/>
      </top>
      <bottom/>
      <diagonal/>
    </border>
    <border>
      <left style="thick">
        <color theme="0"/>
      </left>
      <right/>
      <top style="thick">
        <color theme="0"/>
      </top>
      <bottom/>
      <diagonal/>
    </border>
    <border>
      <left/>
      <right style="thick">
        <color theme="0"/>
      </right>
      <top/>
      <bottom style="thick">
        <color theme="0"/>
      </bottom>
      <diagonal/>
    </border>
    <border>
      <left style="thick">
        <color theme="0"/>
      </left>
      <right style="thick">
        <color theme="0"/>
      </right>
      <top/>
      <bottom style="thick">
        <color theme="0"/>
      </bottom>
      <diagonal/>
    </border>
    <border>
      <left/>
      <right style="thick">
        <color theme="0"/>
      </right>
      <top style="thick">
        <color theme="0"/>
      </top>
      <bottom style="thick">
        <color theme="0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 style="thick">
        <color theme="0"/>
      </bottom>
      <diagonal/>
    </border>
    <border>
      <left style="thick">
        <color theme="0"/>
      </left>
      <right/>
      <top/>
      <bottom style="thick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/>
      <bottom style="thin">
        <color rgb="FF00B0F0"/>
      </bottom>
      <diagonal/>
    </border>
    <border>
      <left style="thin">
        <color rgb="FF13B5EA"/>
      </left>
      <right/>
      <top style="thin">
        <color rgb="FF13B5EA"/>
      </top>
      <bottom/>
      <diagonal/>
    </border>
    <border>
      <left style="thin">
        <color theme="0"/>
      </left>
      <right style="thin">
        <color theme="0"/>
      </right>
      <top style="thin">
        <color rgb="FF13B5EA"/>
      </top>
      <bottom/>
      <diagonal/>
    </border>
    <border>
      <left style="thin">
        <color theme="0"/>
      </left>
      <right/>
      <top style="thin">
        <color rgb="FF13B5EA"/>
      </top>
      <bottom/>
      <diagonal/>
    </border>
    <border>
      <left/>
      <right style="thin">
        <color theme="0"/>
      </right>
      <top style="thin">
        <color rgb="FF13B5EA"/>
      </top>
      <bottom/>
      <diagonal/>
    </border>
    <border>
      <left/>
      <right style="thin">
        <color rgb="FF13B5EA"/>
      </right>
      <top style="thin">
        <color rgb="FF13B5EA"/>
      </top>
      <bottom/>
      <diagonal/>
    </border>
    <border>
      <left style="thin">
        <color rgb="FF13B5EA"/>
      </left>
      <right/>
      <top/>
      <bottom style="medium">
        <color rgb="FF13B5EA"/>
      </bottom>
      <diagonal/>
    </border>
    <border>
      <left style="thin">
        <color theme="0"/>
      </left>
      <right style="thin">
        <color theme="0"/>
      </right>
      <top/>
      <bottom style="medium">
        <color rgb="FF13B5EA"/>
      </bottom>
      <diagonal/>
    </border>
    <border>
      <left style="thin">
        <color theme="0"/>
      </left>
      <right/>
      <top/>
      <bottom style="medium">
        <color rgb="FF13B5EA"/>
      </bottom>
      <diagonal/>
    </border>
    <border>
      <left/>
      <right style="thin">
        <color theme="0"/>
      </right>
      <top/>
      <bottom style="medium">
        <color rgb="FF13B5EA"/>
      </bottom>
      <diagonal/>
    </border>
    <border>
      <left/>
      <right style="thin">
        <color rgb="FF13B5EA"/>
      </right>
      <top/>
      <bottom style="medium">
        <color rgb="FF13B5EA"/>
      </bottom>
      <diagonal/>
    </border>
    <border>
      <left style="thin">
        <color rgb="FF13B5EA"/>
      </left>
      <right/>
      <top/>
      <bottom/>
      <diagonal/>
    </border>
    <border>
      <left style="thin">
        <color rgb="FF13B5EB"/>
      </left>
      <right style="thin">
        <color rgb="FF13B5EB"/>
      </right>
      <top style="medium">
        <color rgb="FF13B5EA"/>
      </top>
      <bottom/>
      <diagonal/>
    </border>
    <border>
      <left style="thin">
        <color rgb="FF13B5EB"/>
      </left>
      <right/>
      <top style="medium">
        <color rgb="FF13B5EA"/>
      </top>
      <bottom/>
      <diagonal/>
    </border>
    <border>
      <left/>
      <right style="thin">
        <color rgb="FF13B5EB"/>
      </right>
      <top style="medium">
        <color rgb="FF13B5EA"/>
      </top>
      <bottom/>
      <diagonal/>
    </border>
    <border>
      <left/>
      <right style="medium">
        <color rgb="FFFFFFFF"/>
      </right>
      <top/>
      <bottom/>
      <diagonal/>
    </border>
    <border>
      <left/>
      <right style="thin">
        <color rgb="FF13B5EA"/>
      </right>
      <top/>
      <bottom/>
      <diagonal/>
    </border>
    <border>
      <left style="thin">
        <color rgb="FF13B5EB"/>
      </left>
      <right style="thin">
        <color rgb="FF13B5EB"/>
      </right>
      <top/>
      <bottom/>
      <diagonal/>
    </border>
    <border>
      <left style="thin">
        <color rgb="FF13B5EB"/>
      </left>
      <right/>
      <top/>
      <bottom/>
      <diagonal/>
    </border>
    <border>
      <left/>
      <right style="thin">
        <color rgb="FF13B5EB"/>
      </right>
      <top/>
      <bottom/>
      <diagonal/>
    </border>
    <border>
      <left style="thin">
        <color rgb="FF13B5EA"/>
      </left>
      <right/>
      <top/>
      <bottom style="thin">
        <color rgb="FF13B5EA"/>
      </bottom>
      <diagonal/>
    </border>
    <border>
      <left style="thin">
        <color rgb="FF13B5EB"/>
      </left>
      <right style="thin">
        <color rgb="FF13B5EB"/>
      </right>
      <top/>
      <bottom style="thin">
        <color rgb="FF13B5EA"/>
      </bottom>
      <diagonal/>
    </border>
    <border>
      <left style="thin">
        <color rgb="FF13B5EB"/>
      </left>
      <right/>
      <top/>
      <bottom style="thin">
        <color rgb="FF13B5EA"/>
      </bottom>
      <diagonal/>
    </border>
    <border>
      <left/>
      <right style="thin">
        <color rgb="FF13B5EB"/>
      </right>
      <top/>
      <bottom style="thin">
        <color rgb="FF13B5EA"/>
      </bottom>
      <diagonal/>
    </border>
    <border>
      <left/>
      <right style="medium">
        <color rgb="FFFFFFFF"/>
      </right>
      <top/>
      <bottom style="thin">
        <color rgb="FF13B5EA"/>
      </bottom>
      <diagonal/>
    </border>
    <border>
      <left/>
      <right style="thin">
        <color rgb="FF13B5EA"/>
      </right>
      <top/>
      <bottom style="thin">
        <color rgb="FF13B5EA"/>
      </bottom>
      <diagonal/>
    </border>
    <border>
      <left style="thin">
        <color rgb="FF13B5EA"/>
      </left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 style="thin">
        <color rgb="FF13B5EA"/>
      </left>
      <right style="thin">
        <color rgb="FF13B5EA"/>
      </right>
      <top/>
      <bottom/>
      <diagonal/>
    </border>
    <border>
      <left style="thin">
        <color rgb="FF13B5EA"/>
      </left>
      <right style="thin">
        <color rgb="FF13B5EA"/>
      </right>
      <top/>
      <bottom style="thin">
        <color rgb="FF13B5EA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 style="thin">
        <color theme="0"/>
      </right>
      <top/>
      <bottom/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 style="thin">
        <color rgb="FF00B0F0"/>
      </right>
      <top/>
      <bottom/>
      <diagonal/>
    </border>
    <border>
      <left/>
      <right style="thin">
        <color rgb="FF00B0F0"/>
      </right>
      <top/>
      <bottom style="thin">
        <color rgb="FF00B0F0"/>
      </bottom>
      <diagonal/>
    </border>
    <border>
      <left style="thin">
        <color rgb="FF00B0F0"/>
      </left>
      <right style="thin">
        <color theme="0"/>
      </right>
      <top style="thin">
        <color rgb="FF00B0F0"/>
      </top>
      <bottom/>
      <diagonal/>
    </border>
    <border>
      <left/>
      <right style="thin">
        <color theme="0"/>
      </right>
      <top style="thin">
        <color rgb="FF00B0F0"/>
      </top>
      <bottom/>
      <diagonal/>
    </border>
    <border>
      <left/>
      <right/>
      <top style="thin">
        <color rgb="FF00B0F0"/>
      </top>
      <bottom/>
      <diagonal/>
    </border>
    <border>
      <left style="thin">
        <color rgb="FF00B0F0"/>
      </left>
      <right style="thin">
        <color theme="0"/>
      </right>
      <top/>
      <bottom/>
      <diagonal/>
    </border>
    <border>
      <left style="thin">
        <color rgb="FF00B0F0"/>
      </left>
      <right/>
      <top/>
      <bottom/>
      <diagonal/>
    </border>
    <border>
      <left style="thin">
        <color rgb="FF00B0F0"/>
      </left>
      <right/>
      <top/>
      <bottom style="thin">
        <color rgb="FF00B0F0"/>
      </bottom>
      <diagonal/>
    </border>
    <border>
      <left style="thin">
        <color rgb="FF13B5EB"/>
      </left>
      <right style="thin">
        <color rgb="FF13B5EB"/>
      </right>
      <top/>
      <bottom style="thin">
        <color rgb="FF00B0F0"/>
      </bottom>
      <diagonal/>
    </border>
    <border>
      <left/>
      <right/>
      <top/>
      <bottom style="thin">
        <color rgb="FF12B5EB"/>
      </bottom>
      <diagonal/>
    </border>
    <border>
      <left/>
      <right/>
      <top/>
      <bottom style="thin">
        <color rgb="FF13B5EE"/>
      </bottom>
      <diagonal/>
    </border>
    <border>
      <left style="thin">
        <color rgb="FF13B5EA"/>
      </left>
      <right style="thin">
        <color rgb="FF13B5EA"/>
      </right>
      <top style="thin">
        <color rgb="FF13B5EA"/>
      </top>
      <bottom/>
      <diagonal/>
    </border>
    <border>
      <left/>
      <right style="thin">
        <color rgb="FF13B5EA"/>
      </right>
      <top style="thin">
        <color rgb="FF13B5EA"/>
      </top>
      <bottom style="thin">
        <color rgb="FF13B5EA"/>
      </bottom>
      <diagonal/>
    </border>
    <border>
      <left style="thin">
        <color rgb="FF13B5EA"/>
      </left>
      <right/>
      <top style="thin">
        <color rgb="FF13B5EA"/>
      </top>
      <bottom style="thin">
        <color rgb="FF13B5EA"/>
      </bottom>
      <diagonal/>
    </border>
    <border>
      <left style="thin">
        <color rgb="FF13B5EA"/>
      </left>
      <right style="thin">
        <color rgb="FF13B5EA"/>
      </right>
      <top style="thin">
        <color rgb="FF13B5EA"/>
      </top>
      <bottom style="thin">
        <color rgb="FF13B5EA"/>
      </bottom>
      <diagonal/>
    </border>
    <border>
      <left style="medium">
        <color rgb="FF13B5EA"/>
      </left>
      <right style="thin">
        <color rgb="FF13B5EA"/>
      </right>
      <top/>
      <bottom/>
      <diagonal/>
    </border>
    <border>
      <left/>
      <right style="medium">
        <color rgb="FF13B5EA"/>
      </right>
      <top style="thin">
        <color rgb="FF13B5EA"/>
      </top>
      <bottom/>
      <diagonal/>
    </border>
    <border>
      <left style="thin">
        <color rgb="FF13B5EA"/>
      </left>
      <right style="medium">
        <color rgb="FF13B5EA"/>
      </right>
      <top style="thin">
        <color rgb="FF13B5EA"/>
      </top>
      <bottom/>
      <diagonal/>
    </border>
    <border>
      <left style="medium">
        <color rgb="FF13B5EA"/>
      </left>
      <right style="thin">
        <color theme="0"/>
      </right>
      <top/>
      <bottom/>
      <diagonal/>
    </border>
    <border>
      <left/>
      <right style="thin">
        <color theme="0"/>
      </right>
      <top/>
      <bottom style="thin">
        <color rgb="FF13B5EA"/>
      </bottom>
      <diagonal/>
    </border>
    <border>
      <left style="thin">
        <color theme="0"/>
      </left>
      <right style="thin">
        <color theme="0"/>
      </right>
      <top/>
      <bottom style="thin">
        <color rgb="FF13B5EA"/>
      </bottom>
      <diagonal/>
    </border>
    <border>
      <left style="thin">
        <color rgb="FF13B5EA"/>
      </left>
      <right style="thin">
        <color theme="0"/>
      </right>
      <top/>
      <bottom style="thin">
        <color rgb="FF13B5EA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rgb="FF13B5EA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rgb="FF13B5EA"/>
      </right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rgb="FF13B5EA"/>
      </left>
      <right style="thin">
        <color theme="0"/>
      </right>
      <top/>
      <bottom style="thin">
        <color theme="0"/>
      </bottom>
      <diagonal/>
    </border>
    <border>
      <left style="thin">
        <color rgb="FF13B5EA"/>
      </left>
      <right style="thin">
        <color theme="0"/>
      </right>
      <top style="thin">
        <color rgb="FF13B5EA"/>
      </top>
      <bottom/>
      <diagonal/>
    </border>
    <border>
      <left/>
      <right style="thin">
        <color rgb="FF13B5EA"/>
      </right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 style="thin">
        <color rgb="FF13B5EA"/>
      </left>
      <right style="thin">
        <color rgb="FF13B5EA"/>
      </right>
      <top style="thin">
        <color theme="0"/>
      </top>
      <bottom/>
      <diagonal/>
    </border>
    <border>
      <left style="thin">
        <color rgb="FF13B5EA"/>
      </left>
      <right/>
      <top style="thin">
        <color theme="0"/>
      </top>
      <bottom/>
      <diagonal/>
    </border>
  </borders>
  <cellStyleXfs count="2681">
    <xf numFmtId="0" fontId="0" fillId="0" borderId="0"/>
    <xf numFmtId="168" fontId="17" fillId="0" borderId="0"/>
    <xf numFmtId="168" fontId="18" fillId="0" borderId="0"/>
    <xf numFmtId="169" fontId="19" fillId="0" borderId="0" applyFont="0" applyFill="0" applyBorder="0" applyAlignment="0" applyProtection="0"/>
    <xf numFmtId="38" fontId="20" fillId="0" borderId="0" applyFill="0" applyBorder="0" applyAlignment="0">
      <protection locked="0"/>
    </xf>
    <xf numFmtId="170" fontId="19" fillId="0" borderId="0" applyFont="0" applyFill="0" applyBorder="0" applyAlignment="0" applyProtection="0"/>
    <xf numFmtId="0" fontId="21" fillId="4" borderId="0" applyNumberFormat="0" applyBorder="0" applyAlignment="0" applyProtection="0"/>
    <xf numFmtId="0" fontId="21" fillId="5" borderId="0" applyNumberFormat="0" applyBorder="0" applyAlignment="0" applyProtection="0"/>
    <xf numFmtId="0" fontId="21" fillId="6" borderId="0" applyNumberFormat="0" applyBorder="0" applyAlignment="0" applyProtection="0"/>
    <xf numFmtId="0" fontId="21" fillId="7" borderId="0" applyNumberFormat="0" applyBorder="0" applyAlignment="0" applyProtection="0"/>
    <xf numFmtId="0" fontId="21" fillId="8" borderId="0" applyNumberFormat="0" applyBorder="0" applyAlignment="0" applyProtection="0"/>
    <xf numFmtId="0" fontId="21" fillId="9" borderId="0" applyNumberFormat="0" applyBorder="0" applyAlignment="0" applyProtection="0"/>
    <xf numFmtId="171" fontId="19" fillId="0" borderId="0" applyFont="0" applyFill="0" applyBorder="0" applyAlignment="0" applyProtection="0"/>
    <xf numFmtId="172" fontId="19" fillId="0" borderId="0" applyFont="0" applyFill="0" applyBorder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2" borderId="0" applyNumberFormat="0" applyBorder="0" applyAlignment="0" applyProtection="0"/>
    <xf numFmtId="0" fontId="21" fillId="7" borderId="0" applyNumberFormat="0" applyBorder="0" applyAlignment="0" applyProtection="0"/>
    <xf numFmtId="0" fontId="21" fillId="10" borderId="0" applyNumberFormat="0" applyBorder="0" applyAlignment="0" applyProtection="0"/>
    <xf numFmtId="0" fontId="21" fillId="13" borderId="0" applyNumberFormat="0" applyBorder="0" applyAlignment="0" applyProtection="0"/>
    <xf numFmtId="173" fontId="19" fillId="0" borderId="0" applyFont="0" applyFill="0" applyBorder="0" applyAlignment="0" applyProtection="0"/>
    <xf numFmtId="0" fontId="22" fillId="14" borderId="0" applyNumberFormat="0" applyBorder="0" applyAlignment="0" applyProtection="0"/>
    <xf numFmtId="0" fontId="22" fillId="11" borderId="0" applyNumberFormat="0" applyBorder="0" applyAlignment="0" applyProtection="0"/>
    <xf numFmtId="0" fontId="22" fillId="12" borderId="0" applyNumberFormat="0" applyBorder="0" applyAlignment="0" applyProtection="0"/>
    <xf numFmtId="0" fontId="22" fillId="15" borderId="0" applyNumberFormat="0" applyBorder="0" applyAlignment="0" applyProtection="0"/>
    <xf numFmtId="0" fontId="22" fillId="16" borderId="0" applyNumberFormat="0" applyBorder="0" applyAlignment="0" applyProtection="0"/>
    <xf numFmtId="0" fontId="22" fillId="17" borderId="0" applyNumberFormat="0" applyBorder="0" applyAlignment="0" applyProtection="0"/>
    <xf numFmtId="174" fontId="19" fillId="0" borderId="0"/>
    <xf numFmtId="174" fontId="19" fillId="0" borderId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0" borderId="0" applyNumberFormat="0" applyBorder="0" applyAlignment="0" applyProtection="0"/>
    <xf numFmtId="0" fontId="22" fillId="15" borderId="0" applyNumberFormat="0" applyBorder="0" applyAlignment="0" applyProtection="0"/>
    <xf numFmtId="0" fontId="22" fillId="16" borderId="0" applyNumberFormat="0" applyBorder="0" applyAlignment="0" applyProtection="0"/>
    <xf numFmtId="0" fontId="22" fillId="21" borderId="0" applyNumberFormat="0" applyBorder="0" applyAlignment="0" applyProtection="0"/>
    <xf numFmtId="0" fontId="23" fillId="22" borderId="3" applyNumberFormat="0" applyAlignment="0" applyProtection="0"/>
    <xf numFmtId="0" fontId="24" fillId="22" borderId="4" applyNumberFormat="0" applyAlignment="0" applyProtection="0"/>
    <xf numFmtId="168" fontId="25" fillId="0" borderId="5" applyNumberFormat="0" applyFont="0" applyFill="0" applyAlignment="0" applyProtection="0"/>
    <xf numFmtId="0" fontId="25" fillId="0" borderId="5" applyNumberFormat="0" applyFont="0" applyFill="0" applyAlignment="0" applyProtection="0"/>
    <xf numFmtId="165" fontId="26" fillId="0" borderId="0" applyFont="0" applyFill="0" applyBorder="0" applyAlignment="0" applyProtection="0"/>
    <xf numFmtId="3" fontId="17" fillId="23" borderId="0" applyFont="0" applyFill="0" applyBorder="0" applyAlignment="0" applyProtection="0"/>
    <xf numFmtId="3" fontId="12" fillId="23" borderId="0" applyFont="0" applyFill="0" applyBorder="0" applyAlignment="0" applyProtection="0"/>
    <xf numFmtId="168" fontId="17" fillId="0" borderId="0"/>
    <xf numFmtId="175" fontId="21" fillId="0" borderId="0" applyFont="0" applyFill="0" applyBorder="0" applyAlignment="0" applyProtection="0"/>
    <xf numFmtId="176" fontId="17" fillId="23" borderId="0" applyFont="0" applyFill="0" applyBorder="0" applyAlignment="0" applyProtection="0"/>
    <xf numFmtId="176" fontId="12" fillId="23" borderId="0" applyFont="0" applyFill="0" applyBorder="0" applyAlignment="0" applyProtection="0"/>
    <xf numFmtId="165" fontId="27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8" fontId="17" fillId="23" borderId="0" applyFont="0" applyFill="0" applyBorder="0" applyAlignment="0" applyProtection="0"/>
    <xf numFmtId="0" fontId="12" fillId="23" borderId="0" applyFont="0" applyFill="0" applyBorder="0" applyAlignment="0" applyProtection="0"/>
    <xf numFmtId="0" fontId="12" fillId="23" borderId="0" applyFont="0" applyFill="0" applyBorder="0" applyAlignment="0" applyProtection="0"/>
    <xf numFmtId="168" fontId="25" fillId="0" borderId="0" applyFont="0" applyFill="0" applyBorder="0" applyAlignment="0" applyProtection="0"/>
    <xf numFmtId="0" fontId="25" fillId="0" borderId="0" applyFont="0" applyFill="0" applyBorder="0" applyAlignment="0" applyProtection="0"/>
    <xf numFmtId="0" fontId="25" fillId="0" borderId="0" applyFont="0" applyFill="0" applyBorder="0" applyAlignment="0" applyProtection="0"/>
    <xf numFmtId="15" fontId="28" fillId="0" borderId="0"/>
    <xf numFmtId="168" fontId="18" fillId="0" borderId="0"/>
    <xf numFmtId="168" fontId="18" fillId="0" borderId="0"/>
    <xf numFmtId="166" fontId="29" fillId="0" borderId="0"/>
    <xf numFmtId="0" fontId="30" fillId="9" borderId="4" applyNumberFormat="0" applyAlignment="0" applyProtection="0"/>
    <xf numFmtId="0" fontId="31" fillId="0" borderId="6" applyNumberFormat="0" applyFill="0" applyAlignment="0" applyProtection="0"/>
    <xf numFmtId="0" fontId="32" fillId="0" borderId="0" applyNumberFormat="0" applyFill="0" applyBorder="0" applyAlignment="0" applyProtection="0"/>
    <xf numFmtId="168" fontId="17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9" fontId="33" fillId="0" borderId="0"/>
    <xf numFmtId="180" fontId="12" fillId="0" borderId="0" applyFont="0" applyFill="0" applyBorder="0" applyAlignment="0" applyProtection="0"/>
    <xf numFmtId="181" fontId="12" fillId="0" borderId="0" applyFont="0" applyFill="0" applyBorder="0" applyAlignment="0" applyProtection="0"/>
    <xf numFmtId="168" fontId="34" fillId="0" borderId="0" applyProtection="0"/>
    <xf numFmtId="168" fontId="35" fillId="0" borderId="0" applyProtection="0"/>
    <xf numFmtId="168" fontId="35" fillId="0" borderId="0" applyProtection="0"/>
    <xf numFmtId="168" fontId="36" fillId="0" borderId="0" applyProtection="0"/>
    <xf numFmtId="168" fontId="17" fillId="0" borderId="0" applyProtection="0"/>
    <xf numFmtId="168" fontId="35" fillId="0" borderId="0" applyProtection="0"/>
    <xf numFmtId="168" fontId="35" fillId="0" borderId="0" applyProtection="0"/>
    <xf numFmtId="3" fontId="37" fillId="0" borderId="0" applyFont="0" applyFill="0" applyBorder="0" applyAlignment="0" applyProtection="0"/>
    <xf numFmtId="3" fontId="25" fillId="0" borderId="0" applyFont="0" applyFill="0" applyBorder="0" applyAlignment="0" applyProtection="0"/>
    <xf numFmtId="3" fontId="18" fillId="0" borderId="0" applyFont="0" applyFill="0" applyBorder="0" applyAlignment="0" applyProtection="0">
      <alignment vertical="top"/>
    </xf>
    <xf numFmtId="3" fontId="25" fillId="0" borderId="0" applyFont="0" applyFill="0" applyBorder="0" applyAlignment="0" applyProtection="0"/>
    <xf numFmtId="3" fontId="18" fillId="0" borderId="0" applyFont="0" applyFill="0" applyBorder="0" applyAlignment="0" applyProtection="0">
      <alignment vertical="top"/>
    </xf>
    <xf numFmtId="3" fontId="18" fillId="0" borderId="0" applyFont="0" applyFill="0" applyBorder="0" applyAlignment="0" applyProtection="0">
      <alignment vertical="top"/>
    </xf>
    <xf numFmtId="3" fontId="18" fillId="0" borderId="0" applyFont="0" applyFill="0" applyBorder="0" applyAlignment="0" applyProtection="0">
      <alignment vertical="top"/>
    </xf>
    <xf numFmtId="3" fontId="18" fillId="0" borderId="0" applyFont="0" applyFill="0" applyBorder="0" applyAlignment="0" applyProtection="0">
      <alignment vertical="top"/>
    </xf>
    <xf numFmtId="3" fontId="18" fillId="0" borderId="0" applyFont="0" applyFill="0" applyBorder="0" applyAlignment="0" applyProtection="0">
      <alignment vertical="top"/>
    </xf>
    <xf numFmtId="3" fontId="18" fillId="0" borderId="0" applyFont="0" applyFill="0" applyBorder="0" applyAlignment="0" applyProtection="0">
      <alignment vertical="top"/>
    </xf>
    <xf numFmtId="3" fontId="18" fillId="0" borderId="0" applyFont="0" applyFill="0" applyBorder="0" applyAlignment="0" applyProtection="0">
      <alignment vertical="top"/>
    </xf>
    <xf numFmtId="3" fontId="18" fillId="0" borderId="0" applyFont="0" applyFill="0" applyBorder="0" applyAlignment="0" applyProtection="0">
      <alignment vertical="top"/>
    </xf>
    <xf numFmtId="3" fontId="18" fillId="0" borderId="0" applyFont="0" applyFill="0" applyBorder="0" applyAlignment="0" applyProtection="0">
      <alignment vertical="top"/>
    </xf>
    <xf numFmtId="3" fontId="18" fillId="0" borderId="0" applyFont="0" applyFill="0" applyBorder="0" applyAlignment="0" applyProtection="0">
      <alignment vertical="top"/>
    </xf>
    <xf numFmtId="3" fontId="18" fillId="0" borderId="0" applyFont="0" applyFill="0" applyBorder="0" applyAlignment="0" applyProtection="0">
      <alignment vertical="top"/>
    </xf>
    <xf numFmtId="3" fontId="18" fillId="0" borderId="0" applyFont="0" applyFill="0" applyBorder="0" applyAlignment="0" applyProtection="0">
      <alignment vertical="top"/>
    </xf>
    <xf numFmtId="3" fontId="18" fillId="0" borderId="0" applyFont="0" applyFill="0" applyBorder="0" applyAlignment="0" applyProtection="0">
      <alignment vertical="top"/>
    </xf>
    <xf numFmtId="3" fontId="18" fillId="0" borderId="0" applyFont="0" applyFill="0" applyBorder="0" applyAlignment="0" applyProtection="0">
      <alignment vertical="top"/>
    </xf>
    <xf numFmtId="3" fontId="18" fillId="0" borderId="0" applyFont="0" applyFill="0" applyBorder="0" applyAlignment="0" applyProtection="0">
      <alignment vertical="top"/>
    </xf>
    <xf numFmtId="3" fontId="18" fillId="0" borderId="0" applyFont="0" applyFill="0" applyBorder="0" applyAlignment="0" applyProtection="0">
      <alignment vertical="top"/>
    </xf>
    <xf numFmtId="3" fontId="18" fillId="0" borderId="0" applyFont="0" applyFill="0" applyBorder="0" applyAlignment="0" applyProtection="0">
      <alignment vertical="top"/>
    </xf>
    <xf numFmtId="3" fontId="18" fillId="0" borderId="0" applyFont="0" applyFill="0" applyBorder="0" applyAlignment="0" applyProtection="0">
      <alignment vertical="top"/>
    </xf>
    <xf numFmtId="3" fontId="18" fillId="0" borderId="0" applyFont="0" applyFill="0" applyBorder="0" applyAlignment="0" applyProtection="0">
      <alignment vertical="top"/>
    </xf>
    <xf numFmtId="3" fontId="18" fillId="0" borderId="0" applyFont="0" applyFill="0" applyBorder="0" applyAlignment="0" applyProtection="0">
      <alignment vertical="top"/>
    </xf>
    <xf numFmtId="3" fontId="18" fillId="0" borderId="0" applyFont="0" applyFill="0" applyBorder="0" applyAlignment="0" applyProtection="0">
      <alignment vertical="top"/>
    </xf>
    <xf numFmtId="3" fontId="18" fillId="0" borderId="0" applyFont="0" applyFill="0" applyBorder="0" applyAlignment="0" applyProtection="0">
      <alignment vertical="top"/>
    </xf>
    <xf numFmtId="3" fontId="18" fillId="0" borderId="0" applyFont="0" applyFill="0" applyBorder="0" applyAlignment="0" applyProtection="0">
      <alignment vertical="top"/>
    </xf>
    <xf numFmtId="3" fontId="18" fillId="0" borderId="0" applyFont="0" applyFill="0" applyBorder="0" applyAlignment="0" applyProtection="0">
      <alignment vertical="top"/>
    </xf>
    <xf numFmtId="3" fontId="18" fillId="0" borderId="0" applyFont="0" applyFill="0" applyBorder="0" applyAlignment="0" applyProtection="0">
      <alignment vertical="top"/>
    </xf>
    <xf numFmtId="3" fontId="18" fillId="0" borderId="0" applyFont="0" applyFill="0" applyBorder="0" applyAlignment="0" applyProtection="0">
      <alignment vertical="top"/>
    </xf>
    <xf numFmtId="3" fontId="18" fillId="0" borderId="0" applyFont="0" applyFill="0" applyBorder="0" applyAlignment="0" applyProtection="0">
      <alignment vertical="top"/>
    </xf>
    <xf numFmtId="3" fontId="18" fillId="0" borderId="0" applyFont="0" applyFill="0" applyBorder="0" applyAlignment="0" applyProtection="0">
      <alignment vertical="top"/>
    </xf>
    <xf numFmtId="3" fontId="18" fillId="0" borderId="0" applyFont="0" applyFill="0" applyBorder="0" applyAlignment="0" applyProtection="0">
      <alignment vertical="top"/>
    </xf>
    <xf numFmtId="3" fontId="18" fillId="0" borderId="0" applyFont="0" applyFill="0" applyBorder="0" applyAlignment="0" applyProtection="0">
      <alignment vertical="top"/>
    </xf>
    <xf numFmtId="3" fontId="18" fillId="0" borderId="0" applyFont="0" applyFill="0" applyBorder="0" applyAlignment="0" applyProtection="0">
      <alignment vertical="top"/>
    </xf>
    <xf numFmtId="3" fontId="18" fillId="0" borderId="0" applyFont="0" applyFill="0" applyBorder="0" applyAlignment="0" applyProtection="0">
      <alignment vertical="top"/>
    </xf>
    <xf numFmtId="3" fontId="18" fillId="0" borderId="0" applyFont="0" applyFill="0" applyBorder="0" applyAlignment="0" applyProtection="0">
      <alignment vertical="top"/>
    </xf>
    <xf numFmtId="3" fontId="18" fillId="0" borderId="0" applyFont="0" applyFill="0" applyBorder="0" applyAlignment="0" applyProtection="0">
      <alignment vertical="top"/>
    </xf>
    <xf numFmtId="3" fontId="18" fillId="0" borderId="0" applyFont="0" applyFill="0" applyBorder="0" applyAlignment="0" applyProtection="0">
      <alignment vertical="top"/>
    </xf>
    <xf numFmtId="3" fontId="18" fillId="0" borderId="0" applyFont="0" applyFill="0" applyBorder="0" applyAlignment="0" applyProtection="0">
      <alignment vertical="top"/>
    </xf>
    <xf numFmtId="3" fontId="18" fillId="0" borderId="0" applyFont="0" applyFill="0" applyBorder="0" applyAlignment="0" applyProtection="0">
      <alignment vertical="top"/>
    </xf>
    <xf numFmtId="3" fontId="18" fillId="0" borderId="0" applyFont="0" applyFill="0" applyBorder="0" applyAlignment="0" applyProtection="0">
      <alignment vertical="top"/>
    </xf>
    <xf numFmtId="3" fontId="18" fillId="0" borderId="0" applyFont="0" applyFill="0" applyBorder="0" applyAlignment="0" applyProtection="0">
      <alignment vertical="top"/>
    </xf>
    <xf numFmtId="3" fontId="18" fillId="0" borderId="0" applyFont="0" applyFill="0" applyBorder="0" applyAlignment="0" applyProtection="0">
      <alignment vertical="top"/>
    </xf>
    <xf numFmtId="3" fontId="18" fillId="0" borderId="0" applyFont="0" applyFill="0" applyBorder="0" applyAlignment="0" applyProtection="0">
      <alignment vertical="top"/>
    </xf>
    <xf numFmtId="3" fontId="18" fillId="0" borderId="0" applyFont="0" applyFill="0" applyBorder="0" applyAlignment="0" applyProtection="0">
      <alignment vertical="top"/>
    </xf>
    <xf numFmtId="3" fontId="18" fillId="0" borderId="0" applyFont="0" applyFill="0" applyBorder="0" applyAlignment="0" applyProtection="0">
      <alignment vertical="top"/>
    </xf>
    <xf numFmtId="3" fontId="18" fillId="0" borderId="0" applyFont="0" applyFill="0" applyBorder="0" applyAlignment="0" applyProtection="0">
      <alignment vertical="top"/>
    </xf>
    <xf numFmtId="3" fontId="18" fillId="0" borderId="0" applyFont="0" applyFill="0" applyBorder="0" applyAlignment="0" applyProtection="0">
      <alignment vertical="top"/>
    </xf>
    <xf numFmtId="3" fontId="18" fillId="0" borderId="0" applyFont="0" applyFill="0" applyBorder="0" applyAlignment="0" applyProtection="0">
      <alignment vertical="top"/>
    </xf>
    <xf numFmtId="3" fontId="18" fillId="0" borderId="0" applyFont="0" applyFill="0" applyBorder="0" applyAlignment="0" applyProtection="0">
      <alignment vertical="top"/>
    </xf>
    <xf numFmtId="3" fontId="18" fillId="0" borderId="0" applyFont="0" applyFill="0" applyBorder="0" applyAlignment="0" applyProtection="0">
      <alignment vertical="top"/>
    </xf>
    <xf numFmtId="3" fontId="18" fillId="0" borderId="0" applyFont="0" applyFill="0" applyBorder="0" applyAlignment="0" applyProtection="0">
      <alignment vertical="top"/>
    </xf>
    <xf numFmtId="3" fontId="27" fillId="0" borderId="0" applyFont="0" applyFill="0" applyBorder="0" applyAlignment="0" applyProtection="0">
      <alignment vertical="top"/>
    </xf>
    <xf numFmtId="3" fontId="27" fillId="0" borderId="0" applyFont="0" applyFill="0" applyBorder="0" applyAlignment="0" applyProtection="0">
      <alignment vertical="top"/>
    </xf>
    <xf numFmtId="3" fontId="18" fillId="0" borderId="0" applyFont="0" applyFill="0" applyBorder="0" applyAlignment="0" applyProtection="0">
      <alignment vertical="top"/>
    </xf>
    <xf numFmtId="3" fontId="18" fillId="0" borderId="0" applyFont="0" applyFill="0" applyBorder="0" applyAlignment="0" applyProtection="0">
      <alignment vertical="top"/>
    </xf>
    <xf numFmtId="3" fontId="18" fillId="0" borderId="0" applyFont="0" applyFill="0" applyBorder="0" applyAlignment="0" applyProtection="0">
      <alignment vertical="top"/>
    </xf>
    <xf numFmtId="3" fontId="18" fillId="0" borderId="0" applyFont="0" applyFill="0" applyBorder="0" applyAlignment="0" applyProtection="0">
      <alignment vertical="top"/>
    </xf>
    <xf numFmtId="2" fontId="17" fillId="23" borderId="0" applyFont="0" applyFill="0" applyBorder="0" applyAlignment="0" applyProtection="0"/>
    <xf numFmtId="1" fontId="38" fillId="0" borderId="0" applyFont="0" applyFill="0" applyBorder="0" applyAlignment="0" applyProtection="0"/>
    <xf numFmtId="166" fontId="38" fillId="0" borderId="0" applyFont="0" applyFill="0" applyBorder="0" applyAlignment="0" applyProtection="0"/>
    <xf numFmtId="2" fontId="38" fillId="0" borderId="0" applyFont="0" applyFill="0" applyBorder="0" applyAlignment="0" applyProtection="0"/>
    <xf numFmtId="2" fontId="12" fillId="23" borderId="0" applyFont="0" applyFill="0" applyBorder="0" applyAlignment="0" applyProtection="0"/>
    <xf numFmtId="2" fontId="12" fillId="23" borderId="0" applyFont="0" applyFill="0" applyBorder="0" applyAlignment="0" applyProtection="0"/>
    <xf numFmtId="2" fontId="17" fillId="0" borderId="0" applyFill="0" applyBorder="0" applyAlignment="0" applyProtection="0"/>
    <xf numFmtId="168" fontId="39" fillId="0" borderId="0"/>
    <xf numFmtId="38" fontId="36" fillId="24" borderId="0" applyNumberFormat="0" applyBorder="0" applyAlignment="0" applyProtection="0"/>
    <xf numFmtId="0" fontId="40" fillId="6" borderId="0" applyNumberFormat="0" applyBorder="0" applyAlignment="0" applyProtection="0"/>
    <xf numFmtId="168" fontId="41" fillId="0" borderId="0"/>
    <xf numFmtId="168" fontId="42" fillId="0" borderId="0"/>
    <xf numFmtId="168" fontId="43" fillId="23" borderId="0" applyNumberFormat="0" applyFont="0" applyFill="0" applyAlignment="0" applyProtection="0"/>
    <xf numFmtId="0" fontId="43" fillId="23" borderId="0" applyNumberFormat="0" applyFont="0" applyFill="0" applyAlignment="0" applyProtection="0"/>
    <xf numFmtId="168" fontId="42" fillId="23" borderId="0" applyNumberFormat="0" applyFont="0" applyFill="0" applyAlignment="0" applyProtection="0"/>
    <xf numFmtId="168" fontId="44" fillId="23" borderId="0" applyNumberFormat="0" applyFont="0" applyFill="0" applyAlignment="0" applyProtection="0"/>
    <xf numFmtId="0" fontId="44" fillId="23" borderId="0" applyNumberFormat="0" applyFont="0" applyFill="0" applyAlignment="0" applyProtection="0"/>
    <xf numFmtId="168" fontId="45" fillId="0" borderId="0" applyNumberFormat="0" applyFill="0" applyBorder="0" applyAlignment="0" applyProtection="0">
      <alignment vertical="top"/>
      <protection locked="0"/>
    </xf>
    <xf numFmtId="168" fontId="46" fillId="0" borderId="0" applyNumberFormat="0" applyFill="0" applyBorder="0" applyAlignment="0" applyProtection="0">
      <alignment vertical="top"/>
      <protection locked="0"/>
    </xf>
    <xf numFmtId="168" fontId="47" fillId="0" borderId="0"/>
    <xf numFmtId="168" fontId="48" fillId="0" borderId="0"/>
    <xf numFmtId="167" fontId="19" fillId="0" borderId="0" applyFont="0" applyFill="0" applyBorder="0" applyAlignment="0" applyProtection="0"/>
    <xf numFmtId="3" fontId="19" fillId="0" borderId="0" applyFont="0" applyFill="0" applyBorder="0" applyAlignment="0" applyProtection="0"/>
    <xf numFmtId="10" fontId="36" fillId="25" borderId="7" applyNumberFormat="0" applyBorder="0" applyAlignment="0" applyProtection="0"/>
    <xf numFmtId="168" fontId="47" fillId="0" borderId="0"/>
    <xf numFmtId="168" fontId="49" fillId="0" borderId="0" applyNumberFormat="0" applyFill="0" applyBorder="0" applyAlignment="0" applyProtection="0">
      <alignment vertical="top"/>
      <protection locked="0"/>
    </xf>
    <xf numFmtId="168" fontId="50" fillId="0" borderId="0" applyNumberFormat="0" applyFill="0" applyBorder="0" applyAlignment="0" applyProtection="0">
      <alignment vertical="top"/>
      <protection locked="0"/>
    </xf>
    <xf numFmtId="182" fontId="25" fillId="0" borderId="0" applyFont="0" applyFill="0" applyBorder="0" applyAlignment="0" applyProtection="0"/>
    <xf numFmtId="183" fontId="51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84" fontId="18" fillId="0" borderId="0" applyFont="0" applyFill="0" applyBorder="0" applyAlignment="0" applyProtection="0">
      <alignment vertical="top"/>
    </xf>
    <xf numFmtId="184" fontId="25" fillId="0" borderId="0" applyFont="0" applyFill="0" applyBorder="0" applyAlignment="0" applyProtection="0"/>
    <xf numFmtId="184" fontId="18" fillId="0" borderId="0" applyFont="0" applyFill="0" applyBorder="0" applyAlignment="0" applyProtection="0">
      <alignment vertical="top"/>
    </xf>
    <xf numFmtId="184" fontId="18" fillId="0" borderId="0" applyFont="0" applyFill="0" applyBorder="0" applyAlignment="0" applyProtection="0">
      <alignment vertical="top"/>
    </xf>
    <xf numFmtId="184" fontId="18" fillId="0" borderId="0" applyFont="0" applyFill="0" applyBorder="0" applyAlignment="0" applyProtection="0">
      <alignment vertical="top"/>
    </xf>
    <xf numFmtId="184" fontId="18" fillId="0" borderId="0" applyFont="0" applyFill="0" applyBorder="0" applyAlignment="0" applyProtection="0">
      <alignment vertical="top"/>
    </xf>
    <xf numFmtId="184" fontId="18" fillId="0" borderId="0" applyFont="0" applyFill="0" applyBorder="0" applyAlignment="0" applyProtection="0">
      <alignment vertical="top"/>
    </xf>
    <xf numFmtId="184" fontId="18" fillId="0" borderId="0" applyFont="0" applyFill="0" applyBorder="0" applyAlignment="0" applyProtection="0">
      <alignment vertical="top"/>
    </xf>
    <xf numFmtId="184" fontId="18" fillId="0" borderId="0" applyFont="0" applyFill="0" applyBorder="0" applyAlignment="0" applyProtection="0">
      <alignment vertical="top"/>
    </xf>
    <xf numFmtId="184" fontId="18" fillId="0" borderId="0" applyFont="0" applyFill="0" applyBorder="0" applyAlignment="0" applyProtection="0">
      <alignment vertical="top"/>
    </xf>
    <xf numFmtId="184" fontId="18" fillId="0" borderId="0" applyFont="0" applyFill="0" applyBorder="0" applyAlignment="0" applyProtection="0">
      <alignment vertical="top"/>
    </xf>
    <xf numFmtId="184" fontId="18" fillId="0" borderId="0" applyFont="0" applyFill="0" applyBorder="0" applyAlignment="0" applyProtection="0">
      <alignment vertical="top"/>
    </xf>
    <xf numFmtId="184" fontId="18" fillId="0" borderId="0" applyFont="0" applyFill="0" applyBorder="0" applyAlignment="0" applyProtection="0">
      <alignment vertical="top"/>
    </xf>
    <xf numFmtId="184" fontId="18" fillId="0" borderId="0" applyFont="0" applyFill="0" applyBorder="0" applyAlignment="0" applyProtection="0">
      <alignment vertical="top"/>
    </xf>
    <xf numFmtId="184" fontId="18" fillId="0" borderId="0" applyFont="0" applyFill="0" applyBorder="0" applyAlignment="0" applyProtection="0">
      <alignment vertical="top"/>
    </xf>
    <xf numFmtId="184" fontId="18" fillId="0" borderId="0" applyFont="0" applyFill="0" applyBorder="0" applyAlignment="0" applyProtection="0">
      <alignment vertical="top"/>
    </xf>
    <xf numFmtId="184" fontId="18" fillId="0" borderId="0" applyFont="0" applyFill="0" applyBorder="0" applyAlignment="0" applyProtection="0">
      <alignment vertical="top"/>
    </xf>
    <xf numFmtId="184" fontId="18" fillId="0" borderId="0" applyFont="0" applyFill="0" applyBorder="0" applyAlignment="0" applyProtection="0">
      <alignment vertical="top"/>
    </xf>
    <xf numFmtId="184" fontId="18" fillId="0" borderId="0" applyFont="0" applyFill="0" applyBorder="0" applyAlignment="0" applyProtection="0">
      <alignment vertical="top"/>
    </xf>
    <xf numFmtId="184" fontId="18" fillId="0" borderId="0" applyFont="0" applyFill="0" applyBorder="0" applyAlignment="0" applyProtection="0">
      <alignment vertical="top"/>
    </xf>
    <xf numFmtId="184" fontId="18" fillId="0" borderId="0" applyFont="0" applyFill="0" applyBorder="0" applyAlignment="0" applyProtection="0">
      <alignment vertical="top"/>
    </xf>
    <xf numFmtId="184" fontId="18" fillId="0" borderId="0" applyFont="0" applyFill="0" applyBorder="0" applyAlignment="0" applyProtection="0">
      <alignment vertical="top"/>
    </xf>
    <xf numFmtId="184" fontId="18" fillId="0" borderId="0" applyFont="0" applyFill="0" applyBorder="0" applyAlignment="0" applyProtection="0">
      <alignment vertical="top"/>
    </xf>
    <xf numFmtId="184" fontId="18" fillId="0" borderId="0" applyFont="0" applyFill="0" applyBorder="0" applyAlignment="0" applyProtection="0">
      <alignment vertical="top"/>
    </xf>
    <xf numFmtId="184" fontId="18" fillId="0" borderId="0" applyFont="0" applyFill="0" applyBorder="0" applyAlignment="0" applyProtection="0">
      <alignment vertical="top"/>
    </xf>
    <xf numFmtId="184" fontId="18" fillId="0" borderId="0" applyFont="0" applyFill="0" applyBorder="0" applyAlignment="0" applyProtection="0">
      <alignment vertical="top"/>
    </xf>
    <xf numFmtId="184" fontId="18" fillId="0" borderId="0" applyFont="0" applyFill="0" applyBorder="0" applyAlignment="0" applyProtection="0">
      <alignment vertical="top"/>
    </xf>
    <xf numFmtId="184" fontId="18" fillId="0" borderId="0" applyFont="0" applyFill="0" applyBorder="0" applyAlignment="0" applyProtection="0">
      <alignment vertical="top"/>
    </xf>
    <xf numFmtId="184" fontId="18" fillId="0" borderId="0" applyFont="0" applyFill="0" applyBorder="0" applyAlignment="0" applyProtection="0">
      <alignment vertical="top"/>
    </xf>
    <xf numFmtId="184" fontId="18" fillId="0" borderId="0" applyFont="0" applyFill="0" applyBorder="0" applyAlignment="0" applyProtection="0">
      <alignment vertical="top"/>
    </xf>
    <xf numFmtId="184" fontId="18" fillId="0" borderId="0" applyFont="0" applyFill="0" applyBorder="0" applyAlignment="0" applyProtection="0">
      <alignment vertical="top"/>
    </xf>
    <xf numFmtId="184" fontId="18" fillId="0" borderId="0" applyFont="0" applyFill="0" applyBorder="0" applyAlignment="0" applyProtection="0">
      <alignment vertical="top"/>
    </xf>
    <xf numFmtId="184" fontId="18" fillId="0" borderId="0" applyFont="0" applyFill="0" applyBorder="0" applyAlignment="0" applyProtection="0">
      <alignment vertical="top"/>
    </xf>
    <xf numFmtId="184" fontId="18" fillId="0" borderId="0" applyFont="0" applyFill="0" applyBorder="0" applyAlignment="0" applyProtection="0">
      <alignment vertical="top"/>
    </xf>
    <xf numFmtId="184" fontId="18" fillId="0" borderId="0" applyFont="0" applyFill="0" applyBorder="0" applyAlignment="0" applyProtection="0">
      <alignment vertical="top"/>
    </xf>
    <xf numFmtId="184" fontId="18" fillId="0" borderId="0" applyFont="0" applyFill="0" applyBorder="0" applyAlignment="0" applyProtection="0">
      <alignment vertical="top"/>
    </xf>
    <xf numFmtId="184" fontId="18" fillId="0" borderId="0" applyFont="0" applyFill="0" applyBorder="0" applyAlignment="0" applyProtection="0">
      <alignment vertical="top"/>
    </xf>
    <xf numFmtId="184" fontId="18" fillId="0" borderId="0" applyFont="0" applyFill="0" applyBorder="0" applyAlignment="0" applyProtection="0">
      <alignment vertical="top"/>
    </xf>
    <xf numFmtId="184" fontId="18" fillId="0" borderId="0" applyFont="0" applyFill="0" applyBorder="0" applyAlignment="0" applyProtection="0">
      <alignment vertical="top"/>
    </xf>
    <xf numFmtId="184" fontId="18" fillId="0" borderId="0" applyFont="0" applyFill="0" applyBorder="0" applyAlignment="0" applyProtection="0">
      <alignment vertical="top"/>
    </xf>
    <xf numFmtId="184" fontId="18" fillId="0" borderId="0" applyFont="0" applyFill="0" applyBorder="0" applyAlignment="0" applyProtection="0">
      <alignment vertical="top"/>
    </xf>
    <xf numFmtId="184" fontId="18" fillId="0" borderId="0" applyFont="0" applyFill="0" applyBorder="0" applyAlignment="0" applyProtection="0">
      <alignment vertical="top"/>
    </xf>
    <xf numFmtId="184" fontId="18" fillId="0" borderId="0" applyFont="0" applyFill="0" applyBorder="0" applyAlignment="0" applyProtection="0">
      <alignment vertical="top"/>
    </xf>
    <xf numFmtId="184" fontId="18" fillId="0" borderId="0" applyFont="0" applyFill="0" applyBorder="0" applyAlignment="0" applyProtection="0">
      <alignment vertical="top"/>
    </xf>
    <xf numFmtId="184" fontId="18" fillId="0" borderId="0" applyFont="0" applyFill="0" applyBorder="0" applyAlignment="0" applyProtection="0">
      <alignment vertical="top"/>
    </xf>
    <xf numFmtId="184" fontId="18" fillId="0" borderId="0" applyFont="0" applyFill="0" applyBorder="0" applyAlignment="0" applyProtection="0">
      <alignment vertical="top"/>
    </xf>
    <xf numFmtId="184" fontId="18" fillId="0" borderId="0" applyFont="0" applyFill="0" applyBorder="0" applyAlignment="0" applyProtection="0">
      <alignment vertical="top"/>
    </xf>
    <xf numFmtId="184" fontId="18" fillId="0" borderId="0" applyFont="0" applyFill="0" applyBorder="0" applyAlignment="0" applyProtection="0">
      <alignment vertical="top"/>
    </xf>
    <xf numFmtId="184" fontId="18" fillId="0" borderId="0" applyFont="0" applyFill="0" applyBorder="0" applyAlignment="0" applyProtection="0">
      <alignment vertical="top"/>
    </xf>
    <xf numFmtId="184" fontId="18" fillId="0" borderId="0" applyFont="0" applyFill="0" applyBorder="0" applyAlignment="0" applyProtection="0">
      <alignment vertical="top"/>
    </xf>
    <xf numFmtId="184" fontId="18" fillId="0" borderId="0" applyFont="0" applyFill="0" applyBorder="0" applyAlignment="0" applyProtection="0">
      <alignment vertical="top"/>
    </xf>
    <xf numFmtId="184" fontId="27" fillId="0" borderId="0" applyFont="0" applyFill="0" applyBorder="0" applyAlignment="0" applyProtection="0">
      <alignment vertical="top"/>
    </xf>
    <xf numFmtId="184" fontId="27" fillId="0" borderId="0" applyFont="0" applyFill="0" applyBorder="0" applyAlignment="0" applyProtection="0">
      <alignment vertical="top"/>
    </xf>
    <xf numFmtId="184" fontId="18" fillId="0" borderId="0" applyFont="0" applyFill="0" applyBorder="0" applyAlignment="0" applyProtection="0">
      <alignment vertical="top"/>
    </xf>
    <xf numFmtId="184" fontId="18" fillId="0" borderId="0" applyFont="0" applyFill="0" applyBorder="0" applyAlignment="0" applyProtection="0">
      <alignment vertical="top"/>
    </xf>
    <xf numFmtId="184" fontId="18" fillId="0" borderId="0" applyFont="0" applyFill="0" applyBorder="0" applyAlignment="0" applyProtection="0">
      <alignment vertical="top"/>
    </xf>
    <xf numFmtId="184" fontId="18" fillId="0" borderId="0" applyFont="0" applyFill="0" applyBorder="0" applyAlignment="0" applyProtection="0">
      <alignment vertical="top"/>
    </xf>
    <xf numFmtId="18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85" fontId="52" fillId="0" borderId="0" applyFont="0" applyFill="0" applyBorder="0" applyAlignment="0" applyProtection="0"/>
    <xf numFmtId="175" fontId="52" fillId="0" borderId="0" applyFont="0" applyFill="0" applyBorder="0" applyAlignment="0" applyProtection="0"/>
    <xf numFmtId="168" fontId="17" fillId="0" borderId="0"/>
    <xf numFmtId="186" fontId="53" fillId="0" borderId="0"/>
    <xf numFmtId="168" fontId="37" fillId="0" borderId="0"/>
    <xf numFmtId="168" fontId="54" fillId="0" borderId="0"/>
    <xf numFmtId="168" fontId="54" fillId="0" borderId="0"/>
    <xf numFmtId="0" fontId="54" fillId="0" borderId="0"/>
    <xf numFmtId="0" fontId="54" fillId="0" borderId="0"/>
    <xf numFmtId="187" fontId="55" fillId="0" borderId="0"/>
    <xf numFmtId="168" fontId="56" fillId="0" borderId="0"/>
    <xf numFmtId="168" fontId="57" fillId="0" borderId="0"/>
    <xf numFmtId="168" fontId="21" fillId="0" borderId="0"/>
    <xf numFmtId="168" fontId="21" fillId="0" borderId="0"/>
    <xf numFmtId="168" fontId="21" fillId="0" borderId="0"/>
    <xf numFmtId="168" fontId="21" fillId="0" borderId="0"/>
    <xf numFmtId="168" fontId="21" fillId="0" borderId="0"/>
    <xf numFmtId="168" fontId="21" fillId="0" borderId="0"/>
    <xf numFmtId="168" fontId="21" fillId="0" borderId="0"/>
    <xf numFmtId="168" fontId="21" fillId="0" borderId="0"/>
    <xf numFmtId="168" fontId="21" fillId="0" borderId="0"/>
    <xf numFmtId="168" fontId="21" fillId="0" borderId="0"/>
    <xf numFmtId="168" fontId="21" fillId="0" borderId="0"/>
    <xf numFmtId="168" fontId="21" fillId="0" borderId="0"/>
    <xf numFmtId="168" fontId="21" fillId="0" borderId="0"/>
    <xf numFmtId="168" fontId="21" fillId="0" borderId="0"/>
    <xf numFmtId="168" fontId="21" fillId="0" borderId="0"/>
    <xf numFmtId="168" fontId="21" fillId="0" borderId="0"/>
    <xf numFmtId="168" fontId="21" fillId="0" borderId="0"/>
    <xf numFmtId="168" fontId="21" fillId="0" borderId="0"/>
    <xf numFmtId="168" fontId="21" fillId="0" borderId="0"/>
    <xf numFmtId="168" fontId="21" fillId="0" borderId="0"/>
    <xf numFmtId="168" fontId="21" fillId="0" borderId="0"/>
    <xf numFmtId="168" fontId="21" fillId="0" borderId="0"/>
    <xf numFmtId="168" fontId="21" fillId="0" borderId="0"/>
    <xf numFmtId="168" fontId="21" fillId="0" borderId="0"/>
    <xf numFmtId="168" fontId="21" fillId="0" borderId="0"/>
    <xf numFmtId="168" fontId="21" fillId="0" borderId="0"/>
    <xf numFmtId="168" fontId="21" fillId="0" borderId="0"/>
    <xf numFmtId="168" fontId="21" fillId="0" borderId="0"/>
    <xf numFmtId="168" fontId="21" fillId="0" borderId="0"/>
    <xf numFmtId="168" fontId="21" fillId="0" borderId="0"/>
    <xf numFmtId="168" fontId="21" fillId="0" borderId="0"/>
    <xf numFmtId="168" fontId="21" fillId="0" borderId="0"/>
    <xf numFmtId="168" fontId="21" fillId="0" borderId="0"/>
    <xf numFmtId="168" fontId="21" fillId="0" borderId="0"/>
    <xf numFmtId="168" fontId="21" fillId="0" borderId="0"/>
    <xf numFmtId="168" fontId="21" fillId="0" borderId="0"/>
    <xf numFmtId="168" fontId="21" fillId="0" borderId="0"/>
    <xf numFmtId="168" fontId="21" fillId="0" borderId="0"/>
    <xf numFmtId="168" fontId="21" fillId="0" borderId="0"/>
    <xf numFmtId="168" fontId="21" fillId="0" borderId="0"/>
    <xf numFmtId="168" fontId="21" fillId="0" borderId="0"/>
    <xf numFmtId="168" fontId="21" fillId="0" borderId="0"/>
    <xf numFmtId="168" fontId="21" fillId="0" borderId="0"/>
    <xf numFmtId="0" fontId="21" fillId="0" borderId="0"/>
    <xf numFmtId="168" fontId="58" fillId="0" borderId="0"/>
    <xf numFmtId="168" fontId="17" fillId="0" borderId="0"/>
    <xf numFmtId="168" fontId="59" fillId="0" borderId="0"/>
    <xf numFmtId="168" fontId="21" fillId="0" borderId="0"/>
    <xf numFmtId="168" fontId="21" fillId="0" borderId="0"/>
    <xf numFmtId="168" fontId="60" fillId="0" borderId="0"/>
    <xf numFmtId="168" fontId="60" fillId="0" borderId="0"/>
    <xf numFmtId="168" fontId="60" fillId="0" borderId="0"/>
    <xf numFmtId="168" fontId="60" fillId="0" borderId="0"/>
    <xf numFmtId="0" fontId="61" fillId="0" borderId="0"/>
    <xf numFmtId="168" fontId="17" fillId="0" borderId="0"/>
    <xf numFmtId="168" fontId="17" fillId="0" borderId="0"/>
    <xf numFmtId="168" fontId="60" fillId="0" borderId="0"/>
    <xf numFmtId="168" fontId="60" fillId="0" borderId="0"/>
    <xf numFmtId="168" fontId="60" fillId="0" borderId="0"/>
    <xf numFmtId="168" fontId="60" fillId="0" borderId="0"/>
    <xf numFmtId="168" fontId="21" fillId="0" borderId="0"/>
    <xf numFmtId="168" fontId="21" fillId="0" borderId="0"/>
    <xf numFmtId="168" fontId="21" fillId="0" borderId="0"/>
    <xf numFmtId="168" fontId="21" fillId="0" borderId="0"/>
    <xf numFmtId="168" fontId="21" fillId="0" borderId="0"/>
    <xf numFmtId="168" fontId="21" fillId="0" borderId="0"/>
    <xf numFmtId="168" fontId="17" fillId="0" borderId="0"/>
    <xf numFmtId="168" fontId="18" fillId="0" borderId="0"/>
    <xf numFmtId="168" fontId="21" fillId="0" borderId="0"/>
    <xf numFmtId="168" fontId="21" fillId="0" borderId="0"/>
    <xf numFmtId="168" fontId="21" fillId="0" borderId="0"/>
    <xf numFmtId="168" fontId="21" fillId="0" borderId="0"/>
    <xf numFmtId="168" fontId="21" fillId="0" borderId="0"/>
    <xf numFmtId="168" fontId="21" fillId="0" borderId="0"/>
    <xf numFmtId="168" fontId="21" fillId="0" borderId="0"/>
    <xf numFmtId="168" fontId="21" fillId="0" borderId="0"/>
    <xf numFmtId="168" fontId="21" fillId="0" borderId="0"/>
    <xf numFmtId="168" fontId="21" fillId="0" borderId="0"/>
    <xf numFmtId="168" fontId="21" fillId="0" borderId="0"/>
    <xf numFmtId="168" fontId="21" fillId="0" borderId="0"/>
    <xf numFmtId="168" fontId="21" fillId="0" borderId="0"/>
    <xf numFmtId="168" fontId="21" fillId="0" borderId="0"/>
    <xf numFmtId="168" fontId="21" fillId="0" borderId="0"/>
    <xf numFmtId="168" fontId="21" fillId="0" borderId="0"/>
    <xf numFmtId="168" fontId="21" fillId="0" borderId="0"/>
    <xf numFmtId="168" fontId="21" fillId="0" borderId="0"/>
    <xf numFmtId="168" fontId="21" fillId="0" borderId="0"/>
    <xf numFmtId="168" fontId="21" fillId="0" borderId="0"/>
    <xf numFmtId="168" fontId="21" fillId="0" borderId="0"/>
    <xf numFmtId="168" fontId="21" fillId="0" borderId="0"/>
    <xf numFmtId="168" fontId="21" fillId="0" borderId="0"/>
    <xf numFmtId="168" fontId="21" fillId="0" borderId="0"/>
    <xf numFmtId="168" fontId="21" fillId="0" borderId="0"/>
    <xf numFmtId="168" fontId="21" fillId="0" borderId="0"/>
    <xf numFmtId="168" fontId="21" fillId="0" borderId="0"/>
    <xf numFmtId="168" fontId="21" fillId="0" borderId="0"/>
    <xf numFmtId="168" fontId="21" fillId="0" borderId="0"/>
    <xf numFmtId="168" fontId="21" fillId="0" borderId="0"/>
    <xf numFmtId="168" fontId="21" fillId="0" borderId="0"/>
    <xf numFmtId="168" fontId="21" fillId="0" borderId="0"/>
    <xf numFmtId="168" fontId="21" fillId="0" borderId="0"/>
    <xf numFmtId="168" fontId="21" fillId="0" borderId="0"/>
    <xf numFmtId="168" fontId="21" fillId="0" borderId="0"/>
    <xf numFmtId="168" fontId="21" fillId="0" borderId="0"/>
    <xf numFmtId="168" fontId="21" fillId="0" borderId="0"/>
    <xf numFmtId="168" fontId="21" fillId="0" borderId="0"/>
    <xf numFmtId="168" fontId="21" fillId="0" borderId="0"/>
    <xf numFmtId="168" fontId="21" fillId="0" borderId="0"/>
    <xf numFmtId="168" fontId="21" fillId="0" borderId="0"/>
    <xf numFmtId="168" fontId="21" fillId="0" borderId="0"/>
    <xf numFmtId="168" fontId="21" fillId="0" borderId="0"/>
    <xf numFmtId="168" fontId="21" fillId="0" borderId="0"/>
    <xf numFmtId="168" fontId="21" fillId="0" borderId="0"/>
    <xf numFmtId="168" fontId="21" fillId="0" borderId="0"/>
    <xf numFmtId="168" fontId="21" fillId="0" borderId="0"/>
    <xf numFmtId="168" fontId="21" fillId="0" borderId="0"/>
    <xf numFmtId="168" fontId="21" fillId="0" borderId="0"/>
    <xf numFmtId="168" fontId="21" fillId="0" borderId="0"/>
    <xf numFmtId="168" fontId="21" fillId="0" borderId="0"/>
    <xf numFmtId="168" fontId="21" fillId="0" borderId="0"/>
    <xf numFmtId="168" fontId="21" fillId="0" borderId="0"/>
    <xf numFmtId="168" fontId="21" fillId="0" borderId="0"/>
    <xf numFmtId="168" fontId="21" fillId="0" borderId="0"/>
    <xf numFmtId="168" fontId="21" fillId="0" borderId="0"/>
    <xf numFmtId="168" fontId="21" fillId="0" borderId="0"/>
    <xf numFmtId="168" fontId="21" fillId="0" borderId="0"/>
    <xf numFmtId="168" fontId="21" fillId="0" borderId="0"/>
    <xf numFmtId="168" fontId="21" fillId="0" borderId="0"/>
    <xf numFmtId="168" fontId="21" fillId="0" borderId="0"/>
    <xf numFmtId="168" fontId="21" fillId="0" borderId="0"/>
    <xf numFmtId="168" fontId="21" fillId="0" borderId="0"/>
    <xf numFmtId="168" fontId="21" fillId="0" borderId="0"/>
    <xf numFmtId="168" fontId="21" fillId="0" borderId="0"/>
    <xf numFmtId="168" fontId="21" fillId="0" borderId="0"/>
    <xf numFmtId="168" fontId="21" fillId="0" borderId="0"/>
    <xf numFmtId="168" fontId="21" fillId="0" borderId="0"/>
    <xf numFmtId="168" fontId="21" fillId="0" borderId="0"/>
    <xf numFmtId="168" fontId="21" fillId="0" borderId="0"/>
    <xf numFmtId="168" fontId="21" fillId="0" borderId="0"/>
    <xf numFmtId="168" fontId="21" fillId="0" borderId="0"/>
    <xf numFmtId="168" fontId="21" fillId="0" borderId="0"/>
    <xf numFmtId="168" fontId="21" fillId="0" borderId="0"/>
    <xf numFmtId="168" fontId="21" fillId="0" borderId="0"/>
    <xf numFmtId="168" fontId="21" fillId="0" borderId="0"/>
    <xf numFmtId="168" fontId="21" fillId="0" borderId="0"/>
    <xf numFmtId="168" fontId="21" fillId="0" borderId="0"/>
    <xf numFmtId="168" fontId="21" fillId="0" borderId="0"/>
    <xf numFmtId="168" fontId="21" fillId="0" borderId="0"/>
    <xf numFmtId="168" fontId="21" fillId="0" borderId="0"/>
    <xf numFmtId="168" fontId="21" fillId="0" borderId="0"/>
    <xf numFmtId="168" fontId="21" fillId="0" borderId="0"/>
    <xf numFmtId="168" fontId="21" fillId="0" borderId="0"/>
    <xf numFmtId="168" fontId="21" fillId="0" borderId="0"/>
    <xf numFmtId="168" fontId="21" fillId="0" borderId="0"/>
    <xf numFmtId="168" fontId="21" fillId="0" borderId="0"/>
    <xf numFmtId="168" fontId="21" fillId="0" borderId="0"/>
    <xf numFmtId="168" fontId="21" fillId="0" borderId="0"/>
    <xf numFmtId="168" fontId="21" fillId="0" borderId="0"/>
    <xf numFmtId="168" fontId="21" fillId="0" borderId="0"/>
    <xf numFmtId="168" fontId="21" fillId="0" borderId="0"/>
    <xf numFmtId="168" fontId="18" fillId="0" borderId="0"/>
    <xf numFmtId="168" fontId="18" fillId="0" borderId="0"/>
    <xf numFmtId="0" fontId="21" fillId="0" borderId="0"/>
    <xf numFmtId="0" fontId="12" fillId="0" borderId="0"/>
    <xf numFmtId="0" fontId="12" fillId="0" borderId="0"/>
    <xf numFmtId="0" fontId="62" fillId="0" borderId="0"/>
    <xf numFmtId="0" fontId="12" fillId="0" borderId="0"/>
    <xf numFmtId="168" fontId="21" fillId="0" borderId="0"/>
    <xf numFmtId="168" fontId="21" fillId="0" borderId="0"/>
    <xf numFmtId="168" fontId="21" fillId="0" borderId="0"/>
    <xf numFmtId="168" fontId="21" fillId="0" borderId="0"/>
    <xf numFmtId="168" fontId="21" fillId="0" borderId="0"/>
    <xf numFmtId="168" fontId="21" fillId="0" borderId="0"/>
    <xf numFmtId="168" fontId="21" fillId="0" borderId="0"/>
    <xf numFmtId="168" fontId="21" fillId="0" borderId="0"/>
    <xf numFmtId="168" fontId="21" fillId="0" borderId="0"/>
    <xf numFmtId="168" fontId="21" fillId="0" borderId="0"/>
    <xf numFmtId="168" fontId="21" fillId="0" borderId="0"/>
    <xf numFmtId="168" fontId="21" fillId="0" borderId="0"/>
    <xf numFmtId="168" fontId="21" fillId="0" borderId="0"/>
    <xf numFmtId="168" fontId="21" fillId="0" borderId="0"/>
    <xf numFmtId="168" fontId="21" fillId="0" borderId="0"/>
    <xf numFmtId="168" fontId="21" fillId="0" borderId="0"/>
    <xf numFmtId="168" fontId="21" fillId="0" borderId="0"/>
    <xf numFmtId="168" fontId="21" fillId="0" borderId="0"/>
    <xf numFmtId="168" fontId="21" fillId="0" borderId="0"/>
    <xf numFmtId="168" fontId="21" fillId="0" borderId="0"/>
    <xf numFmtId="168" fontId="21" fillId="0" borderId="0"/>
    <xf numFmtId="168" fontId="21" fillId="0" borderId="0"/>
    <xf numFmtId="168" fontId="21" fillId="0" borderId="0"/>
    <xf numFmtId="168" fontId="21" fillId="0" borderId="0"/>
    <xf numFmtId="168" fontId="21" fillId="0" borderId="0"/>
    <xf numFmtId="168" fontId="21" fillId="0" borderId="0"/>
    <xf numFmtId="168" fontId="21" fillId="0" borderId="0"/>
    <xf numFmtId="168" fontId="21" fillId="0" borderId="0"/>
    <xf numFmtId="168" fontId="21" fillId="0" borderId="0"/>
    <xf numFmtId="168" fontId="21" fillId="0" borderId="0"/>
    <xf numFmtId="168" fontId="21" fillId="0" borderId="0"/>
    <xf numFmtId="168" fontId="21" fillId="0" borderId="0"/>
    <xf numFmtId="168" fontId="21" fillId="0" borderId="0"/>
    <xf numFmtId="168" fontId="21" fillId="0" borderId="0"/>
    <xf numFmtId="168" fontId="21" fillId="0" borderId="0"/>
    <xf numFmtId="168" fontId="21" fillId="0" borderId="0"/>
    <xf numFmtId="168" fontId="21" fillId="0" borderId="0"/>
    <xf numFmtId="168" fontId="21" fillId="0" borderId="0"/>
    <xf numFmtId="168" fontId="21" fillId="0" borderId="0"/>
    <xf numFmtId="168" fontId="21" fillId="0" borderId="0"/>
    <xf numFmtId="168" fontId="21" fillId="0" borderId="0"/>
    <xf numFmtId="168" fontId="21" fillId="0" borderId="0"/>
    <xf numFmtId="168" fontId="21" fillId="0" borderId="0"/>
    <xf numFmtId="168" fontId="21" fillId="0" borderId="0"/>
    <xf numFmtId="168" fontId="21" fillId="0" borderId="0"/>
    <xf numFmtId="168" fontId="21" fillId="0" borderId="0"/>
    <xf numFmtId="168" fontId="21" fillId="0" borderId="0"/>
    <xf numFmtId="168" fontId="21" fillId="0" borderId="0"/>
    <xf numFmtId="168" fontId="21" fillId="0" borderId="0"/>
    <xf numFmtId="168" fontId="21" fillId="0" borderId="0"/>
    <xf numFmtId="168" fontId="21" fillId="0" borderId="0"/>
    <xf numFmtId="168" fontId="21" fillId="0" borderId="0"/>
    <xf numFmtId="168" fontId="21" fillId="0" borderId="0"/>
    <xf numFmtId="168" fontId="21" fillId="0" borderId="0"/>
    <xf numFmtId="168" fontId="21" fillId="0" borderId="0"/>
    <xf numFmtId="168" fontId="21" fillId="0" borderId="0"/>
    <xf numFmtId="168" fontId="21" fillId="0" borderId="0"/>
    <xf numFmtId="168" fontId="21" fillId="0" borderId="0"/>
    <xf numFmtId="168" fontId="21" fillId="0" borderId="0"/>
    <xf numFmtId="168" fontId="21" fillId="0" borderId="0"/>
    <xf numFmtId="168" fontId="21" fillId="0" borderId="0"/>
    <xf numFmtId="168" fontId="21" fillId="0" borderId="0"/>
    <xf numFmtId="168" fontId="21" fillId="0" borderId="0"/>
    <xf numFmtId="168" fontId="21" fillId="0" borderId="0"/>
    <xf numFmtId="168" fontId="21" fillId="0" borderId="0"/>
    <xf numFmtId="168" fontId="21" fillId="0" borderId="0"/>
    <xf numFmtId="168" fontId="21" fillId="0" borderId="0"/>
    <xf numFmtId="168" fontId="21" fillId="0" borderId="0"/>
    <xf numFmtId="168" fontId="21" fillId="0" borderId="0"/>
    <xf numFmtId="168" fontId="21" fillId="0" borderId="0"/>
    <xf numFmtId="168" fontId="21" fillId="0" borderId="0"/>
    <xf numFmtId="168" fontId="21" fillId="0" borderId="0"/>
    <xf numFmtId="168" fontId="21" fillId="0" borderId="0"/>
    <xf numFmtId="168" fontId="21" fillId="0" borderId="0"/>
    <xf numFmtId="168" fontId="21" fillId="0" borderId="0"/>
    <xf numFmtId="168" fontId="21" fillId="0" borderId="0"/>
    <xf numFmtId="168" fontId="21" fillId="0" borderId="0"/>
    <xf numFmtId="168" fontId="2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8" fontId="21" fillId="0" borderId="0"/>
    <xf numFmtId="168" fontId="21" fillId="0" borderId="0"/>
    <xf numFmtId="168" fontId="21" fillId="0" borderId="0"/>
    <xf numFmtId="168" fontId="21" fillId="0" borderId="0"/>
    <xf numFmtId="168" fontId="21" fillId="0" borderId="0"/>
    <xf numFmtId="168" fontId="21" fillId="0" borderId="0"/>
    <xf numFmtId="168" fontId="21" fillId="0" borderId="0"/>
    <xf numFmtId="168" fontId="21" fillId="0" borderId="0"/>
    <xf numFmtId="168" fontId="21" fillId="0" borderId="0"/>
    <xf numFmtId="168" fontId="21" fillId="0" borderId="0"/>
    <xf numFmtId="168" fontId="21" fillId="0" borderId="0"/>
    <xf numFmtId="168" fontId="21" fillId="0" borderId="0"/>
    <xf numFmtId="168" fontId="21" fillId="0" borderId="0"/>
    <xf numFmtId="168" fontId="21" fillId="0" borderId="0"/>
    <xf numFmtId="168" fontId="21" fillId="0" borderId="0"/>
    <xf numFmtId="168" fontId="21" fillId="0" borderId="0"/>
    <xf numFmtId="168" fontId="21" fillId="0" borderId="0"/>
    <xf numFmtId="168" fontId="21" fillId="0" borderId="0"/>
    <xf numFmtId="168" fontId="21" fillId="0" borderId="0"/>
    <xf numFmtId="168" fontId="21" fillId="0" borderId="0"/>
    <xf numFmtId="168" fontId="21" fillId="0" borderId="0"/>
    <xf numFmtId="168" fontId="21" fillId="0" borderId="0"/>
    <xf numFmtId="168" fontId="21" fillId="0" borderId="0"/>
    <xf numFmtId="168" fontId="21" fillId="0" borderId="0"/>
    <xf numFmtId="168" fontId="21" fillId="0" borderId="0"/>
    <xf numFmtId="168" fontId="21" fillId="0" borderId="0"/>
    <xf numFmtId="168" fontId="21" fillId="0" borderId="0"/>
    <xf numFmtId="168" fontId="21" fillId="0" borderId="0"/>
    <xf numFmtId="168" fontId="21" fillId="0" borderId="0"/>
    <xf numFmtId="168" fontId="21" fillId="0" borderId="0"/>
    <xf numFmtId="168" fontId="21" fillId="0" borderId="0"/>
    <xf numFmtId="168" fontId="21" fillId="0" borderId="0"/>
    <xf numFmtId="168" fontId="21" fillId="0" borderId="0"/>
    <xf numFmtId="168" fontId="21" fillId="0" borderId="0"/>
    <xf numFmtId="168" fontId="21" fillId="0" borderId="0"/>
    <xf numFmtId="168" fontId="21" fillId="0" borderId="0"/>
    <xf numFmtId="168" fontId="21" fillId="0" borderId="0"/>
    <xf numFmtId="168" fontId="21" fillId="0" borderId="0"/>
    <xf numFmtId="168" fontId="21" fillId="0" borderId="0"/>
    <xf numFmtId="168" fontId="21" fillId="0" borderId="0"/>
    <xf numFmtId="168" fontId="21" fillId="0" borderId="0"/>
    <xf numFmtId="168" fontId="21" fillId="0" borderId="0"/>
    <xf numFmtId="168" fontId="21" fillId="0" borderId="0"/>
    <xf numFmtId="168" fontId="21" fillId="0" borderId="0"/>
    <xf numFmtId="168" fontId="21" fillId="0" borderId="0"/>
    <xf numFmtId="168" fontId="21" fillId="0" borderId="0"/>
    <xf numFmtId="168" fontId="21" fillId="0" borderId="0"/>
    <xf numFmtId="168" fontId="21" fillId="0" borderId="0"/>
    <xf numFmtId="168" fontId="21" fillId="0" borderId="0"/>
    <xf numFmtId="168" fontId="21" fillId="0" borderId="0"/>
    <xf numFmtId="168" fontId="21" fillId="0" borderId="0"/>
    <xf numFmtId="168" fontId="21" fillId="0" borderId="0"/>
    <xf numFmtId="168" fontId="21" fillId="0" borderId="0"/>
    <xf numFmtId="168" fontId="21" fillId="0" borderId="0"/>
    <xf numFmtId="168" fontId="21" fillId="0" borderId="0"/>
    <xf numFmtId="168" fontId="21" fillId="0" borderId="0"/>
    <xf numFmtId="168" fontId="21" fillId="0" borderId="0"/>
    <xf numFmtId="168" fontId="21" fillId="0" borderId="0"/>
    <xf numFmtId="168" fontId="21" fillId="0" borderId="0"/>
    <xf numFmtId="168" fontId="21" fillId="0" borderId="0"/>
    <xf numFmtId="168" fontId="21" fillId="0" borderId="0"/>
    <xf numFmtId="168" fontId="21" fillId="0" borderId="0"/>
    <xf numFmtId="168" fontId="21" fillId="0" borderId="0"/>
    <xf numFmtId="168" fontId="21" fillId="0" borderId="0"/>
    <xf numFmtId="168" fontId="21" fillId="0" borderId="0"/>
    <xf numFmtId="168" fontId="21" fillId="0" borderId="0"/>
    <xf numFmtId="168" fontId="21" fillId="0" borderId="0"/>
    <xf numFmtId="168" fontId="21" fillId="0" borderId="0"/>
    <xf numFmtId="168" fontId="21" fillId="0" borderId="0"/>
    <xf numFmtId="168" fontId="21" fillId="0" borderId="0"/>
    <xf numFmtId="168" fontId="21" fillId="0" borderId="0"/>
    <xf numFmtId="168" fontId="21" fillId="0" borderId="0"/>
    <xf numFmtId="168" fontId="21" fillId="0" borderId="0"/>
    <xf numFmtId="168" fontId="21" fillId="0" borderId="0"/>
    <xf numFmtId="168" fontId="21" fillId="0" borderId="0"/>
    <xf numFmtId="168" fontId="21" fillId="0" borderId="0"/>
    <xf numFmtId="168" fontId="21" fillId="0" borderId="0"/>
    <xf numFmtId="168" fontId="21" fillId="0" borderId="0"/>
    <xf numFmtId="168" fontId="18" fillId="0" borderId="0"/>
    <xf numFmtId="168" fontId="21" fillId="0" borderId="0"/>
    <xf numFmtId="168" fontId="21" fillId="0" borderId="0"/>
    <xf numFmtId="168" fontId="21" fillId="0" borderId="0"/>
    <xf numFmtId="168" fontId="21" fillId="0" borderId="0"/>
    <xf numFmtId="168" fontId="21" fillId="0" borderId="0"/>
    <xf numFmtId="168" fontId="21" fillId="0" borderId="0"/>
    <xf numFmtId="168" fontId="21" fillId="0" borderId="0"/>
    <xf numFmtId="168" fontId="21" fillId="0" borderId="0"/>
    <xf numFmtId="168" fontId="21" fillId="0" borderId="0"/>
    <xf numFmtId="168" fontId="21" fillId="0" borderId="0"/>
    <xf numFmtId="168" fontId="21" fillId="0" borderId="0"/>
    <xf numFmtId="168" fontId="21" fillId="0" borderId="0"/>
    <xf numFmtId="168" fontId="21" fillId="0" borderId="0"/>
    <xf numFmtId="168" fontId="21" fillId="0" borderId="0"/>
    <xf numFmtId="168" fontId="21" fillId="0" borderId="0"/>
    <xf numFmtId="168" fontId="21" fillId="0" borderId="0"/>
    <xf numFmtId="168" fontId="21" fillId="0" borderId="0"/>
    <xf numFmtId="168" fontId="21" fillId="0" borderId="0"/>
    <xf numFmtId="168" fontId="21" fillId="0" borderId="0"/>
    <xf numFmtId="168" fontId="21" fillId="0" borderId="0"/>
    <xf numFmtId="168" fontId="21" fillId="0" borderId="0"/>
    <xf numFmtId="168" fontId="21" fillId="0" borderId="0"/>
    <xf numFmtId="168" fontId="21" fillId="0" borderId="0"/>
    <xf numFmtId="168" fontId="21" fillId="0" borderId="0"/>
    <xf numFmtId="168" fontId="21" fillId="0" borderId="0"/>
    <xf numFmtId="168" fontId="21" fillId="0" borderId="0"/>
    <xf numFmtId="168" fontId="21" fillId="0" borderId="0"/>
    <xf numFmtId="168" fontId="21" fillId="0" borderId="0"/>
    <xf numFmtId="168" fontId="21" fillId="0" borderId="0"/>
    <xf numFmtId="168" fontId="21" fillId="0" borderId="0"/>
    <xf numFmtId="168" fontId="21" fillId="0" borderId="0"/>
    <xf numFmtId="168" fontId="21" fillId="0" borderId="0"/>
    <xf numFmtId="168" fontId="21" fillId="0" borderId="0"/>
    <xf numFmtId="168" fontId="21" fillId="0" borderId="0"/>
    <xf numFmtId="168" fontId="21" fillId="0" borderId="0"/>
    <xf numFmtId="168" fontId="21" fillId="0" borderId="0"/>
    <xf numFmtId="168" fontId="21" fillId="0" borderId="0"/>
    <xf numFmtId="168" fontId="21" fillId="0" borderId="0"/>
    <xf numFmtId="168" fontId="21" fillId="0" borderId="0"/>
    <xf numFmtId="168" fontId="21" fillId="0" borderId="0"/>
    <xf numFmtId="174" fontId="19" fillId="0" borderId="0"/>
    <xf numFmtId="174" fontId="19" fillId="0" borderId="0"/>
    <xf numFmtId="168" fontId="12" fillId="0" borderId="0"/>
    <xf numFmtId="168" fontId="12" fillId="0" borderId="0"/>
    <xf numFmtId="168" fontId="12" fillId="0" borderId="0"/>
    <xf numFmtId="0" fontId="12" fillId="0" borderId="0"/>
    <xf numFmtId="0" fontId="12" fillId="0" borderId="0"/>
    <xf numFmtId="0" fontId="12" fillId="0" borderId="0"/>
    <xf numFmtId="0" fontId="63" fillId="0" borderId="0"/>
    <xf numFmtId="168" fontId="12" fillId="0" borderId="0"/>
    <xf numFmtId="168" fontId="17" fillId="0" borderId="0"/>
    <xf numFmtId="168" fontId="18" fillId="0" borderId="0"/>
    <xf numFmtId="0" fontId="27" fillId="0" borderId="0"/>
    <xf numFmtId="0" fontId="63" fillId="0" borderId="0"/>
    <xf numFmtId="168" fontId="12" fillId="0" borderId="0"/>
    <xf numFmtId="0" fontId="12" fillId="0" borderId="0"/>
    <xf numFmtId="0" fontId="12" fillId="0" borderId="0"/>
    <xf numFmtId="168" fontId="12" fillId="0" borderId="0"/>
    <xf numFmtId="0" fontId="12" fillId="0" borderId="0"/>
    <xf numFmtId="0" fontId="12" fillId="0" borderId="0"/>
    <xf numFmtId="168" fontId="27" fillId="0" borderId="0"/>
    <xf numFmtId="168" fontId="27" fillId="0" borderId="0"/>
    <xf numFmtId="0" fontId="27" fillId="0" borderId="0"/>
    <xf numFmtId="0" fontId="27" fillId="0" borderId="0"/>
    <xf numFmtId="168" fontId="27" fillId="0" borderId="0"/>
    <xf numFmtId="168" fontId="17" fillId="0" borderId="0" applyNumberFormat="0" applyFont="0" applyFill="0" applyBorder="0" applyAlignment="0" applyProtection="0"/>
    <xf numFmtId="0" fontId="63" fillId="0" borderId="0"/>
    <xf numFmtId="0" fontId="63" fillId="0" borderId="0"/>
    <xf numFmtId="0" fontId="12" fillId="0" borderId="0"/>
    <xf numFmtId="168" fontId="17" fillId="0" borderId="0"/>
    <xf numFmtId="0" fontId="12" fillId="0" borderId="0"/>
    <xf numFmtId="168" fontId="54" fillId="0" borderId="0"/>
    <xf numFmtId="168" fontId="54" fillId="0" borderId="0"/>
    <xf numFmtId="0" fontId="27" fillId="0" borderId="0"/>
    <xf numFmtId="0" fontId="27" fillId="0" borderId="0"/>
    <xf numFmtId="168" fontId="64" fillId="0" borderId="8"/>
    <xf numFmtId="0" fontId="17" fillId="26" borderId="9" applyNumberFormat="0" applyFont="0" applyAlignment="0" applyProtection="0"/>
    <xf numFmtId="188" fontId="12" fillId="0" borderId="0" applyFont="0" applyFill="0" applyBorder="0" applyAlignment="0" applyProtection="0"/>
    <xf numFmtId="189" fontId="12" fillId="0" borderId="0" applyFont="0" applyFill="0" applyBorder="0" applyAlignment="0" applyProtection="0"/>
    <xf numFmtId="10" fontId="1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5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2" fillId="0" borderId="0" applyFont="0" applyFill="0" applyBorder="0" applyAlignment="0" applyProtection="0"/>
    <xf numFmtId="190" fontId="17" fillId="0" borderId="0" applyFont="0" applyFill="0" applyBorder="0" applyAlignment="0" applyProtection="0"/>
    <xf numFmtId="190" fontId="17" fillId="0" borderId="0" applyFont="0" applyFill="0" applyBorder="0" applyAlignment="0" applyProtection="0"/>
    <xf numFmtId="190" fontId="12" fillId="0" borderId="0" applyFont="0" applyFill="0" applyBorder="0" applyAlignment="0" applyProtection="0"/>
    <xf numFmtId="191" fontId="19" fillId="0" borderId="0" applyFont="0" applyFill="0" applyBorder="0" applyAlignment="0" applyProtection="0"/>
    <xf numFmtId="192" fontId="19" fillId="0" borderId="0" applyFont="0" applyFill="0" applyBorder="0" applyAlignment="0" applyProtection="0"/>
    <xf numFmtId="2" fontId="25" fillId="0" borderId="0" applyFont="0" applyFill="0" applyBorder="0" applyAlignment="0" applyProtection="0"/>
    <xf numFmtId="193" fontId="18" fillId="0" borderId="0" applyFill="0" applyBorder="0" applyAlignment="0"/>
    <xf numFmtId="193" fontId="18" fillId="0" borderId="0" applyFill="0" applyBorder="0" applyAlignment="0"/>
    <xf numFmtId="4" fontId="65" fillId="27" borderId="10" applyNumberFormat="0" applyProtection="0">
      <alignment vertical="center"/>
    </xf>
    <xf numFmtId="4" fontId="66" fillId="28" borderId="11" applyNumberFormat="0" applyProtection="0">
      <alignment vertical="center"/>
    </xf>
    <xf numFmtId="4" fontId="67" fillId="27" borderId="10" applyNumberFormat="0" applyProtection="0">
      <alignment vertical="center"/>
    </xf>
    <xf numFmtId="4" fontId="53" fillId="0" borderId="0" applyNumberFormat="0" applyProtection="0">
      <alignment horizontal="left" vertical="center" indent="1"/>
    </xf>
    <xf numFmtId="4" fontId="66" fillId="27" borderId="11" applyNumberFormat="0" applyProtection="0">
      <alignment horizontal="left" vertical="center" indent="1"/>
    </xf>
    <xf numFmtId="168" fontId="66" fillId="27" borderId="11" applyNumberFormat="0" applyProtection="0">
      <alignment horizontal="left" vertical="top" indent="1"/>
    </xf>
    <xf numFmtId="4" fontId="68" fillId="29" borderId="10" applyNumberFormat="0" applyProtection="0">
      <alignment vertical="center"/>
    </xf>
    <xf numFmtId="4" fontId="59" fillId="5" borderId="11" applyNumberFormat="0" applyProtection="0">
      <alignment horizontal="right" vertical="center"/>
    </xf>
    <xf numFmtId="4" fontId="59" fillId="11" borderId="11" applyNumberFormat="0" applyProtection="0">
      <alignment horizontal="right" vertical="center"/>
    </xf>
    <xf numFmtId="4" fontId="59" fillId="19" borderId="11" applyNumberFormat="0" applyProtection="0">
      <alignment horizontal="right" vertical="center"/>
    </xf>
    <xf numFmtId="4" fontId="61" fillId="30" borderId="10" applyNumberFormat="0" applyProtection="0">
      <alignment vertical="center"/>
    </xf>
    <xf numFmtId="4" fontId="59" fillId="13" borderId="11" applyNumberFormat="0" applyProtection="0">
      <alignment horizontal="right" vertical="center"/>
    </xf>
    <xf numFmtId="4" fontId="59" fillId="17" borderId="11" applyNumberFormat="0" applyProtection="0">
      <alignment horizontal="right" vertical="center"/>
    </xf>
    <xf numFmtId="4" fontId="59" fillId="21" borderId="11" applyNumberFormat="0" applyProtection="0">
      <alignment horizontal="right" vertical="center"/>
    </xf>
    <xf numFmtId="4" fontId="68" fillId="31" borderId="10" applyNumberFormat="0" applyProtection="0">
      <alignment vertical="center"/>
    </xf>
    <xf numFmtId="4" fontId="59" fillId="20" borderId="11" applyNumberFormat="0" applyProtection="0">
      <alignment horizontal="right" vertical="center"/>
    </xf>
    <xf numFmtId="4" fontId="59" fillId="32" borderId="11" applyNumberFormat="0" applyProtection="0">
      <alignment horizontal="right" vertical="center"/>
    </xf>
    <xf numFmtId="4" fontId="59" fillId="12" borderId="11" applyNumberFormat="0" applyProtection="0">
      <alignment horizontal="right" vertical="center"/>
    </xf>
    <xf numFmtId="4" fontId="69" fillId="29" borderId="10" applyNumberFormat="0" applyProtection="0">
      <alignment vertical="center"/>
    </xf>
    <xf numFmtId="4" fontId="70" fillId="33" borderId="10" applyNumberFormat="0" applyProtection="0">
      <alignment horizontal="left" vertical="center" indent="1"/>
    </xf>
    <xf numFmtId="4" fontId="70" fillId="34" borderId="10" applyNumberFormat="0" applyProtection="0">
      <alignment horizontal="left" vertical="center" indent="1"/>
    </xf>
    <xf numFmtId="4" fontId="71" fillId="35" borderId="10" applyNumberFormat="0" applyProtection="0">
      <alignment horizontal="left" vertical="center" indent="1"/>
    </xf>
    <xf numFmtId="4" fontId="72" fillId="36" borderId="10" applyNumberFormat="0" applyProtection="0">
      <alignment vertical="center"/>
    </xf>
    <xf numFmtId="4" fontId="73" fillId="37" borderId="10" applyNumberFormat="0" applyProtection="0">
      <alignment horizontal="left" vertical="center" indent="1"/>
    </xf>
    <xf numFmtId="4" fontId="74" fillId="34" borderId="10" applyNumberFormat="0" applyProtection="0">
      <alignment horizontal="left" vertical="center" indent="1"/>
    </xf>
    <xf numFmtId="4" fontId="75" fillId="35" borderId="10" applyNumberFormat="0" applyProtection="0">
      <alignment horizontal="left" vertical="center" indent="1"/>
    </xf>
    <xf numFmtId="168" fontId="17" fillId="35" borderId="11" applyNumberFormat="0" applyProtection="0">
      <alignment horizontal="left" vertical="center" indent="1"/>
    </xf>
    <xf numFmtId="168" fontId="17" fillId="35" borderId="11" applyNumberFormat="0" applyProtection="0">
      <alignment horizontal="left" vertical="top" indent="1"/>
    </xf>
    <xf numFmtId="168" fontId="17" fillId="3" borderId="11" applyNumberFormat="0" applyProtection="0">
      <alignment horizontal="left" vertical="center" indent="1"/>
    </xf>
    <xf numFmtId="168" fontId="17" fillId="3" borderId="11" applyNumberFormat="0" applyProtection="0">
      <alignment horizontal="left" vertical="top" indent="1"/>
    </xf>
    <xf numFmtId="168" fontId="12" fillId="36" borderId="11" applyNumberFormat="0" applyProtection="0">
      <alignment horizontal="left" vertical="center" indent="1"/>
    </xf>
    <xf numFmtId="0" fontId="12" fillId="36" borderId="11" applyNumberFormat="0" applyProtection="0">
      <alignment horizontal="left" vertical="center" indent="1"/>
    </xf>
    <xf numFmtId="168" fontId="17" fillId="36" borderId="11" applyNumberFormat="0" applyProtection="0">
      <alignment horizontal="left" vertical="top" indent="1"/>
    </xf>
    <xf numFmtId="168" fontId="12" fillId="34" borderId="11" applyNumberFormat="0" applyProtection="0">
      <alignment horizontal="left" vertical="center" indent="1"/>
    </xf>
    <xf numFmtId="0" fontId="12" fillId="34" borderId="11" applyNumberFormat="0" applyProtection="0">
      <alignment horizontal="left" vertical="center" indent="1"/>
    </xf>
    <xf numFmtId="168" fontId="17" fillId="34" borderId="11" applyNumberFormat="0" applyProtection="0">
      <alignment horizontal="left" vertical="top" indent="1"/>
    </xf>
    <xf numFmtId="4" fontId="76" fillId="35" borderId="10" applyNumberFormat="0" applyProtection="0">
      <alignment horizontal="left" vertical="center" indent="1"/>
    </xf>
    <xf numFmtId="4" fontId="66" fillId="3" borderId="0" applyNumberFormat="0" applyProtection="0">
      <alignment horizontal="left" vertical="center" indent="1"/>
    </xf>
    <xf numFmtId="4" fontId="77" fillId="37" borderId="10" applyNumberFormat="0" applyProtection="0">
      <alignment vertical="center"/>
    </xf>
    <xf numFmtId="4" fontId="78" fillId="37" borderId="10" applyNumberFormat="0" applyProtection="0">
      <alignment vertical="center"/>
    </xf>
    <xf numFmtId="4" fontId="70" fillId="34" borderId="10" applyNumberFormat="0" applyProtection="0">
      <alignment horizontal="left" vertical="center" indent="1"/>
    </xf>
    <xf numFmtId="168" fontId="59" fillId="25" borderId="11" applyNumberFormat="0" applyProtection="0">
      <alignment horizontal="left" vertical="top" indent="1"/>
    </xf>
    <xf numFmtId="4" fontId="79" fillId="37" borderId="10" applyNumberFormat="0" applyProtection="0">
      <alignment vertical="center"/>
    </xf>
    <xf numFmtId="4" fontId="59" fillId="38" borderId="11" applyNumberFormat="0" applyProtection="0">
      <alignment horizontal="right" vertical="center"/>
    </xf>
    <xf numFmtId="4" fontId="59" fillId="38" borderId="11" applyNumberFormat="0" applyProtection="0">
      <alignment horizontal="right" vertical="center"/>
    </xf>
    <xf numFmtId="4" fontId="80" fillId="37" borderId="10" applyNumberFormat="0" applyProtection="0">
      <alignment vertical="center"/>
    </xf>
    <xf numFmtId="4" fontId="36" fillId="0" borderId="0" applyNumberFormat="0" applyProtection="0">
      <alignment horizontal="left" vertical="center" indent="1"/>
    </xf>
    <xf numFmtId="4" fontId="59" fillId="39" borderId="11" applyNumberFormat="0" applyProtection="0">
      <alignment horizontal="left" vertical="center" indent="1"/>
    </xf>
    <xf numFmtId="168" fontId="59" fillId="3" borderId="11" applyNumberFormat="0" applyProtection="0">
      <alignment horizontal="left" vertical="top" indent="1"/>
    </xf>
    <xf numFmtId="4" fontId="81" fillId="37" borderId="10" applyNumberFormat="0" applyProtection="0">
      <alignment vertical="center"/>
    </xf>
    <xf numFmtId="4" fontId="82" fillId="37" borderId="10" applyNumberFormat="0" applyProtection="0">
      <alignment vertical="center"/>
    </xf>
    <xf numFmtId="4" fontId="70" fillId="25" borderId="10" applyNumberFormat="0" applyProtection="0">
      <alignment horizontal="left" vertical="center" indent="1"/>
    </xf>
    <xf numFmtId="4" fontId="83" fillId="36" borderId="10" applyNumberFormat="0" applyProtection="0">
      <alignment horizontal="left" indent="1"/>
    </xf>
    <xf numFmtId="4" fontId="84" fillId="37" borderId="10" applyNumberFormat="0" applyProtection="0">
      <alignment vertical="center"/>
    </xf>
    <xf numFmtId="0" fontId="85" fillId="5" borderId="0" applyNumberFormat="0" applyBorder="0" applyAlignment="0" applyProtection="0"/>
    <xf numFmtId="168" fontId="19" fillId="0" borderId="0"/>
    <xf numFmtId="194" fontId="86" fillId="0" borderId="0"/>
    <xf numFmtId="168" fontId="17" fillId="0" borderId="0" applyNumberFormat="0"/>
    <xf numFmtId="0" fontId="12" fillId="0" borderId="0" applyNumberFormat="0"/>
    <xf numFmtId="0" fontId="12" fillId="23" borderId="12" applyNumberFormat="0" applyFont="0" applyBorder="0" applyAlignment="0" applyProtection="0"/>
    <xf numFmtId="0" fontId="87" fillId="0" borderId="0" applyNumberFormat="0" applyFill="0" applyBorder="0" applyAlignment="0" applyProtection="0"/>
    <xf numFmtId="0" fontId="88" fillId="0" borderId="13" applyNumberFormat="0" applyFill="0" applyAlignment="0" applyProtection="0"/>
    <xf numFmtId="0" fontId="89" fillId="0" borderId="14" applyNumberFormat="0" applyFill="0" applyAlignment="0" applyProtection="0"/>
    <xf numFmtId="0" fontId="90" fillId="0" borderId="15" applyNumberFormat="0" applyFill="0" applyAlignment="0" applyProtection="0"/>
    <xf numFmtId="0" fontId="90" fillId="0" borderId="0" applyNumberFormat="0" applyFill="0" applyBorder="0" applyAlignment="0" applyProtection="0"/>
    <xf numFmtId="168" fontId="17" fillId="0" borderId="0">
      <alignment horizontal="center"/>
    </xf>
    <xf numFmtId="195" fontId="47" fillId="0" borderId="0"/>
    <xf numFmtId="168" fontId="17" fillId="0" borderId="16"/>
    <xf numFmtId="196" fontId="17" fillId="0" borderId="0" applyFont="0" applyFill="0" applyBorder="0" applyAlignment="0" applyProtection="0"/>
    <xf numFmtId="197" fontId="17" fillId="0" borderId="0" applyFont="0" applyFill="0" applyBorder="0" applyAlignment="0" applyProtection="0"/>
    <xf numFmtId="0" fontId="91" fillId="0" borderId="17" applyNumberFormat="0" applyFill="0" applyAlignment="0" applyProtection="0"/>
    <xf numFmtId="0" fontId="92" fillId="0" borderId="0" applyNumberFormat="0" applyFill="0" applyBorder="0" applyAlignment="0" applyProtection="0"/>
    <xf numFmtId="168" fontId="93" fillId="0" borderId="0" applyNumberFormat="0" applyFont="0" applyFill="0" applyBorder="0" applyAlignment="0" applyProtection="0">
      <alignment vertical="top"/>
    </xf>
    <xf numFmtId="168" fontId="94" fillId="0" borderId="0" applyNumberFormat="0" applyFont="0" applyFill="0" applyBorder="0" applyAlignment="0" applyProtection="0">
      <alignment vertical="top"/>
    </xf>
    <xf numFmtId="168" fontId="94" fillId="0" borderId="0" applyNumberFormat="0" applyFont="0" applyFill="0" applyBorder="0" applyAlignment="0" applyProtection="0">
      <alignment vertical="top"/>
    </xf>
    <xf numFmtId="168" fontId="93" fillId="0" borderId="0" applyNumberFormat="0" applyFont="0" applyFill="0" applyBorder="0" applyAlignment="0" applyProtection="0"/>
    <xf numFmtId="168" fontId="93" fillId="0" borderId="0" applyNumberFormat="0" applyFont="0" applyFill="0" applyBorder="0" applyAlignment="0" applyProtection="0">
      <alignment horizontal="left" vertical="top"/>
    </xf>
    <xf numFmtId="168" fontId="93" fillId="0" borderId="0" applyNumberFormat="0" applyFont="0" applyFill="0" applyBorder="0" applyAlignment="0" applyProtection="0">
      <alignment horizontal="left" vertical="top"/>
    </xf>
    <xf numFmtId="168" fontId="93" fillId="0" borderId="0" applyNumberFormat="0" applyFont="0" applyFill="0" applyBorder="0" applyAlignment="0" applyProtection="0">
      <alignment horizontal="left" vertical="top"/>
    </xf>
    <xf numFmtId="168" fontId="95" fillId="0" borderId="0" applyNumberFormat="0" applyFont="0" applyFill="0" applyBorder="0" applyAlignment="0" applyProtection="0">
      <alignment horizontal="center"/>
    </xf>
    <xf numFmtId="168" fontId="95" fillId="0" borderId="0" applyNumberFormat="0" applyFont="0" applyFill="0" applyBorder="0" applyAlignment="0" applyProtection="0">
      <alignment horizontal="center"/>
    </xf>
    <xf numFmtId="168" fontId="96" fillId="0" borderId="0" applyNumberFormat="0" applyFont="0" applyFill="0" applyBorder="0" applyAlignment="0" applyProtection="0"/>
    <xf numFmtId="168" fontId="97" fillId="0" borderId="0">
      <alignment horizontal="left" wrapText="1"/>
    </xf>
    <xf numFmtId="168" fontId="98" fillId="0" borderId="1" applyNumberFormat="0" applyFont="0" applyFill="0" applyBorder="0" applyAlignment="0" applyProtection="0">
      <alignment horizontal="center" wrapText="1"/>
    </xf>
    <xf numFmtId="198" fontId="19" fillId="0" borderId="0" applyNumberFormat="0" applyFont="0" applyFill="0" applyBorder="0" applyAlignment="0" applyProtection="0">
      <alignment horizontal="right"/>
    </xf>
    <xf numFmtId="168" fontId="98" fillId="0" borderId="0" applyNumberFormat="0" applyFont="0" applyFill="0" applyBorder="0" applyAlignment="0" applyProtection="0">
      <alignment horizontal="left" indent="1"/>
    </xf>
    <xf numFmtId="199" fontId="98" fillId="0" borderId="0" applyNumberFormat="0" applyFont="0" applyFill="0" applyBorder="0" applyAlignment="0" applyProtection="0"/>
    <xf numFmtId="168" fontId="96" fillId="0" borderId="18" applyNumberFormat="0" applyFont="0" applyFill="0" applyBorder="0" applyAlignment="0" applyProtection="0"/>
    <xf numFmtId="168" fontId="18" fillId="0" borderId="0" applyNumberFormat="0" applyFont="0" applyFill="0" applyBorder="0" applyAlignment="0" applyProtection="0">
      <alignment horizontal="left" wrapText="1" indent="1"/>
    </xf>
    <xf numFmtId="168" fontId="18" fillId="0" borderId="0" applyNumberFormat="0" applyFont="0" applyFill="0" applyBorder="0" applyAlignment="0" applyProtection="0">
      <alignment horizontal="left" wrapText="1" indent="1"/>
    </xf>
    <xf numFmtId="168" fontId="98" fillId="0" borderId="0" applyNumberFormat="0" applyFont="0" applyFill="0" applyBorder="0" applyAlignment="0" applyProtection="0">
      <alignment horizontal="left" indent="1"/>
    </xf>
    <xf numFmtId="168" fontId="18" fillId="0" borderId="0" applyNumberFormat="0" applyFont="0" applyFill="0" applyBorder="0" applyAlignment="0" applyProtection="0">
      <alignment horizontal="left" wrapText="1" indent="2"/>
    </xf>
    <xf numFmtId="168" fontId="18" fillId="0" borderId="0" applyNumberFormat="0" applyFont="0" applyFill="0" applyBorder="0" applyAlignment="0" applyProtection="0">
      <alignment horizontal="left" wrapText="1" indent="2"/>
    </xf>
    <xf numFmtId="200" fontId="18" fillId="0" borderId="0">
      <alignment horizontal="right"/>
    </xf>
    <xf numFmtId="200" fontId="18" fillId="0" borderId="0">
      <alignment horizontal="right"/>
    </xf>
    <xf numFmtId="168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168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40" borderId="19" applyNumberFormat="0" applyAlignment="0" applyProtection="0"/>
    <xf numFmtId="166" fontId="26" fillId="0" borderId="0">
      <alignment horizontal="right"/>
    </xf>
    <xf numFmtId="166" fontId="102" fillId="0" borderId="0">
      <alignment horizontal="right"/>
    </xf>
    <xf numFmtId="166" fontId="102" fillId="0" borderId="0">
      <alignment horizontal="right"/>
    </xf>
    <xf numFmtId="168" fontId="103" fillId="0" borderId="0" applyProtection="0"/>
    <xf numFmtId="0" fontId="103" fillId="0" borderId="0" applyProtection="0"/>
    <xf numFmtId="0" fontId="103" fillId="0" borderId="0" applyProtection="0"/>
    <xf numFmtId="18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68" fontId="104" fillId="0" borderId="0" applyProtection="0"/>
    <xf numFmtId="0" fontId="104" fillId="0" borderId="0" applyProtection="0"/>
    <xf numFmtId="0" fontId="104" fillId="0" borderId="0" applyProtection="0"/>
    <xf numFmtId="168" fontId="105" fillId="0" borderId="0" applyProtection="0"/>
    <xf numFmtId="0" fontId="105" fillId="0" borderId="0" applyProtection="0"/>
    <xf numFmtId="0" fontId="105" fillId="0" borderId="0" applyProtection="0"/>
    <xf numFmtId="168" fontId="103" fillId="0" borderId="20" applyProtection="0"/>
    <xf numFmtId="0" fontId="103" fillId="0" borderId="20" applyProtection="0"/>
    <xf numFmtId="0" fontId="103" fillId="0" borderId="20" applyProtection="0"/>
    <xf numFmtId="168" fontId="106" fillId="0" borderId="0"/>
    <xf numFmtId="10" fontId="103" fillId="0" borderId="0" applyProtection="0"/>
    <xf numFmtId="168" fontId="103" fillId="0" borderId="0"/>
    <xf numFmtId="0" fontId="103" fillId="0" borderId="0"/>
    <xf numFmtId="0" fontId="103" fillId="0" borderId="0"/>
    <xf numFmtId="2" fontId="103" fillId="0" borderId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0" fontId="108" fillId="0" borderId="0"/>
    <xf numFmtId="0" fontId="116" fillId="0" borderId="0"/>
    <xf numFmtId="0" fontId="11" fillId="0" borderId="0"/>
    <xf numFmtId="0" fontId="10" fillId="0" borderId="0"/>
    <xf numFmtId="0" fontId="125" fillId="0" borderId="0"/>
    <xf numFmtId="0" fontId="9" fillId="0" borderId="0"/>
    <xf numFmtId="0" fontId="9" fillId="0" borderId="0"/>
    <xf numFmtId="0" fontId="132" fillId="0" borderId="5" applyNumberFormat="0" applyFont="0" applyFill="0" applyAlignment="0" applyProtection="0"/>
    <xf numFmtId="0" fontId="132" fillId="0" borderId="0" applyFont="0" applyFill="0" applyBorder="0" applyAlignment="0" applyProtection="0"/>
    <xf numFmtId="3" fontId="27" fillId="0" borderId="0" applyFont="0" applyFill="0" applyBorder="0" applyAlignment="0" applyProtection="0">
      <alignment vertical="top"/>
    </xf>
    <xf numFmtId="3" fontId="132" fillId="0" borderId="0" applyFont="0" applyFill="0" applyBorder="0" applyAlignment="0" applyProtection="0"/>
    <xf numFmtId="2" fontId="12" fillId="23" borderId="0" applyFont="0" applyFill="0" applyBorder="0" applyAlignment="0" applyProtection="0"/>
    <xf numFmtId="184" fontId="27" fillId="0" borderId="0" applyFont="0" applyFill="0" applyBorder="0" applyAlignment="0" applyProtection="0">
      <alignment vertical="top"/>
    </xf>
    <xf numFmtId="184" fontId="132" fillId="0" borderId="0" applyFont="0" applyFill="0" applyBorder="0" applyAlignment="0" applyProtection="0"/>
    <xf numFmtId="2" fontId="132" fillId="0" borderId="0" applyFont="0" applyFill="0" applyBorder="0" applyAlignment="0" applyProtection="0"/>
    <xf numFmtId="0" fontId="12" fillId="23" borderId="12" applyNumberFormat="0" applyFont="0" applyBorder="0" applyAlignment="0" applyProtection="0"/>
    <xf numFmtId="0" fontId="133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16" fillId="0" borderId="0"/>
    <xf numFmtId="0" fontId="12" fillId="0" borderId="0">
      <alignment vertical="center"/>
    </xf>
    <xf numFmtId="177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>
      <alignment vertical="center"/>
    </xf>
    <xf numFmtId="0" fontId="12" fillId="0" borderId="0">
      <alignment vertical="center"/>
    </xf>
    <xf numFmtId="0" fontId="137" fillId="0" borderId="0"/>
    <xf numFmtId="0" fontId="136" fillId="0" borderId="0"/>
    <xf numFmtId="0" fontId="137" fillId="0" borderId="0"/>
    <xf numFmtId="0" fontId="138" fillId="0" borderId="0" applyNumberFormat="0" applyFill="0" applyBorder="0" applyAlignment="0" applyProtection="0">
      <alignment vertical="top"/>
      <protection locked="0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37" fillId="0" borderId="0"/>
    <xf numFmtId="0" fontId="137" fillId="0" borderId="0"/>
    <xf numFmtId="0" fontId="137" fillId="0" borderId="0"/>
    <xf numFmtId="0" fontId="132" fillId="0" borderId="0"/>
    <xf numFmtId="0" fontId="12" fillId="0" borderId="0">
      <alignment vertical="center"/>
    </xf>
    <xf numFmtId="0" fontId="137" fillId="0" borderId="0"/>
    <xf numFmtId="0" fontId="136" fillId="0" borderId="0"/>
    <xf numFmtId="9" fontId="136" fillId="0" borderId="0" applyFont="0" applyFill="0" applyBorder="0" applyAlignment="0" applyProtection="0"/>
    <xf numFmtId="0" fontId="12" fillId="0" borderId="0">
      <alignment vertical="center"/>
    </xf>
    <xf numFmtId="177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37" fillId="0" borderId="0"/>
    <xf numFmtId="0" fontId="137" fillId="0" borderId="0"/>
    <xf numFmtId="9" fontId="12" fillId="0" borderId="0" applyFont="0" applyFill="0" applyBorder="0" applyAlignment="0" applyProtection="0"/>
    <xf numFmtId="0" fontId="137" fillId="0" borderId="0"/>
    <xf numFmtId="0" fontId="137" fillId="0" borderId="0"/>
    <xf numFmtId="0" fontId="137" fillId="0" borderId="0"/>
    <xf numFmtId="0" fontId="8" fillId="0" borderId="0"/>
    <xf numFmtId="9" fontId="8" fillId="0" borderId="0" applyFont="0" applyFill="0" applyBorder="0" applyAlignment="0" applyProtection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2" fillId="0" borderId="0">
      <alignment vertical="center"/>
    </xf>
    <xf numFmtId="9" fontId="12" fillId="0" borderId="0" applyFont="0" applyFill="0" applyBorder="0" applyAlignment="0" applyProtection="0"/>
    <xf numFmtId="0" fontId="12" fillId="0" borderId="0">
      <alignment vertical="center"/>
    </xf>
    <xf numFmtId="0" fontId="12" fillId="0" borderId="0">
      <alignment vertical="center"/>
    </xf>
    <xf numFmtId="0" fontId="137" fillId="0" borderId="0"/>
    <xf numFmtId="0" fontId="137" fillId="0" borderId="0"/>
    <xf numFmtId="0" fontId="12" fillId="0" borderId="0">
      <alignment vertical="center"/>
    </xf>
    <xf numFmtId="9" fontId="12" fillId="0" borderId="0" applyFont="0" applyFill="0" applyBorder="0" applyAlignment="0" applyProtection="0"/>
    <xf numFmtId="0" fontId="12" fillId="0" borderId="0">
      <alignment vertical="center"/>
    </xf>
    <xf numFmtId="0" fontId="12" fillId="0" borderId="0">
      <alignment vertical="center"/>
    </xf>
    <xf numFmtId="0" fontId="137" fillId="0" borderId="0"/>
    <xf numFmtId="0" fontId="137" fillId="0" borderId="0"/>
    <xf numFmtId="0" fontId="137" fillId="0" borderId="0"/>
    <xf numFmtId="0" fontId="12" fillId="0" borderId="0">
      <alignment vertical="center"/>
    </xf>
    <xf numFmtId="0" fontId="137" fillId="0" borderId="0"/>
    <xf numFmtId="0" fontId="12" fillId="0" borderId="0">
      <alignment vertical="center"/>
    </xf>
    <xf numFmtId="177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37" fillId="0" borderId="0"/>
    <xf numFmtId="0" fontId="137" fillId="0" borderId="0"/>
    <xf numFmtId="9" fontId="12" fillId="0" borderId="0" applyFont="0" applyFill="0" applyBorder="0" applyAlignment="0" applyProtection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2" fillId="0" borderId="0">
      <alignment vertical="center"/>
    </xf>
    <xf numFmtId="177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2" fillId="0" borderId="0">
      <alignment vertical="center"/>
    </xf>
    <xf numFmtId="177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2" fillId="0" borderId="0"/>
    <xf numFmtId="9" fontId="137" fillId="0" borderId="0" applyFont="0" applyFill="0" applyBorder="0" applyAlignment="0" applyProtection="0"/>
    <xf numFmtId="0" fontId="135" fillId="0" borderId="0"/>
    <xf numFmtId="9" fontId="135" fillId="0" borderId="0" applyFont="0" applyFill="0" applyBorder="0" applyAlignment="0" applyProtection="0"/>
    <xf numFmtId="0" fontId="135" fillId="0" borderId="0"/>
    <xf numFmtId="0" fontId="139" fillId="0" borderId="0"/>
    <xf numFmtId="0" fontId="13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37" fillId="0" borderId="0"/>
    <xf numFmtId="0" fontId="136" fillId="0" borderId="0"/>
    <xf numFmtId="0" fontId="139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2" fillId="0" borderId="0">
      <alignment vertical="center"/>
    </xf>
    <xf numFmtId="0" fontId="137" fillId="0" borderId="0"/>
    <xf numFmtId="0" fontId="137" fillId="0" borderId="0"/>
    <xf numFmtId="0" fontId="136" fillId="0" borderId="0"/>
    <xf numFmtId="9" fontId="136" fillId="0" borderId="0" applyFont="0" applyFill="0" applyBorder="0" applyAlignment="0" applyProtection="0"/>
    <xf numFmtId="0" fontId="136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2" fillId="0" borderId="0">
      <alignment vertical="center"/>
    </xf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9" fillId="0" borderId="0"/>
    <xf numFmtId="0" fontId="137" fillId="0" borderId="0"/>
    <xf numFmtId="0" fontId="12" fillId="0" borderId="0">
      <alignment vertical="center"/>
    </xf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9" fontId="136" fillId="0" borderId="0" applyFont="0" applyFill="0" applyBorder="0" applyAlignment="0" applyProtection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6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2" fillId="0" borderId="0"/>
    <xf numFmtId="0" fontId="135" fillId="0" borderId="0"/>
    <xf numFmtId="9" fontId="135" fillId="0" borderId="0" applyFont="0" applyFill="0" applyBorder="0" applyAlignment="0" applyProtection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6" fillId="0" borderId="0"/>
    <xf numFmtId="0" fontId="137" fillId="0" borderId="0"/>
    <xf numFmtId="0" fontId="137" fillId="0" borderId="0"/>
    <xf numFmtId="9" fontId="136" fillId="0" borderId="0" applyFont="0" applyFill="0" applyBorder="0" applyAlignment="0" applyProtection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6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2" fillId="0" borderId="0"/>
    <xf numFmtId="0" fontId="135" fillId="0" borderId="0"/>
    <xf numFmtId="9" fontId="135" fillId="0" borderId="0" applyFont="0" applyFill="0" applyBorder="0" applyAlignment="0" applyProtection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2" fillId="0" borderId="0"/>
    <xf numFmtId="0" fontId="135" fillId="0" borderId="0"/>
    <xf numFmtId="9" fontId="135" fillId="0" borderId="0" applyFont="0" applyFill="0" applyBorder="0" applyAlignment="0" applyProtection="0"/>
    <xf numFmtId="0" fontId="137" fillId="0" borderId="0"/>
    <xf numFmtId="0" fontId="12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12" fillId="0" borderId="0" applyNumberFormat="0" applyFont="0" applyFill="0" applyBorder="0" applyAlignment="0" applyProtection="0"/>
    <xf numFmtId="9" fontId="58" fillId="0" borderId="0" applyFont="0" applyFill="0" applyBorder="0" applyAlignment="0" applyProtection="0"/>
    <xf numFmtId="0" fontId="136" fillId="0" borderId="0"/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37" fillId="0" borderId="0"/>
    <xf numFmtId="0" fontId="136" fillId="0" borderId="0"/>
    <xf numFmtId="0" fontId="137" fillId="0" borderId="0"/>
    <xf numFmtId="0" fontId="137" fillId="0" borderId="0"/>
    <xf numFmtId="0" fontId="12" fillId="0" borderId="0">
      <alignment vertical="center"/>
    </xf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6" fillId="0" borderId="0"/>
    <xf numFmtId="9" fontId="136" fillId="0" borderId="0" applyFont="0" applyFill="0" applyBorder="0" applyAlignment="0" applyProtection="0"/>
    <xf numFmtId="0" fontId="137" fillId="0" borderId="0"/>
    <xf numFmtId="0" fontId="137" fillId="0" borderId="0"/>
    <xf numFmtId="0" fontId="137" fillId="0" borderId="0"/>
    <xf numFmtId="0" fontId="12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2" fillId="0" borderId="0">
      <alignment vertical="center"/>
    </xf>
    <xf numFmtId="0" fontId="136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2" fillId="0" borderId="0">
      <alignment vertical="center"/>
    </xf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9" fontId="58" fillId="0" borderId="0" applyFont="0" applyFill="0" applyBorder="0" applyAlignment="0" applyProtection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2" fillId="0" borderId="0" applyNumberFormat="0" applyFont="0" applyFill="0" applyBorder="0" applyAlignment="0" applyProtection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2" fillId="0" borderId="0"/>
    <xf numFmtId="0" fontId="8" fillId="0" borderId="0"/>
    <xf numFmtId="0" fontId="135" fillId="0" borderId="0"/>
    <xf numFmtId="9" fontId="135" fillId="0" borderId="0" applyFont="0" applyFill="0" applyBorder="0" applyAlignment="0" applyProtection="0"/>
    <xf numFmtId="0" fontId="136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6" fillId="0" borderId="0"/>
    <xf numFmtId="9" fontId="136" fillId="0" borderId="0" applyFont="0" applyFill="0" applyBorder="0" applyAlignment="0" applyProtection="0"/>
    <xf numFmtId="0" fontId="136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2" fillId="0" borderId="0"/>
    <xf numFmtId="0" fontId="137" fillId="0" borderId="0"/>
    <xf numFmtId="0" fontId="137" fillId="0" borderId="0"/>
    <xf numFmtId="9" fontId="136" fillId="0" borderId="0" applyFont="0" applyFill="0" applyBorder="0" applyAlignment="0" applyProtection="0"/>
    <xf numFmtId="0" fontId="137" fillId="0" borderId="0"/>
    <xf numFmtId="0" fontId="137" fillId="0" borderId="0"/>
    <xf numFmtId="0" fontId="137" fillId="0" borderId="0"/>
    <xf numFmtId="0" fontId="136" fillId="0" borderId="0"/>
    <xf numFmtId="0" fontId="136" fillId="0" borderId="0"/>
    <xf numFmtId="0" fontId="136" fillId="0" borderId="0"/>
    <xf numFmtId="0" fontId="137" fillId="0" borderId="0"/>
    <xf numFmtId="0" fontId="137" fillId="0" borderId="0"/>
    <xf numFmtId="9" fontId="136" fillId="0" borderId="0" applyFont="0" applyFill="0" applyBorder="0" applyAlignment="0" applyProtection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6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9" fontId="135" fillId="0" borderId="0" applyFont="0" applyFill="0" applyBorder="0" applyAlignment="0" applyProtection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8" fillId="0" borderId="0"/>
    <xf numFmtId="0" fontId="137" fillId="0" borderId="0"/>
    <xf numFmtId="0" fontId="137" fillId="0" borderId="0"/>
    <xf numFmtId="0" fontId="136" fillId="0" borderId="0"/>
    <xf numFmtId="0" fontId="137" fillId="0" borderId="0"/>
    <xf numFmtId="0" fontId="136" fillId="0" borderId="0"/>
    <xf numFmtId="0" fontId="136" fillId="0" borderId="0"/>
    <xf numFmtId="9" fontId="136" fillId="0" borderId="0" applyFont="0" applyFill="0" applyBorder="0" applyAlignment="0" applyProtection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6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5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2" fillId="0" borderId="0">
      <alignment vertical="center"/>
    </xf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2" fillId="0" borderId="0">
      <alignment vertical="center"/>
    </xf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9" fontId="136" fillId="0" borderId="0" applyFont="0" applyFill="0" applyBorder="0" applyAlignment="0" applyProtection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6" fillId="0" borderId="0"/>
    <xf numFmtId="0" fontId="137" fillId="0" borderId="0"/>
    <xf numFmtId="0" fontId="137" fillId="0" borderId="0"/>
    <xf numFmtId="9" fontId="136" fillId="0" borderId="0" applyFont="0" applyFill="0" applyBorder="0" applyAlignment="0" applyProtection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6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6" fillId="0" borderId="0"/>
    <xf numFmtId="0" fontId="137" fillId="0" borderId="0"/>
    <xf numFmtId="9" fontId="136" fillId="0" borderId="0" applyFont="0" applyFill="0" applyBorder="0" applyAlignment="0" applyProtection="0"/>
    <xf numFmtId="0" fontId="137" fillId="0" borderId="0"/>
    <xf numFmtId="0" fontId="137" fillId="0" borderId="0"/>
    <xf numFmtId="9" fontId="12" fillId="0" borderId="0" applyFont="0" applyFill="0" applyBorder="0" applyAlignment="0" applyProtection="0"/>
    <xf numFmtId="0" fontId="12" fillId="0" borderId="0">
      <alignment vertical="center"/>
    </xf>
    <xf numFmtId="0" fontId="137" fillId="0" borderId="0"/>
    <xf numFmtId="0" fontId="137" fillId="0" borderId="0"/>
    <xf numFmtId="0" fontId="12" fillId="0" borderId="0">
      <alignment vertical="center"/>
    </xf>
    <xf numFmtId="0" fontId="12" fillId="0" borderId="0">
      <alignment vertical="center"/>
    </xf>
    <xf numFmtId="9" fontId="12" fillId="0" borderId="0" applyFont="0" applyFill="0" applyBorder="0" applyAlignment="0" applyProtection="0"/>
    <xf numFmtId="0" fontId="137" fillId="0" borderId="0"/>
    <xf numFmtId="0" fontId="137" fillId="0" borderId="0"/>
    <xf numFmtId="0" fontId="137" fillId="0" borderId="0"/>
    <xf numFmtId="0" fontId="137" fillId="0" borderId="0"/>
    <xf numFmtId="0" fontId="12" fillId="0" borderId="0">
      <alignment vertical="center"/>
    </xf>
    <xf numFmtId="0" fontId="137" fillId="0" borderId="0"/>
    <xf numFmtId="177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>
      <alignment vertical="center"/>
    </xf>
    <xf numFmtId="0" fontId="137" fillId="0" borderId="0"/>
    <xf numFmtId="0" fontId="137" fillId="0" borderId="0"/>
    <xf numFmtId="0" fontId="12" fillId="0" borderId="0">
      <alignment vertical="center"/>
    </xf>
    <xf numFmtId="0" fontId="12" fillId="0" borderId="0">
      <alignment vertical="center"/>
    </xf>
    <xf numFmtId="0" fontId="137" fillId="0" borderId="0"/>
    <xf numFmtId="9" fontId="12" fillId="0" borderId="0" applyFont="0" applyFill="0" applyBorder="0" applyAlignment="0" applyProtection="0"/>
    <xf numFmtId="0" fontId="137" fillId="0" borderId="0"/>
    <xf numFmtId="0" fontId="137" fillId="0" borderId="0"/>
    <xf numFmtId="0" fontId="12" fillId="0" borderId="0">
      <alignment vertical="center"/>
    </xf>
    <xf numFmtId="177" fontId="12" fillId="0" borderId="0" applyFont="0" applyFill="0" applyBorder="0" applyAlignment="0" applyProtection="0"/>
    <xf numFmtId="0" fontId="12" fillId="0" borderId="0">
      <alignment vertical="center"/>
    </xf>
    <xf numFmtId="0" fontId="137" fillId="0" borderId="0"/>
    <xf numFmtId="0" fontId="137" fillId="0" borderId="0"/>
    <xf numFmtId="0" fontId="137" fillId="0" borderId="0"/>
    <xf numFmtId="0" fontId="12" fillId="0" borderId="0">
      <alignment vertical="center"/>
    </xf>
    <xf numFmtId="9" fontId="12" fillId="0" borderId="0" applyFont="0" applyFill="0" applyBorder="0" applyAlignment="0" applyProtection="0"/>
    <xf numFmtId="0" fontId="12" fillId="0" borderId="0">
      <alignment vertical="center"/>
    </xf>
    <xf numFmtId="9" fontId="12" fillId="0" borderId="0" applyFont="0" applyFill="0" applyBorder="0" applyAlignment="0" applyProtection="0"/>
    <xf numFmtId="0" fontId="137" fillId="0" borderId="0"/>
    <xf numFmtId="177" fontId="12" fillId="0" borderId="0" applyFont="0" applyFill="0" applyBorder="0" applyAlignment="0" applyProtection="0"/>
    <xf numFmtId="0" fontId="12" fillId="0" borderId="0">
      <alignment vertical="center"/>
    </xf>
    <xf numFmtId="0" fontId="137" fillId="0" borderId="0"/>
    <xf numFmtId="9" fontId="12" fillId="0" borderId="0" applyFont="0" applyFill="0" applyBorder="0" applyAlignment="0" applyProtection="0"/>
    <xf numFmtId="0" fontId="12" fillId="0" borderId="0">
      <alignment vertical="center"/>
    </xf>
    <xf numFmtId="0" fontId="137" fillId="0" borderId="0"/>
    <xf numFmtId="0" fontId="12" fillId="0" borderId="0">
      <alignment vertical="center"/>
    </xf>
    <xf numFmtId="0" fontId="137" fillId="0" borderId="0"/>
    <xf numFmtId="177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37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>
      <alignment vertical="center"/>
    </xf>
    <xf numFmtId="0" fontId="137" fillId="0" borderId="0"/>
    <xf numFmtId="0" fontId="137" fillId="0" borderId="0"/>
    <xf numFmtId="0" fontId="137" fillId="0" borderId="0"/>
    <xf numFmtId="0" fontId="12" fillId="0" borderId="0">
      <alignment vertical="center"/>
    </xf>
    <xf numFmtId="0" fontId="12" fillId="0" borderId="0">
      <alignment vertical="center"/>
    </xf>
    <xf numFmtId="177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37" fillId="0" borderId="0"/>
    <xf numFmtId="0" fontId="137" fillId="0" borderId="0"/>
    <xf numFmtId="177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>
      <alignment vertical="center"/>
    </xf>
    <xf numFmtId="0" fontId="137" fillId="0" borderId="0"/>
    <xf numFmtId="0" fontId="137" fillId="0" borderId="0"/>
    <xf numFmtId="9" fontId="12" fillId="0" borderId="0" applyFont="0" applyFill="0" applyBorder="0" applyAlignment="0" applyProtection="0"/>
    <xf numFmtId="0" fontId="12" fillId="0" borderId="0">
      <alignment vertical="center"/>
    </xf>
    <xf numFmtId="9" fontId="12" fillId="0" borderId="0" applyFont="0" applyFill="0" applyBorder="0" applyAlignment="0" applyProtection="0"/>
    <xf numFmtId="0" fontId="137" fillId="0" borderId="0"/>
    <xf numFmtId="0" fontId="137" fillId="0" borderId="0"/>
    <xf numFmtId="0" fontId="12" fillId="0" borderId="0">
      <alignment vertical="center"/>
    </xf>
    <xf numFmtId="177" fontId="12" fillId="0" borderId="0" applyFont="0" applyFill="0" applyBorder="0" applyAlignment="0" applyProtection="0"/>
    <xf numFmtId="0" fontId="12" fillId="0" borderId="0">
      <alignment vertical="center"/>
    </xf>
    <xf numFmtId="0" fontId="137" fillId="0" borderId="0"/>
    <xf numFmtId="0" fontId="13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37" fillId="0" borderId="0"/>
    <xf numFmtId="0" fontId="137" fillId="0" borderId="0"/>
    <xf numFmtId="9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0" fontId="137" fillId="0" borderId="0"/>
    <xf numFmtId="0" fontId="137" fillId="0" borderId="0"/>
    <xf numFmtId="0" fontId="137" fillId="0" borderId="0"/>
    <xf numFmtId="0" fontId="137" fillId="0" borderId="0"/>
    <xf numFmtId="9" fontId="12" fillId="0" borderId="0" applyFont="0" applyFill="0" applyBorder="0" applyAlignment="0" applyProtection="0"/>
    <xf numFmtId="0" fontId="137" fillId="0" borderId="0"/>
    <xf numFmtId="0" fontId="137" fillId="0" borderId="0"/>
    <xf numFmtId="0" fontId="12" fillId="0" borderId="0">
      <alignment vertical="center"/>
    </xf>
    <xf numFmtId="0" fontId="137" fillId="0" borderId="0"/>
    <xf numFmtId="9" fontId="12" fillId="0" borderId="0" applyFont="0" applyFill="0" applyBorder="0" applyAlignment="0" applyProtection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2" fillId="0" borderId="0">
      <alignment vertical="center"/>
    </xf>
    <xf numFmtId="0" fontId="12" fillId="0" borderId="0">
      <alignment vertical="center"/>
    </xf>
    <xf numFmtId="9" fontId="12" fillId="0" borderId="0" applyFont="0" applyFill="0" applyBorder="0" applyAlignment="0" applyProtection="0"/>
    <xf numFmtId="0" fontId="137" fillId="0" borderId="0"/>
    <xf numFmtId="0" fontId="137" fillId="0" borderId="0"/>
    <xf numFmtId="0" fontId="137" fillId="0" borderId="0"/>
    <xf numFmtId="0" fontId="137" fillId="0" borderId="0"/>
    <xf numFmtId="0" fontId="12" fillId="0" borderId="0">
      <alignment vertical="center"/>
    </xf>
    <xf numFmtId="0" fontId="136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8" fillId="0" borderId="0"/>
    <xf numFmtId="0" fontId="12" fillId="0" borderId="0"/>
    <xf numFmtId="0" fontId="12" fillId="0" borderId="0">
      <alignment vertical="center"/>
    </xf>
    <xf numFmtId="0" fontId="12" fillId="0" borderId="0" applyNumberFormat="0" applyFont="0" applyFill="0" applyBorder="0" applyAlignment="0" applyProtection="0"/>
    <xf numFmtId="0" fontId="8" fillId="0" borderId="0"/>
    <xf numFmtId="0" fontId="12" fillId="0" borderId="0">
      <alignment vertical="center"/>
    </xf>
    <xf numFmtId="9" fontId="58" fillId="0" borderId="0" applyFont="0" applyFill="0" applyBorder="0" applyAlignment="0" applyProtection="0"/>
    <xf numFmtId="0" fontId="137" fillId="0" borderId="0"/>
    <xf numFmtId="0" fontId="137" fillId="0" borderId="0"/>
    <xf numFmtId="0" fontId="8" fillId="0" borderId="0"/>
    <xf numFmtId="0" fontId="8" fillId="0" borderId="0"/>
    <xf numFmtId="0" fontId="12" fillId="0" borderId="0" applyNumberFormat="0" applyFont="0" applyFill="0" applyBorder="0" applyAlignment="0" applyProtection="0"/>
    <xf numFmtId="9" fontId="58" fillId="0" borderId="0" applyFont="0" applyFill="0" applyBorder="0" applyAlignment="0" applyProtection="0"/>
    <xf numFmtId="0" fontId="136" fillId="0" borderId="0"/>
    <xf numFmtId="0" fontId="12" fillId="0" borderId="0"/>
    <xf numFmtId="0" fontId="137" fillId="0" borderId="0"/>
    <xf numFmtId="0" fontId="8" fillId="0" borderId="0"/>
    <xf numFmtId="0" fontId="8" fillId="0" borderId="0"/>
    <xf numFmtId="0" fontId="12" fillId="0" borderId="0" applyNumberFormat="0" applyFont="0" applyFill="0" applyBorder="0" applyAlignment="0" applyProtection="0"/>
    <xf numFmtId="9" fontId="58" fillId="0" borderId="0" applyFont="0" applyFill="0" applyBorder="0" applyAlignment="0" applyProtection="0"/>
    <xf numFmtId="0" fontId="136" fillId="0" borderId="0"/>
    <xf numFmtId="0" fontId="12" fillId="0" borderId="0"/>
    <xf numFmtId="0" fontId="137" fillId="0" borderId="0"/>
    <xf numFmtId="0" fontId="8" fillId="0" borderId="0"/>
    <xf numFmtId="0" fontId="8" fillId="0" borderId="0"/>
    <xf numFmtId="0" fontId="12" fillId="0" borderId="0" applyNumberFormat="0" applyFont="0" applyFill="0" applyBorder="0" applyAlignment="0" applyProtection="0"/>
    <xf numFmtId="9" fontId="58" fillId="0" borderId="0" applyFont="0" applyFill="0" applyBorder="0" applyAlignment="0" applyProtection="0"/>
    <xf numFmtId="0" fontId="136" fillId="0" borderId="0"/>
    <xf numFmtId="0" fontId="12" fillId="0" borderId="0"/>
    <xf numFmtId="0" fontId="137" fillId="0" borderId="0"/>
    <xf numFmtId="0" fontId="8" fillId="0" borderId="0"/>
    <xf numFmtId="0" fontId="8" fillId="0" borderId="0"/>
    <xf numFmtId="0" fontId="12" fillId="0" borderId="0" applyNumberFormat="0" applyFont="0" applyFill="0" applyBorder="0" applyAlignment="0" applyProtection="0"/>
    <xf numFmtId="9" fontId="58" fillId="0" borderId="0" applyFont="0" applyFill="0" applyBorder="0" applyAlignment="0" applyProtection="0"/>
    <xf numFmtId="0" fontId="136" fillId="0" borderId="0"/>
    <xf numFmtId="0" fontId="12" fillId="0" borderId="0"/>
    <xf numFmtId="0" fontId="137" fillId="0" borderId="0"/>
    <xf numFmtId="0" fontId="8" fillId="0" borderId="0"/>
    <xf numFmtId="0" fontId="8" fillId="0" borderId="0"/>
    <xf numFmtId="0" fontId="12" fillId="0" borderId="0" applyNumberFormat="0" applyFont="0" applyFill="0" applyBorder="0" applyAlignment="0" applyProtection="0"/>
    <xf numFmtId="9" fontId="58" fillId="0" borderId="0" applyFont="0" applyFill="0" applyBorder="0" applyAlignment="0" applyProtection="0"/>
    <xf numFmtId="0" fontId="136" fillId="0" borderId="0"/>
    <xf numFmtId="0" fontId="12" fillId="0" borderId="0"/>
    <xf numFmtId="0" fontId="8" fillId="0" borderId="0"/>
    <xf numFmtId="0" fontId="8" fillId="0" borderId="0"/>
    <xf numFmtId="0" fontId="12" fillId="0" borderId="0" applyNumberFormat="0" applyFont="0" applyFill="0" applyBorder="0" applyAlignment="0" applyProtection="0"/>
    <xf numFmtId="9" fontId="58" fillId="0" borderId="0" applyFont="0" applyFill="0" applyBorder="0" applyAlignment="0" applyProtection="0"/>
    <xf numFmtId="0" fontId="136" fillId="0" borderId="0"/>
    <xf numFmtId="0" fontId="12" fillId="0" borderId="0"/>
    <xf numFmtId="0" fontId="8" fillId="0" borderId="0"/>
    <xf numFmtId="0" fontId="8" fillId="0" borderId="0"/>
    <xf numFmtId="0" fontId="12" fillId="0" borderId="0" applyNumberFormat="0" applyFont="0" applyFill="0" applyBorder="0" applyAlignment="0" applyProtection="0"/>
    <xf numFmtId="9" fontId="58" fillId="0" borderId="0" applyFont="0" applyFill="0" applyBorder="0" applyAlignment="0" applyProtection="0"/>
    <xf numFmtId="0" fontId="136" fillId="0" borderId="0"/>
    <xf numFmtId="0" fontId="12" fillId="0" borderId="0"/>
    <xf numFmtId="0" fontId="8" fillId="0" borderId="0"/>
    <xf numFmtId="0" fontId="8" fillId="0" borderId="0"/>
    <xf numFmtId="0" fontId="12" fillId="0" borderId="0" applyNumberFormat="0" applyFont="0" applyFill="0" applyBorder="0" applyAlignment="0" applyProtection="0"/>
    <xf numFmtId="9" fontId="58" fillId="0" borderId="0" applyFont="0" applyFill="0" applyBorder="0" applyAlignment="0" applyProtection="0"/>
    <xf numFmtId="0" fontId="136" fillId="0" borderId="0"/>
    <xf numFmtId="0" fontId="12" fillId="0" borderId="0"/>
    <xf numFmtId="0" fontId="8" fillId="0" borderId="0"/>
    <xf numFmtId="0" fontId="8" fillId="0" borderId="0"/>
    <xf numFmtId="0" fontId="12" fillId="0" borderId="0" applyNumberFormat="0" applyFont="0" applyFill="0" applyBorder="0" applyAlignment="0" applyProtection="0"/>
    <xf numFmtId="9" fontId="58" fillId="0" borderId="0" applyFont="0" applyFill="0" applyBorder="0" applyAlignment="0" applyProtection="0"/>
    <xf numFmtId="0" fontId="136" fillId="0" borderId="0"/>
    <xf numFmtId="0" fontId="12" fillId="0" borderId="0"/>
    <xf numFmtId="0" fontId="140" fillId="0" borderId="0" applyNumberFormat="0" applyFill="0" applyBorder="0" applyAlignment="0" applyProtection="0"/>
    <xf numFmtId="0" fontId="141" fillId="0" borderId="24" applyNumberFormat="0" applyFill="0" applyAlignment="0" applyProtection="0"/>
    <xf numFmtId="0" fontId="142" fillId="0" borderId="25" applyNumberFormat="0" applyFill="0" applyAlignment="0" applyProtection="0"/>
    <xf numFmtId="0" fontId="143" fillId="0" borderId="26" applyNumberFormat="0" applyFill="0" applyAlignment="0" applyProtection="0"/>
    <xf numFmtId="0" fontId="143" fillId="0" borderId="0" applyNumberFormat="0" applyFill="0" applyBorder="0" applyAlignment="0" applyProtection="0"/>
    <xf numFmtId="0" fontId="144" fillId="43" borderId="0" applyNumberFormat="0" applyBorder="0" applyAlignment="0" applyProtection="0"/>
    <xf numFmtId="0" fontId="145" fillId="44" borderId="0" applyNumberFormat="0" applyBorder="0" applyAlignment="0" applyProtection="0"/>
    <xf numFmtId="0" fontId="146" fillId="45" borderId="0" applyNumberFormat="0" applyBorder="0" applyAlignment="0" applyProtection="0"/>
    <xf numFmtId="0" fontId="147" fillId="46" borderId="27" applyNumberFormat="0" applyAlignment="0" applyProtection="0"/>
    <xf numFmtId="0" fontId="148" fillId="47" borderId="28" applyNumberFormat="0" applyAlignment="0" applyProtection="0"/>
    <xf numFmtId="0" fontId="149" fillId="47" borderId="27" applyNumberFormat="0" applyAlignment="0" applyProtection="0"/>
    <xf numFmtId="0" fontId="150" fillId="0" borderId="29" applyNumberFormat="0" applyFill="0" applyAlignment="0" applyProtection="0"/>
    <xf numFmtId="0" fontId="151" fillId="48" borderId="30" applyNumberFormat="0" applyAlignment="0" applyProtection="0"/>
    <xf numFmtId="0" fontId="152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54" fillId="0" borderId="32" applyNumberFormat="0" applyFill="0" applyAlignment="0" applyProtection="0"/>
    <xf numFmtId="0" fontId="155" fillId="50" borderId="0" applyNumberFormat="0" applyBorder="0" applyAlignment="0" applyProtection="0"/>
    <xf numFmtId="0" fontId="136" fillId="51" borderId="0" applyNumberFormat="0" applyBorder="0" applyAlignment="0" applyProtection="0"/>
    <xf numFmtId="0" fontId="136" fillId="52" borderId="0" applyNumberFormat="0" applyBorder="0" applyAlignment="0" applyProtection="0"/>
    <xf numFmtId="0" fontId="155" fillId="53" borderId="0" applyNumberFormat="0" applyBorder="0" applyAlignment="0" applyProtection="0"/>
    <xf numFmtId="0" fontId="155" fillId="54" borderId="0" applyNumberFormat="0" applyBorder="0" applyAlignment="0" applyProtection="0"/>
    <xf numFmtId="0" fontId="136" fillId="55" borderId="0" applyNumberFormat="0" applyBorder="0" applyAlignment="0" applyProtection="0"/>
    <xf numFmtId="0" fontId="136" fillId="56" borderId="0" applyNumberFormat="0" applyBorder="0" applyAlignment="0" applyProtection="0"/>
    <xf numFmtId="0" fontId="155" fillId="57" borderId="0" applyNumberFormat="0" applyBorder="0" applyAlignment="0" applyProtection="0"/>
    <xf numFmtId="0" fontId="155" fillId="58" borderId="0" applyNumberFormat="0" applyBorder="0" applyAlignment="0" applyProtection="0"/>
    <xf numFmtId="0" fontId="136" fillId="59" borderId="0" applyNumberFormat="0" applyBorder="0" applyAlignment="0" applyProtection="0"/>
    <xf numFmtId="0" fontId="136" fillId="60" borderId="0" applyNumberFormat="0" applyBorder="0" applyAlignment="0" applyProtection="0"/>
    <xf numFmtId="0" fontId="155" fillId="61" borderId="0" applyNumberFormat="0" applyBorder="0" applyAlignment="0" applyProtection="0"/>
    <xf numFmtId="0" fontId="155" fillId="62" borderId="0" applyNumberFormat="0" applyBorder="0" applyAlignment="0" applyProtection="0"/>
    <xf numFmtId="0" fontId="136" fillId="63" borderId="0" applyNumberFormat="0" applyBorder="0" applyAlignment="0" applyProtection="0"/>
    <xf numFmtId="0" fontId="136" fillId="64" borderId="0" applyNumberFormat="0" applyBorder="0" applyAlignment="0" applyProtection="0"/>
    <xf numFmtId="0" fontId="155" fillId="65" borderId="0" applyNumberFormat="0" applyBorder="0" applyAlignment="0" applyProtection="0"/>
    <xf numFmtId="0" fontId="155" fillId="66" borderId="0" applyNumberFormat="0" applyBorder="0" applyAlignment="0" applyProtection="0"/>
    <xf numFmtId="0" fontId="136" fillId="67" borderId="0" applyNumberFormat="0" applyBorder="0" applyAlignment="0" applyProtection="0"/>
    <xf numFmtId="0" fontId="136" fillId="68" borderId="0" applyNumberFormat="0" applyBorder="0" applyAlignment="0" applyProtection="0"/>
    <xf numFmtId="0" fontId="155" fillId="69" borderId="0" applyNumberFormat="0" applyBorder="0" applyAlignment="0" applyProtection="0"/>
    <xf numFmtId="0" fontId="155" fillId="70" borderId="0" applyNumberFormat="0" applyBorder="0" applyAlignment="0" applyProtection="0"/>
    <xf numFmtId="0" fontId="136" fillId="71" borderId="0" applyNumberFormat="0" applyBorder="0" applyAlignment="0" applyProtection="0"/>
    <xf numFmtId="0" fontId="136" fillId="72" borderId="0" applyNumberFormat="0" applyBorder="0" applyAlignment="0" applyProtection="0"/>
    <xf numFmtId="0" fontId="155" fillId="73" borderId="0" applyNumberFormat="0" applyBorder="0" applyAlignment="0" applyProtection="0"/>
    <xf numFmtId="0" fontId="136" fillId="49" borderId="31" applyNumberFormat="0" applyFont="0" applyAlignment="0" applyProtection="0"/>
    <xf numFmtId="0" fontId="136" fillId="49" borderId="31" applyNumberFormat="0" applyFont="0" applyAlignment="0" applyProtection="0"/>
    <xf numFmtId="0" fontId="136" fillId="49" borderId="31" applyNumberFormat="0" applyFont="0" applyAlignment="0" applyProtection="0"/>
    <xf numFmtId="0" fontId="136" fillId="49" borderId="31" applyNumberFormat="0" applyFont="0" applyAlignment="0" applyProtection="0"/>
    <xf numFmtId="0" fontId="136" fillId="49" borderId="31" applyNumberFormat="0" applyFont="0" applyAlignment="0" applyProtection="0"/>
    <xf numFmtId="0" fontId="136" fillId="49" borderId="31" applyNumberFormat="0" applyFont="0" applyAlignment="0" applyProtection="0"/>
    <xf numFmtId="0" fontId="136" fillId="0" borderId="0"/>
    <xf numFmtId="0" fontId="136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62" fillId="0" borderId="0"/>
    <xf numFmtId="0" fontId="62" fillId="0" borderId="0"/>
    <xf numFmtId="0" fontId="135" fillId="0" borderId="0"/>
    <xf numFmtId="9" fontId="135" fillId="0" borderId="0" applyFont="0" applyFill="0" applyBorder="0" applyAlignment="0" applyProtection="0"/>
    <xf numFmtId="0" fontId="12" fillId="0" borderId="0"/>
    <xf numFmtId="0" fontId="12" fillId="0" borderId="0">
      <alignment vertical="center"/>
    </xf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>
      <alignment vertical="center"/>
    </xf>
    <xf numFmtId="9" fontId="12" fillId="0" borderId="0" applyFont="0" applyFill="0" applyBorder="0" applyAlignment="0" applyProtection="0"/>
    <xf numFmtId="0" fontId="22" fillId="16" borderId="0" applyNumberFormat="0" applyBorder="0" applyAlignment="0" applyProtection="0"/>
    <xf numFmtId="0" fontId="21" fillId="10" borderId="0" applyNumberFormat="0" applyBorder="0" applyAlignment="0" applyProtection="0"/>
    <xf numFmtId="0" fontId="22" fillId="12" borderId="0" applyNumberFormat="0" applyBorder="0" applyAlignment="0" applyProtection="0"/>
    <xf numFmtId="0" fontId="12" fillId="0" borderId="0"/>
    <xf numFmtId="0" fontId="40" fillId="6" borderId="0" applyNumberFormat="0" applyBorder="0" applyAlignment="0" applyProtection="0"/>
    <xf numFmtId="0" fontId="12" fillId="0" borderId="0"/>
    <xf numFmtId="0" fontId="21" fillId="26" borderId="9" applyNumberFormat="0" applyFont="0" applyAlignment="0" applyProtection="0"/>
    <xf numFmtId="0" fontId="12" fillId="0" borderId="0"/>
    <xf numFmtId="0" fontId="31" fillId="0" borderId="6" applyNumberFormat="0" applyFill="0" applyAlignment="0" applyProtection="0"/>
    <xf numFmtId="0" fontId="12" fillId="0" borderId="0"/>
    <xf numFmtId="0" fontId="12" fillId="0" borderId="0"/>
    <xf numFmtId="0" fontId="12" fillId="0" borderId="0"/>
    <xf numFmtId="0" fontId="62" fillId="0" borderId="0"/>
    <xf numFmtId="0" fontId="12" fillId="0" borderId="0"/>
    <xf numFmtId="9" fontId="12" fillId="0" borderId="0" applyFont="0" applyFill="0" applyBorder="0" applyAlignment="0" applyProtection="0"/>
    <xf numFmtId="0" fontId="21" fillId="6" borderId="0" applyNumberFormat="0" applyBorder="0" applyAlignment="0" applyProtection="0"/>
    <xf numFmtId="0" fontId="12" fillId="0" borderId="0"/>
    <xf numFmtId="0" fontId="12" fillId="0" borderId="0"/>
    <xf numFmtId="0" fontId="21" fillId="10" borderId="0" applyNumberFormat="0" applyBorder="0" applyAlignment="0" applyProtection="0"/>
    <xf numFmtId="0" fontId="12" fillId="0" borderId="0"/>
    <xf numFmtId="0" fontId="12" fillId="0" borderId="0"/>
    <xf numFmtId="0" fontId="21" fillId="12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21" fillId="7" borderId="0" applyNumberFormat="0" applyBorder="0" applyAlignment="0" applyProtection="0"/>
    <xf numFmtId="0" fontId="21" fillId="5" borderId="0" applyNumberFormat="0" applyBorder="0" applyAlignment="0" applyProtection="0"/>
    <xf numFmtId="0" fontId="21" fillId="13" borderId="0" applyNumberFormat="0" applyBorder="0" applyAlignment="0" applyProtection="0"/>
    <xf numFmtId="0" fontId="88" fillId="0" borderId="13" applyNumberFormat="0" applyFill="0" applyAlignment="0" applyProtection="0"/>
    <xf numFmtId="0" fontId="21" fillId="11" borderId="0" applyNumberFormat="0" applyBorder="0" applyAlignment="0" applyProtection="0"/>
    <xf numFmtId="0" fontId="12" fillId="0" borderId="0"/>
    <xf numFmtId="0" fontId="21" fillId="8" borderId="0" applyNumberFormat="0" applyBorder="0" applyAlignment="0" applyProtection="0"/>
    <xf numFmtId="0" fontId="89" fillId="0" borderId="14" applyNumberFormat="0" applyFill="0" applyAlignment="0" applyProtection="0"/>
    <xf numFmtId="0" fontId="22" fillId="11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0" fontId="21" fillId="7" borderId="0" applyNumberFormat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22" fillId="17" borderId="0" applyNumberFormat="0" applyBorder="0" applyAlignment="0" applyProtection="0"/>
    <xf numFmtId="0" fontId="22" fillId="14" borderId="0" applyNumberFormat="0" applyBorder="0" applyAlignment="0" applyProtection="0"/>
    <xf numFmtId="9" fontId="12" fillId="0" borderId="0" applyFont="0" applyFill="0" applyBorder="0" applyAlignment="0" applyProtection="0"/>
    <xf numFmtId="0" fontId="21" fillId="4" borderId="0" applyNumberFormat="0" applyBorder="0" applyAlignment="0" applyProtection="0"/>
    <xf numFmtId="0" fontId="12" fillId="0" borderId="0"/>
    <xf numFmtId="0" fontId="116" fillId="0" borderId="0"/>
    <xf numFmtId="206" fontId="12" fillId="0" borderId="0" applyFill="0" applyBorder="0" applyAlignment="0" applyProtection="0"/>
    <xf numFmtId="0" fontId="135" fillId="0" borderId="0"/>
    <xf numFmtId="0" fontId="12" fillId="0" borderId="0">
      <alignment vertical="center"/>
    </xf>
    <xf numFmtId="177" fontId="12" fillId="0" borderId="0" applyFont="0" applyFill="0" applyBorder="0" applyAlignment="0" applyProtection="0"/>
    <xf numFmtId="0" fontId="136" fillId="0" borderId="0"/>
    <xf numFmtId="0" fontId="136" fillId="0" borderId="0"/>
    <xf numFmtId="9" fontId="136" fillId="0" borderId="0" applyFont="0" applyFill="0" applyBorder="0" applyAlignment="0" applyProtection="0"/>
    <xf numFmtId="0" fontId="135" fillId="0" borderId="0"/>
    <xf numFmtId="9" fontId="135" fillId="0" borderId="0" applyFont="0" applyFill="0" applyBorder="0" applyAlignment="0" applyProtection="0"/>
    <xf numFmtId="0" fontId="135" fillId="0" borderId="0"/>
    <xf numFmtId="0" fontId="136" fillId="0" borderId="0"/>
    <xf numFmtId="0" fontId="136" fillId="0" borderId="0"/>
    <xf numFmtId="9" fontId="136" fillId="0" borderId="0" applyFont="0" applyFill="0" applyBorder="0" applyAlignment="0" applyProtection="0"/>
    <xf numFmtId="0" fontId="136" fillId="0" borderId="0"/>
    <xf numFmtId="9" fontId="136" fillId="0" borderId="0" applyFont="0" applyFill="0" applyBorder="0" applyAlignment="0" applyProtection="0"/>
    <xf numFmtId="0" fontId="136" fillId="0" borderId="0"/>
    <xf numFmtId="0" fontId="135" fillId="0" borderId="0"/>
    <xf numFmtId="9" fontId="135" fillId="0" borderId="0" applyFont="0" applyFill="0" applyBorder="0" applyAlignment="0" applyProtection="0"/>
    <xf numFmtId="0" fontId="136" fillId="0" borderId="0"/>
    <xf numFmtId="9" fontId="136" fillId="0" borderId="0" applyFont="0" applyFill="0" applyBorder="0" applyAlignment="0" applyProtection="0"/>
    <xf numFmtId="0" fontId="136" fillId="0" borderId="0"/>
    <xf numFmtId="0" fontId="135" fillId="0" borderId="0"/>
    <xf numFmtId="9" fontId="135" fillId="0" borderId="0" applyFont="0" applyFill="0" applyBorder="0" applyAlignment="0" applyProtection="0"/>
    <xf numFmtId="0" fontId="135" fillId="0" borderId="0"/>
    <xf numFmtId="9" fontId="135" fillId="0" borderId="0" applyFont="0" applyFill="0" applyBorder="0" applyAlignment="0" applyProtection="0"/>
    <xf numFmtId="0" fontId="136" fillId="0" borderId="0"/>
    <xf numFmtId="0" fontId="136" fillId="0" borderId="0"/>
    <xf numFmtId="0" fontId="136" fillId="0" borderId="0"/>
    <xf numFmtId="9" fontId="136" fillId="0" borderId="0" applyFont="0" applyFill="0" applyBorder="0" applyAlignment="0" applyProtection="0"/>
    <xf numFmtId="0" fontId="136" fillId="0" borderId="0"/>
    <xf numFmtId="0" fontId="135" fillId="0" borderId="0"/>
    <xf numFmtId="9" fontId="135" fillId="0" borderId="0" applyFont="0" applyFill="0" applyBorder="0" applyAlignment="0" applyProtection="0"/>
    <xf numFmtId="0" fontId="136" fillId="0" borderId="0"/>
    <xf numFmtId="0" fontId="136" fillId="0" borderId="0"/>
    <xf numFmtId="9" fontId="136" fillId="0" borderId="0" applyFont="0" applyFill="0" applyBorder="0" applyAlignment="0" applyProtection="0"/>
    <xf numFmtId="0" fontId="136" fillId="0" borderId="0"/>
    <xf numFmtId="9" fontId="136" fillId="0" borderId="0" applyFont="0" applyFill="0" applyBorder="0" applyAlignment="0" applyProtection="0"/>
    <xf numFmtId="0" fontId="136" fillId="0" borderId="0"/>
    <xf numFmtId="0" fontId="136" fillId="0" borderId="0"/>
    <xf numFmtId="0" fontId="136" fillId="0" borderId="0"/>
    <xf numFmtId="9" fontId="136" fillId="0" borderId="0" applyFont="0" applyFill="0" applyBorder="0" applyAlignment="0" applyProtection="0"/>
    <xf numFmtId="0" fontId="136" fillId="0" borderId="0"/>
    <xf numFmtId="9" fontId="135" fillId="0" borderId="0" applyFont="0" applyFill="0" applyBorder="0" applyAlignment="0" applyProtection="0"/>
    <xf numFmtId="0" fontId="136" fillId="0" borderId="0"/>
    <xf numFmtId="0" fontId="136" fillId="0" borderId="0"/>
    <xf numFmtId="0" fontId="136" fillId="0" borderId="0"/>
    <xf numFmtId="9" fontId="136" fillId="0" borderId="0" applyFont="0" applyFill="0" applyBorder="0" applyAlignment="0" applyProtection="0"/>
    <xf numFmtId="0" fontId="136" fillId="0" borderId="0"/>
    <xf numFmtId="0" fontId="135" fillId="0" borderId="0"/>
    <xf numFmtId="9" fontId="136" fillId="0" borderId="0" applyFont="0" applyFill="0" applyBorder="0" applyAlignment="0" applyProtection="0"/>
    <xf numFmtId="0" fontId="136" fillId="0" borderId="0"/>
    <xf numFmtId="9" fontId="136" fillId="0" borderId="0" applyFont="0" applyFill="0" applyBorder="0" applyAlignment="0" applyProtection="0"/>
    <xf numFmtId="0" fontId="136" fillId="0" borderId="0"/>
    <xf numFmtId="0" fontId="136" fillId="0" borderId="0"/>
    <xf numFmtId="9" fontId="136" fillId="0" borderId="0" applyFont="0" applyFill="0" applyBorder="0" applyAlignment="0" applyProtection="0"/>
    <xf numFmtId="0" fontId="136" fillId="0" borderId="0"/>
    <xf numFmtId="0" fontId="136" fillId="0" borderId="0"/>
    <xf numFmtId="0" fontId="136" fillId="0" borderId="0"/>
    <xf numFmtId="0" fontId="136" fillId="0" borderId="0"/>
    <xf numFmtId="0" fontId="136" fillId="0" borderId="0"/>
    <xf numFmtId="0" fontId="136" fillId="0" borderId="0"/>
    <xf numFmtId="0" fontId="136" fillId="0" borderId="0"/>
    <xf numFmtId="0" fontId="136" fillId="0" borderId="0"/>
    <xf numFmtId="0" fontId="136" fillId="0" borderId="0"/>
    <xf numFmtId="0" fontId="136" fillId="0" borderId="0"/>
    <xf numFmtId="9" fontId="12" fillId="0" borderId="0" applyFont="0" applyFill="0" applyBorder="0" applyAlignment="0" applyProtection="0"/>
    <xf numFmtId="0" fontId="135" fillId="0" borderId="0"/>
    <xf numFmtId="9" fontId="135" fillId="0" borderId="0" applyFont="0" applyFill="0" applyBorder="0" applyAlignment="0" applyProtection="0"/>
    <xf numFmtId="0" fontId="92" fillId="0" borderId="0" applyNumberFormat="0" applyFill="0" applyBorder="0" applyAlignment="0" applyProtection="0"/>
    <xf numFmtId="0" fontId="12" fillId="0" borderId="0"/>
    <xf numFmtId="0" fontId="22" fillId="15" borderId="0" applyNumberFormat="0" applyBorder="0" applyAlignment="0" applyProtection="0"/>
    <xf numFmtId="0" fontId="21" fillId="9" borderId="0" applyNumberFormat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7" fillId="0" borderId="0">
      <alignment vertical="center"/>
    </xf>
    <xf numFmtId="9" fontId="12" fillId="0" borderId="0" applyFont="0" applyFill="0" applyBorder="0" applyAlignment="0" applyProtection="0"/>
    <xf numFmtId="0" fontId="135" fillId="0" borderId="0"/>
    <xf numFmtId="9" fontId="116" fillId="0" borderId="0" applyFont="0" applyFill="0" applyBorder="0" applyAlignment="0" applyProtection="0"/>
    <xf numFmtId="0" fontId="62" fillId="0" borderId="0"/>
    <xf numFmtId="9" fontId="116" fillId="0" borderId="0" applyFont="0" applyFill="0" applyBorder="0" applyAlignment="0" applyProtection="0"/>
    <xf numFmtId="0" fontId="156" fillId="0" borderId="0" applyNumberFormat="0" applyFill="0" applyBorder="0" applyAlignment="0" applyProtection="0"/>
    <xf numFmtId="0" fontId="157" fillId="0" borderId="24" applyNumberFormat="0" applyFill="0" applyAlignment="0" applyProtection="0"/>
    <xf numFmtId="0" fontId="158" fillId="0" borderId="25" applyNumberFormat="0" applyFill="0" applyAlignment="0" applyProtection="0"/>
    <xf numFmtId="0" fontId="159" fillId="0" borderId="26" applyNumberFormat="0" applyFill="0" applyAlignment="0" applyProtection="0"/>
    <xf numFmtId="0" fontId="159" fillId="0" borderId="0" applyNumberFormat="0" applyFill="0" applyBorder="0" applyAlignment="0" applyProtection="0"/>
    <xf numFmtId="0" fontId="160" fillId="44" borderId="0" applyNumberFormat="0" applyBorder="0" applyAlignment="0" applyProtection="0"/>
    <xf numFmtId="0" fontId="161" fillId="45" borderId="0" applyNumberFormat="0" applyBorder="0" applyAlignment="0" applyProtection="0"/>
    <xf numFmtId="0" fontId="162" fillId="46" borderId="27" applyNumberFormat="0" applyAlignment="0" applyProtection="0"/>
    <xf numFmtId="0" fontId="163" fillId="47" borderId="28" applyNumberFormat="0" applyAlignment="0" applyProtection="0"/>
    <xf numFmtId="0" fontId="164" fillId="47" borderId="27" applyNumberFormat="0" applyAlignment="0" applyProtection="0"/>
    <xf numFmtId="0" fontId="165" fillId="0" borderId="29" applyNumberFormat="0" applyFill="0" applyAlignment="0" applyProtection="0"/>
    <xf numFmtId="0" fontId="166" fillId="48" borderId="30" applyNumberFormat="0" applyAlignment="0" applyProtection="0"/>
    <xf numFmtId="0" fontId="167" fillId="0" borderId="0" applyNumberFormat="0" applyFill="0" applyBorder="0" applyAlignment="0" applyProtection="0"/>
    <xf numFmtId="0" fontId="168" fillId="50" borderId="0" applyNumberFormat="0" applyBorder="0" applyAlignment="0" applyProtection="0"/>
    <xf numFmtId="0" fontId="168" fillId="54" borderId="0" applyNumberFormat="0" applyBorder="0" applyAlignment="0" applyProtection="0"/>
    <xf numFmtId="0" fontId="168" fillId="58" borderId="0" applyNumberFormat="0" applyBorder="0" applyAlignment="0" applyProtection="0"/>
    <xf numFmtId="0" fontId="168" fillId="62" borderId="0" applyNumberFormat="0" applyBorder="0" applyAlignment="0" applyProtection="0"/>
    <xf numFmtId="0" fontId="168" fillId="66" borderId="0" applyNumberFormat="0" applyBorder="0" applyAlignment="0" applyProtection="0"/>
    <xf numFmtId="0" fontId="168" fillId="70" borderId="0" applyNumberFormat="0" applyBorder="0" applyAlignment="0" applyProtection="0"/>
    <xf numFmtId="0" fontId="169" fillId="0" borderId="0"/>
    <xf numFmtId="0" fontId="12" fillId="0" borderId="0"/>
    <xf numFmtId="0" fontId="63" fillId="0" borderId="0"/>
    <xf numFmtId="0" fontId="60" fillId="0" borderId="0"/>
    <xf numFmtId="0" fontId="60" fillId="0" borderId="0"/>
    <xf numFmtId="0" fontId="7" fillId="49" borderId="31" applyNumberFormat="0" applyFont="0" applyAlignment="0" applyProtection="0"/>
    <xf numFmtId="0" fontId="21" fillId="0" borderId="0"/>
    <xf numFmtId="0" fontId="63" fillId="0" borderId="0"/>
    <xf numFmtId="0" fontId="60" fillId="0" borderId="0"/>
    <xf numFmtId="43" fontId="12" fillId="0" borderId="0" applyFont="0" applyFill="0" applyBorder="0" applyAlignment="0" applyProtection="0"/>
    <xf numFmtId="0" fontId="6" fillId="0" borderId="0"/>
    <xf numFmtId="0" fontId="5" fillId="49" borderId="31" applyNumberFormat="0" applyFont="0" applyAlignment="0" applyProtection="0"/>
    <xf numFmtId="0" fontId="5" fillId="51" borderId="0" applyNumberFormat="0" applyBorder="0" applyAlignment="0" applyProtection="0"/>
    <xf numFmtId="0" fontId="5" fillId="52" borderId="0" applyNumberFormat="0" applyBorder="0" applyAlignment="0" applyProtection="0"/>
    <xf numFmtId="0" fontId="5" fillId="55" borderId="0" applyNumberFormat="0" applyBorder="0" applyAlignment="0" applyProtection="0"/>
    <xf numFmtId="0" fontId="5" fillId="56" borderId="0" applyNumberFormat="0" applyBorder="0" applyAlignment="0" applyProtection="0"/>
    <xf numFmtId="0" fontId="5" fillId="59" borderId="0" applyNumberFormat="0" applyBorder="0" applyAlignment="0" applyProtection="0"/>
    <xf numFmtId="0" fontId="5" fillId="60" borderId="0" applyNumberFormat="0" applyBorder="0" applyAlignment="0" applyProtection="0"/>
    <xf numFmtId="0" fontId="5" fillId="63" borderId="0" applyNumberFormat="0" applyBorder="0" applyAlignment="0" applyProtection="0"/>
    <xf numFmtId="0" fontId="5" fillId="64" borderId="0" applyNumberFormat="0" applyBorder="0" applyAlignment="0" applyProtection="0"/>
    <xf numFmtId="0" fontId="5" fillId="67" borderId="0" applyNumberFormat="0" applyBorder="0" applyAlignment="0" applyProtection="0"/>
    <xf numFmtId="0" fontId="5" fillId="68" borderId="0" applyNumberFormat="0" applyBorder="0" applyAlignment="0" applyProtection="0"/>
    <xf numFmtId="0" fontId="5" fillId="71" borderId="0" applyNumberFormat="0" applyBorder="0" applyAlignment="0" applyProtection="0"/>
    <xf numFmtId="0" fontId="5" fillId="72" borderId="0" applyNumberFormat="0" applyBorder="0" applyAlignment="0" applyProtection="0"/>
    <xf numFmtId="0" fontId="5" fillId="0" borderId="0"/>
    <xf numFmtId="0" fontId="156" fillId="0" borderId="0" applyNumberFormat="0" applyFill="0" applyBorder="0" applyAlignment="0" applyProtection="0"/>
    <xf numFmtId="0" fontId="191" fillId="0" borderId="24" applyNumberFormat="0" applyFill="0" applyAlignment="0" applyProtection="0"/>
    <xf numFmtId="0" fontId="192" fillId="0" borderId="25" applyNumberFormat="0" applyFill="0" applyAlignment="0" applyProtection="0"/>
    <xf numFmtId="0" fontId="193" fillId="0" borderId="26" applyNumberFormat="0" applyFill="0" applyAlignment="0" applyProtection="0"/>
    <xf numFmtId="0" fontId="193" fillId="0" borderId="0" applyNumberFormat="0" applyFill="0" applyBorder="0" applyAlignment="0" applyProtection="0"/>
    <xf numFmtId="0" fontId="194" fillId="44" borderId="0" applyNumberFormat="0" applyBorder="0" applyAlignment="0" applyProtection="0"/>
    <xf numFmtId="0" fontId="195" fillId="45" borderId="0" applyNumberFormat="0" applyBorder="0" applyAlignment="0" applyProtection="0"/>
    <xf numFmtId="0" fontId="196" fillId="46" borderId="27" applyNumberFormat="0" applyAlignment="0" applyProtection="0"/>
    <xf numFmtId="0" fontId="197" fillId="47" borderId="28" applyNumberFormat="0" applyAlignment="0" applyProtection="0"/>
    <xf numFmtId="0" fontId="198" fillId="47" borderId="27" applyNumberFormat="0" applyAlignment="0" applyProtection="0"/>
    <xf numFmtId="0" fontId="199" fillId="0" borderId="29" applyNumberFormat="0" applyFill="0" applyAlignment="0" applyProtection="0"/>
    <xf numFmtId="0" fontId="200" fillId="48" borderId="30" applyNumberFormat="0" applyAlignment="0" applyProtection="0"/>
    <xf numFmtId="0" fontId="201" fillId="0" borderId="0" applyNumberFormat="0" applyFill="0" applyBorder="0" applyAlignment="0" applyProtection="0"/>
    <xf numFmtId="0" fontId="202" fillId="50" borderId="0" applyNumberFormat="0" applyBorder="0" applyAlignment="0" applyProtection="0"/>
    <xf numFmtId="0" fontId="202" fillId="54" borderId="0" applyNumberFormat="0" applyBorder="0" applyAlignment="0" applyProtection="0"/>
    <xf numFmtId="0" fontId="202" fillId="58" borderId="0" applyNumberFormat="0" applyBorder="0" applyAlignment="0" applyProtection="0"/>
    <xf numFmtId="0" fontId="202" fillId="62" borderId="0" applyNumberFormat="0" applyBorder="0" applyAlignment="0" applyProtection="0"/>
    <xf numFmtId="0" fontId="202" fillId="66" borderId="0" applyNumberFormat="0" applyBorder="0" applyAlignment="0" applyProtection="0"/>
    <xf numFmtId="0" fontId="202" fillId="70" borderId="0" applyNumberFormat="0" applyBorder="0" applyAlignment="0" applyProtection="0"/>
    <xf numFmtId="0" fontId="4" fillId="0" borderId="0"/>
    <xf numFmtId="0" fontId="17" fillId="0" borderId="0"/>
    <xf numFmtId="0" fontId="209" fillId="0" borderId="0"/>
    <xf numFmtId="166" fontId="18" fillId="0" borderId="0" applyBorder="0"/>
    <xf numFmtId="0" fontId="18" fillId="0" borderId="0"/>
    <xf numFmtId="0" fontId="17" fillId="0" borderId="0"/>
    <xf numFmtId="0" fontId="203" fillId="43" borderId="0" applyNumberFormat="0" applyBorder="0" applyAlignment="0" applyProtection="0"/>
    <xf numFmtId="0" fontId="18" fillId="0" borderId="2">
      <alignment horizontal="center" vertical="center"/>
    </xf>
    <xf numFmtId="179" fontId="54" fillId="0" borderId="0"/>
    <xf numFmtId="0" fontId="18" fillId="0" borderId="0"/>
    <xf numFmtId="166" fontId="18" fillId="0" borderId="33"/>
    <xf numFmtId="0" fontId="212" fillId="0" borderId="0" applyNumberFormat="0" applyFill="0" applyBorder="0" applyAlignment="0" applyProtection="0">
      <alignment vertical="top"/>
      <protection locked="0"/>
    </xf>
    <xf numFmtId="0" fontId="17" fillId="0" borderId="0"/>
    <xf numFmtId="0" fontId="208" fillId="0" borderId="0"/>
    <xf numFmtId="0" fontId="204" fillId="0" borderId="0" applyNumberFormat="0" applyFill="0" applyBorder="0" applyAlignment="0" applyProtection="0"/>
    <xf numFmtId="0" fontId="4" fillId="49" borderId="31" applyNumberFormat="0" applyFont="0" applyAlignment="0" applyProtection="0"/>
    <xf numFmtId="179" fontId="54" fillId="0" borderId="0"/>
    <xf numFmtId="0" fontId="205" fillId="0" borderId="32" applyNumberFormat="0" applyFill="0" applyAlignment="0" applyProtection="0"/>
    <xf numFmtId="0" fontId="18" fillId="0" borderId="0"/>
    <xf numFmtId="0" fontId="4" fillId="51" borderId="0" applyNumberFormat="0" applyBorder="0" applyAlignment="0" applyProtection="0"/>
    <xf numFmtId="0" fontId="4" fillId="52" borderId="0" applyNumberFormat="0" applyBorder="0" applyAlignment="0" applyProtection="0"/>
    <xf numFmtId="0" fontId="202" fillId="53" borderId="0" applyNumberFormat="0" applyBorder="0" applyAlignment="0" applyProtection="0"/>
    <xf numFmtId="43" fontId="206" fillId="0" borderId="0" applyFont="0" applyFill="0" applyBorder="0" applyAlignment="0" applyProtection="0"/>
    <xf numFmtId="0" fontId="4" fillId="55" borderId="0" applyNumberFormat="0" applyBorder="0" applyAlignment="0" applyProtection="0"/>
    <xf numFmtId="0" fontId="4" fillId="56" borderId="0" applyNumberFormat="0" applyBorder="0" applyAlignment="0" applyProtection="0"/>
    <xf numFmtId="0" fontId="202" fillId="57" borderId="0" applyNumberFormat="0" applyBorder="0" applyAlignment="0" applyProtection="0"/>
    <xf numFmtId="0" fontId="210" fillId="0" borderId="0"/>
    <xf numFmtId="0" fontId="4" fillId="59" borderId="0" applyNumberFormat="0" applyBorder="0" applyAlignment="0" applyProtection="0"/>
    <xf numFmtId="0" fontId="4" fillId="60" borderId="0" applyNumberFormat="0" applyBorder="0" applyAlignment="0" applyProtection="0"/>
    <xf numFmtId="0" fontId="202" fillId="61" borderId="0" applyNumberFormat="0" applyBorder="0" applyAlignment="0" applyProtection="0"/>
    <xf numFmtId="0" fontId="19" fillId="0" borderId="0">
      <alignment horizontal="left"/>
    </xf>
    <xf numFmtId="0" fontId="4" fillId="63" borderId="0" applyNumberFormat="0" applyBorder="0" applyAlignment="0" applyProtection="0"/>
    <xf numFmtId="0" fontId="4" fillId="64" borderId="0" applyNumberFormat="0" applyBorder="0" applyAlignment="0" applyProtection="0"/>
    <xf numFmtId="0" fontId="202" fillId="65" borderId="0" applyNumberFormat="0" applyBorder="0" applyAlignment="0" applyProtection="0"/>
    <xf numFmtId="210" fontId="207" fillId="0" borderId="34" applyFill="0" applyBorder="0" applyProtection="0">
      <alignment horizontal="right" vertical="center"/>
    </xf>
    <xf numFmtId="0" fontId="4" fillId="67" borderId="0" applyNumberFormat="0" applyBorder="0" applyAlignment="0" applyProtection="0"/>
    <xf numFmtId="0" fontId="4" fillId="68" borderId="0" applyNumberFormat="0" applyBorder="0" applyAlignment="0" applyProtection="0"/>
    <xf numFmtId="0" fontId="202" fillId="69" borderId="0" applyNumberFormat="0" applyBorder="0" applyAlignment="0" applyProtection="0"/>
    <xf numFmtId="0" fontId="4" fillId="0" borderId="0"/>
    <xf numFmtId="0" fontId="4" fillId="71" borderId="0" applyNumberFormat="0" applyBorder="0" applyAlignment="0" applyProtection="0"/>
    <xf numFmtId="0" fontId="4" fillId="72" borderId="0" applyNumberFormat="0" applyBorder="0" applyAlignment="0" applyProtection="0"/>
    <xf numFmtId="0" fontId="202" fillId="73" borderId="0" applyNumberFormat="0" applyBorder="0" applyAlignment="0" applyProtection="0"/>
    <xf numFmtId="0" fontId="206" fillId="0" borderId="0"/>
    <xf numFmtId="9" fontId="17" fillId="0" borderId="0" applyFont="0" applyFill="0" applyBorder="0" applyAlignment="0" applyProtection="0"/>
    <xf numFmtId="0" fontId="208" fillId="0" borderId="0"/>
    <xf numFmtId="9" fontId="18" fillId="0" borderId="0" applyFont="0" applyFill="0" applyBorder="0" applyAlignment="0" applyProtection="0"/>
    <xf numFmtId="0" fontId="17" fillId="0" borderId="0"/>
    <xf numFmtId="209" fontId="207" fillId="0" borderId="0" applyFill="0" applyBorder="0" applyProtection="0">
      <alignment horizontal="right" vertical="center"/>
    </xf>
    <xf numFmtId="0" fontId="17" fillId="0" borderId="0"/>
    <xf numFmtId="0" fontId="18" fillId="0" borderId="0"/>
    <xf numFmtId="9" fontId="206" fillId="0" borderId="0" applyFont="0" applyFill="0" applyBorder="0" applyAlignment="0" applyProtection="0"/>
    <xf numFmtId="0" fontId="18" fillId="0" borderId="0"/>
    <xf numFmtId="0" fontId="206" fillId="0" borderId="0"/>
    <xf numFmtId="0" fontId="206" fillId="0" borderId="0"/>
    <xf numFmtId="0" fontId="4" fillId="0" borderId="0"/>
    <xf numFmtId="9" fontId="17" fillId="0" borderId="0" applyFont="0" applyFill="0" applyBorder="0" applyAlignment="0" applyProtection="0"/>
    <xf numFmtId="0" fontId="208" fillId="0" borderId="0"/>
    <xf numFmtId="0" fontId="18" fillId="0" borderId="1">
      <alignment horizontal="center" vertical="center"/>
    </xf>
    <xf numFmtId="0" fontId="213" fillId="0" borderId="0"/>
    <xf numFmtId="0" fontId="211" fillId="0" borderId="0"/>
    <xf numFmtId="0" fontId="206" fillId="0" borderId="0"/>
    <xf numFmtId="0" fontId="17" fillId="0" borderId="0"/>
    <xf numFmtId="0" fontId="213" fillId="0" borderId="0"/>
    <xf numFmtId="0" fontId="208" fillId="0" borderId="0"/>
    <xf numFmtId="0" fontId="206" fillId="0" borderId="0"/>
    <xf numFmtId="0" fontId="62" fillId="0" borderId="0"/>
    <xf numFmtId="0" fontId="62" fillId="0" borderId="0"/>
    <xf numFmtId="0" fontId="5" fillId="0" borderId="0"/>
    <xf numFmtId="0" fontId="27" fillId="0" borderId="0"/>
    <xf numFmtId="4" fontId="36" fillId="75" borderId="35" applyNumberFormat="0" applyProtection="0">
      <alignment horizontal="left" vertical="center" indent="1"/>
    </xf>
    <xf numFmtId="4" fontId="214" fillId="27" borderId="35" applyNumberFormat="0" applyProtection="0">
      <alignment vertical="center"/>
    </xf>
    <xf numFmtId="4" fontId="41" fillId="25" borderId="35" applyNumberFormat="0" applyProtection="0">
      <alignment horizontal="left" vertical="center" indent="1"/>
    </xf>
    <xf numFmtId="0" fontId="36" fillId="22" borderId="35" applyNumberFormat="0" applyProtection="0">
      <alignment horizontal="left" vertical="center" indent="1"/>
    </xf>
    <xf numFmtId="0" fontId="36" fillId="76" borderId="35" applyNumberFormat="0" applyProtection="0">
      <alignment horizontal="left" vertical="center" indent="1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8" fillId="0" borderId="0"/>
    <xf numFmtId="0" fontId="218" fillId="0" borderId="0"/>
    <xf numFmtId="0" fontId="4" fillId="0" borderId="0"/>
    <xf numFmtId="0" fontId="219" fillId="0" borderId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0" borderId="0" applyNumberFormat="0" applyBorder="0" applyAlignment="0" applyProtection="0"/>
    <xf numFmtId="0" fontId="22" fillId="15" borderId="0" applyNumberFormat="0" applyBorder="0" applyAlignment="0" applyProtection="0"/>
    <xf numFmtId="0" fontId="22" fillId="16" borderId="0" applyNumberFormat="0" applyBorder="0" applyAlignment="0" applyProtection="0"/>
    <xf numFmtId="0" fontId="22" fillId="21" borderId="0" applyNumberFormat="0" applyBorder="0" applyAlignment="0" applyProtection="0"/>
    <xf numFmtId="0" fontId="85" fillId="5" borderId="0" applyNumberFormat="0" applyBorder="0" applyAlignment="0" applyProtection="0"/>
    <xf numFmtId="0" fontId="24" fillId="22" borderId="4" applyNumberFormat="0" applyAlignment="0" applyProtection="0"/>
    <xf numFmtId="0" fontId="32" fillId="0" borderId="0" applyNumberFormat="0" applyFill="0" applyBorder="0" applyAlignment="0" applyProtection="0"/>
    <xf numFmtId="0" fontId="90" fillId="0" borderId="15" applyNumberFormat="0" applyFill="0" applyAlignment="0" applyProtection="0"/>
    <xf numFmtId="0" fontId="90" fillId="0" borderId="0" applyNumberFormat="0" applyFill="0" applyBorder="0" applyAlignment="0" applyProtection="0"/>
    <xf numFmtId="0" fontId="101" fillId="40" borderId="19" applyNumberFormat="0" applyAlignment="0" applyProtection="0"/>
    <xf numFmtId="0" fontId="30" fillId="9" borderId="4" applyNumberFormat="0" applyAlignment="0" applyProtection="0"/>
    <xf numFmtId="0" fontId="91" fillId="0" borderId="17" applyNumberFormat="0" applyFill="0" applyAlignment="0" applyProtection="0"/>
    <xf numFmtId="0" fontId="220" fillId="28" borderId="0" applyNumberFormat="0" applyBorder="0" applyAlignment="0" applyProtection="0"/>
    <xf numFmtId="0" fontId="5" fillId="0" borderId="0"/>
    <xf numFmtId="0" fontId="12" fillId="0" borderId="0"/>
    <xf numFmtId="0" fontId="12" fillId="0" borderId="0">
      <alignment vertical="center"/>
    </xf>
    <xf numFmtId="0" fontId="2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26" borderId="9" applyNumberFormat="0" applyFont="0" applyAlignment="0" applyProtection="0"/>
    <xf numFmtId="0" fontId="23" fillId="22" borderId="3" applyNumberFormat="0" applyAlignment="0" applyProtection="0"/>
    <xf numFmtId="9" fontId="116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12" fillId="0" borderId="0">
      <alignment vertical="center"/>
    </xf>
    <xf numFmtId="9" fontId="5" fillId="0" borderId="0" applyFont="0" applyFill="0" applyBorder="0" applyAlignment="0" applyProtection="0"/>
    <xf numFmtId="0" fontId="87" fillId="0" borderId="0" applyNumberFormat="0" applyFill="0" applyBorder="0" applyAlignment="0" applyProtection="0"/>
    <xf numFmtId="0" fontId="218" fillId="0" borderId="0"/>
    <xf numFmtId="0" fontId="218" fillId="0" borderId="0"/>
    <xf numFmtId="0" fontId="222" fillId="0" borderId="0" applyNumberFormat="0" applyFill="0" applyBorder="0" applyAlignment="0" applyProtection="0"/>
    <xf numFmtId="0" fontId="223" fillId="0" borderId="24" applyNumberFormat="0" applyFill="0" applyAlignment="0" applyProtection="0"/>
    <xf numFmtId="0" fontId="224" fillId="0" borderId="25" applyNumberFormat="0" applyFill="0" applyAlignment="0" applyProtection="0"/>
    <xf numFmtId="0" fontId="225" fillId="0" borderId="26" applyNumberFormat="0" applyFill="0" applyAlignment="0" applyProtection="0"/>
    <xf numFmtId="0" fontId="225" fillId="0" borderId="0" applyNumberFormat="0" applyFill="0" applyBorder="0" applyAlignment="0" applyProtection="0"/>
    <xf numFmtId="0" fontId="226" fillId="43" borderId="0" applyNumberFormat="0" applyBorder="0" applyAlignment="0" applyProtection="0"/>
    <xf numFmtId="0" fontId="227" fillId="44" borderId="0" applyNumberFormat="0" applyBorder="0" applyAlignment="0" applyProtection="0"/>
    <xf numFmtId="0" fontId="228" fillId="45" borderId="0" applyNumberFormat="0" applyBorder="0" applyAlignment="0" applyProtection="0"/>
    <xf numFmtId="0" fontId="229" fillId="46" borderId="27" applyNumberFormat="0" applyAlignment="0" applyProtection="0"/>
    <xf numFmtId="0" fontId="230" fillId="47" borderId="28" applyNumberFormat="0" applyAlignment="0" applyProtection="0"/>
    <xf numFmtId="0" fontId="231" fillId="47" borderId="27" applyNumberFormat="0" applyAlignment="0" applyProtection="0"/>
    <xf numFmtId="0" fontId="232" fillId="0" borderId="29" applyNumberFormat="0" applyFill="0" applyAlignment="0" applyProtection="0"/>
    <xf numFmtId="0" fontId="216" fillId="48" borderId="30" applyNumberFormat="0" applyAlignment="0" applyProtection="0"/>
    <xf numFmtId="0" fontId="233" fillId="0" borderId="0" applyNumberFormat="0" applyFill="0" applyBorder="0" applyAlignment="0" applyProtection="0"/>
    <xf numFmtId="0" fontId="234" fillId="0" borderId="0" applyNumberFormat="0" applyFill="0" applyBorder="0" applyAlignment="0" applyProtection="0"/>
    <xf numFmtId="0" fontId="221" fillId="0" borderId="32" applyNumberFormat="0" applyFill="0" applyAlignment="0" applyProtection="0"/>
    <xf numFmtId="0" fontId="215" fillId="50" borderId="0" applyNumberFormat="0" applyBorder="0" applyAlignment="0" applyProtection="0"/>
    <xf numFmtId="0" fontId="217" fillId="51" borderId="0" applyNumberFormat="0" applyBorder="0" applyAlignment="0" applyProtection="0"/>
    <xf numFmtId="0" fontId="217" fillId="52" borderId="0" applyNumberFormat="0" applyBorder="0" applyAlignment="0" applyProtection="0"/>
    <xf numFmtId="0" fontId="215" fillId="53" borderId="0" applyNumberFormat="0" applyBorder="0" applyAlignment="0" applyProtection="0"/>
    <xf numFmtId="0" fontId="215" fillId="54" borderId="0" applyNumberFormat="0" applyBorder="0" applyAlignment="0" applyProtection="0"/>
    <xf numFmtId="0" fontId="217" fillId="55" borderId="0" applyNumberFormat="0" applyBorder="0" applyAlignment="0" applyProtection="0"/>
    <xf numFmtId="0" fontId="217" fillId="56" borderId="0" applyNumberFormat="0" applyBorder="0" applyAlignment="0" applyProtection="0"/>
    <xf numFmtId="0" fontId="215" fillId="57" borderId="0" applyNumberFormat="0" applyBorder="0" applyAlignment="0" applyProtection="0"/>
    <xf numFmtId="0" fontId="215" fillId="58" borderId="0" applyNumberFormat="0" applyBorder="0" applyAlignment="0" applyProtection="0"/>
    <xf numFmtId="0" fontId="217" fillId="59" borderId="0" applyNumberFormat="0" applyBorder="0" applyAlignment="0" applyProtection="0"/>
    <xf numFmtId="0" fontId="217" fillId="60" borderId="0" applyNumberFormat="0" applyBorder="0" applyAlignment="0" applyProtection="0"/>
    <xf numFmtId="0" fontId="215" fillId="61" borderId="0" applyNumberFormat="0" applyBorder="0" applyAlignment="0" applyProtection="0"/>
    <xf numFmtId="0" fontId="215" fillId="62" borderId="0" applyNumberFormat="0" applyBorder="0" applyAlignment="0" applyProtection="0"/>
    <xf numFmtId="0" fontId="217" fillId="63" borderId="0" applyNumberFormat="0" applyBorder="0" applyAlignment="0" applyProtection="0"/>
    <xf numFmtId="0" fontId="217" fillId="64" borderId="0" applyNumberFormat="0" applyBorder="0" applyAlignment="0" applyProtection="0"/>
    <xf numFmtId="0" fontId="215" fillId="65" borderId="0" applyNumberFormat="0" applyBorder="0" applyAlignment="0" applyProtection="0"/>
    <xf numFmtId="0" fontId="215" fillId="66" borderId="0" applyNumberFormat="0" applyBorder="0" applyAlignment="0" applyProtection="0"/>
    <xf numFmtId="0" fontId="217" fillId="67" borderId="0" applyNumberFormat="0" applyBorder="0" applyAlignment="0" applyProtection="0"/>
    <xf numFmtId="0" fontId="217" fillId="68" borderId="0" applyNumberFormat="0" applyBorder="0" applyAlignment="0" applyProtection="0"/>
    <xf numFmtId="0" fontId="215" fillId="69" borderId="0" applyNumberFormat="0" applyBorder="0" applyAlignment="0" applyProtection="0"/>
    <xf numFmtId="0" fontId="215" fillId="70" borderId="0" applyNumberFormat="0" applyBorder="0" applyAlignment="0" applyProtection="0"/>
    <xf numFmtId="0" fontId="217" fillId="71" borderId="0" applyNumberFormat="0" applyBorder="0" applyAlignment="0" applyProtection="0"/>
    <xf numFmtId="0" fontId="217" fillId="72" borderId="0" applyNumberFormat="0" applyBorder="0" applyAlignment="0" applyProtection="0"/>
    <xf numFmtId="0" fontId="215" fillId="73" borderId="0" applyNumberFormat="0" applyBorder="0" applyAlignment="0" applyProtection="0"/>
    <xf numFmtId="0" fontId="217" fillId="49" borderId="31" applyNumberFormat="0" applyFont="0" applyAlignment="0" applyProtection="0"/>
    <xf numFmtId="0" fontId="60" fillId="0" borderId="0"/>
    <xf numFmtId="0" fontId="60" fillId="0" borderId="0"/>
    <xf numFmtId="0" fontId="5" fillId="0" borderId="0"/>
    <xf numFmtId="0" fontId="136" fillId="51" borderId="0" applyNumberFormat="0" applyBorder="0" applyAlignment="0" applyProtection="0"/>
    <xf numFmtId="0" fontId="136" fillId="51" borderId="0" applyNumberFormat="0" applyBorder="0" applyAlignment="0" applyProtection="0"/>
    <xf numFmtId="0" fontId="136" fillId="51" borderId="0" applyNumberFormat="0" applyBorder="0" applyAlignment="0" applyProtection="0"/>
    <xf numFmtId="0" fontId="136" fillId="55" borderId="0" applyNumberFormat="0" applyBorder="0" applyAlignment="0" applyProtection="0"/>
    <xf numFmtId="0" fontId="136" fillId="55" borderId="0" applyNumberFormat="0" applyBorder="0" applyAlignment="0" applyProtection="0"/>
    <xf numFmtId="0" fontId="136" fillId="55" borderId="0" applyNumberFormat="0" applyBorder="0" applyAlignment="0" applyProtection="0"/>
    <xf numFmtId="0" fontId="136" fillId="59" borderId="0" applyNumberFormat="0" applyBorder="0" applyAlignment="0" applyProtection="0"/>
    <xf numFmtId="0" fontId="136" fillId="59" borderId="0" applyNumberFormat="0" applyBorder="0" applyAlignment="0" applyProtection="0"/>
    <xf numFmtId="0" fontId="136" fillId="59" borderId="0" applyNumberFormat="0" applyBorder="0" applyAlignment="0" applyProtection="0"/>
    <xf numFmtId="0" fontId="136" fillId="63" borderId="0" applyNumberFormat="0" applyBorder="0" applyAlignment="0" applyProtection="0"/>
    <xf numFmtId="0" fontId="136" fillId="63" borderId="0" applyNumberFormat="0" applyBorder="0" applyAlignment="0" applyProtection="0"/>
    <xf numFmtId="0" fontId="136" fillId="63" borderId="0" applyNumberFormat="0" applyBorder="0" applyAlignment="0" applyProtection="0"/>
    <xf numFmtId="0" fontId="136" fillId="67" borderId="0" applyNumberFormat="0" applyBorder="0" applyAlignment="0" applyProtection="0"/>
    <xf numFmtId="0" fontId="136" fillId="67" borderId="0" applyNumberFormat="0" applyBorder="0" applyAlignment="0" applyProtection="0"/>
    <xf numFmtId="0" fontId="136" fillId="67" borderId="0" applyNumberFormat="0" applyBorder="0" applyAlignment="0" applyProtection="0"/>
    <xf numFmtId="0" fontId="136" fillId="71" borderId="0" applyNumberFormat="0" applyBorder="0" applyAlignment="0" applyProtection="0"/>
    <xf numFmtId="0" fontId="136" fillId="71" borderId="0" applyNumberFormat="0" applyBorder="0" applyAlignment="0" applyProtection="0"/>
    <xf numFmtId="0" fontId="136" fillId="71" borderId="0" applyNumberFormat="0" applyBorder="0" applyAlignment="0" applyProtection="0"/>
    <xf numFmtId="0" fontId="136" fillId="52" borderId="0" applyNumberFormat="0" applyBorder="0" applyAlignment="0" applyProtection="0"/>
    <xf numFmtId="0" fontId="136" fillId="52" borderId="0" applyNumberFormat="0" applyBorder="0" applyAlignment="0" applyProtection="0"/>
    <xf numFmtId="0" fontId="136" fillId="52" borderId="0" applyNumberFormat="0" applyBorder="0" applyAlignment="0" applyProtection="0"/>
    <xf numFmtId="0" fontId="136" fillId="56" borderId="0" applyNumberFormat="0" applyBorder="0" applyAlignment="0" applyProtection="0"/>
    <xf numFmtId="0" fontId="136" fillId="56" borderId="0" applyNumberFormat="0" applyBorder="0" applyAlignment="0" applyProtection="0"/>
    <xf numFmtId="0" fontId="136" fillId="56" borderId="0" applyNumberFormat="0" applyBorder="0" applyAlignment="0" applyProtection="0"/>
    <xf numFmtId="0" fontId="136" fillId="60" borderId="0" applyNumberFormat="0" applyBorder="0" applyAlignment="0" applyProtection="0"/>
    <xf numFmtId="0" fontId="136" fillId="60" borderId="0" applyNumberFormat="0" applyBorder="0" applyAlignment="0" applyProtection="0"/>
    <xf numFmtId="0" fontId="136" fillId="60" borderId="0" applyNumberFormat="0" applyBorder="0" applyAlignment="0" applyProtection="0"/>
    <xf numFmtId="0" fontId="136" fillId="64" borderId="0" applyNumberFormat="0" applyBorder="0" applyAlignment="0" applyProtection="0"/>
    <xf numFmtId="0" fontId="136" fillId="64" borderId="0" applyNumberFormat="0" applyBorder="0" applyAlignment="0" applyProtection="0"/>
    <xf numFmtId="0" fontId="136" fillId="64" borderId="0" applyNumberFormat="0" applyBorder="0" applyAlignment="0" applyProtection="0"/>
    <xf numFmtId="0" fontId="136" fillId="68" borderId="0" applyNumberFormat="0" applyBorder="0" applyAlignment="0" applyProtection="0"/>
    <xf numFmtId="0" fontId="136" fillId="68" borderId="0" applyNumberFormat="0" applyBorder="0" applyAlignment="0" applyProtection="0"/>
    <xf numFmtId="0" fontId="136" fillId="68" borderId="0" applyNumberFormat="0" applyBorder="0" applyAlignment="0" applyProtection="0"/>
    <xf numFmtId="0" fontId="136" fillId="72" borderId="0" applyNumberFormat="0" applyBorder="0" applyAlignment="0" applyProtection="0"/>
    <xf numFmtId="0" fontId="136" fillId="72" borderId="0" applyNumberFormat="0" applyBorder="0" applyAlignment="0" applyProtection="0"/>
    <xf numFmtId="0" fontId="136" fillId="72" borderId="0" applyNumberFormat="0" applyBorder="0" applyAlignment="0" applyProtection="0"/>
    <xf numFmtId="0" fontId="155" fillId="53" borderId="0" applyNumberFormat="0" applyBorder="0" applyAlignment="0" applyProtection="0"/>
    <xf numFmtId="0" fontId="155" fillId="53" borderId="0" applyNumberFormat="0" applyBorder="0" applyAlignment="0" applyProtection="0"/>
    <xf numFmtId="0" fontId="155" fillId="53" borderId="0" applyNumberFormat="0" applyBorder="0" applyAlignment="0" applyProtection="0"/>
    <xf numFmtId="0" fontId="155" fillId="57" borderId="0" applyNumberFormat="0" applyBorder="0" applyAlignment="0" applyProtection="0"/>
    <xf numFmtId="0" fontId="155" fillId="57" borderId="0" applyNumberFormat="0" applyBorder="0" applyAlignment="0" applyProtection="0"/>
    <xf numFmtId="0" fontId="155" fillId="57" borderId="0" applyNumberFormat="0" applyBorder="0" applyAlignment="0" applyProtection="0"/>
    <xf numFmtId="0" fontId="155" fillId="61" borderId="0" applyNumberFormat="0" applyBorder="0" applyAlignment="0" applyProtection="0"/>
    <xf numFmtId="0" fontId="155" fillId="61" borderId="0" applyNumberFormat="0" applyBorder="0" applyAlignment="0" applyProtection="0"/>
    <xf numFmtId="0" fontId="155" fillId="61" borderId="0" applyNumberFormat="0" applyBorder="0" applyAlignment="0" applyProtection="0"/>
    <xf numFmtId="0" fontId="155" fillId="65" borderId="0" applyNumberFormat="0" applyBorder="0" applyAlignment="0" applyProtection="0"/>
    <xf numFmtId="0" fontId="155" fillId="65" borderId="0" applyNumberFormat="0" applyBorder="0" applyAlignment="0" applyProtection="0"/>
    <xf numFmtId="0" fontId="155" fillId="65" borderId="0" applyNumberFormat="0" applyBorder="0" applyAlignment="0" applyProtection="0"/>
    <xf numFmtId="0" fontId="155" fillId="69" borderId="0" applyNumberFormat="0" applyBorder="0" applyAlignment="0" applyProtection="0"/>
    <xf numFmtId="0" fontId="155" fillId="69" borderId="0" applyNumberFormat="0" applyBorder="0" applyAlignment="0" applyProtection="0"/>
    <xf numFmtId="0" fontId="155" fillId="69" borderId="0" applyNumberFormat="0" applyBorder="0" applyAlignment="0" applyProtection="0"/>
    <xf numFmtId="0" fontId="155" fillId="73" borderId="0" applyNumberFormat="0" applyBorder="0" applyAlignment="0" applyProtection="0"/>
    <xf numFmtId="0" fontId="155" fillId="73" borderId="0" applyNumberFormat="0" applyBorder="0" applyAlignment="0" applyProtection="0"/>
    <xf numFmtId="0" fontId="155" fillId="73" borderId="0" applyNumberFormat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0" fontId="144" fillId="43" borderId="0" applyNumberFormat="0" applyBorder="0" applyAlignment="0" applyProtection="0"/>
    <xf numFmtId="0" fontId="144" fillId="43" borderId="0" applyNumberFormat="0" applyBorder="0" applyAlignment="0" applyProtection="0"/>
    <xf numFmtId="0" fontId="144" fillId="43" borderId="0" applyNumberFormat="0" applyBorder="0" applyAlignment="0" applyProtection="0"/>
    <xf numFmtId="0" fontId="151" fillId="48" borderId="30" applyNumberFormat="0" applyAlignment="0" applyProtection="0"/>
    <xf numFmtId="0" fontId="151" fillId="48" borderId="30" applyNumberFormat="0" applyAlignment="0" applyProtection="0"/>
    <xf numFmtId="0" fontId="151" fillId="48" borderId="30" applyNumberFormat="0" applyAlignment="0" applyProtection="0"/>
    <xf numFmtId="0" fontId="141" fillId="0" borderId="24" applyNumberFormat="0" applyFill="0" applyAlignment="0" applyProtection="0"/>
    <xf numFmtId="0" fontId="141" fillId="0" borderId="24" applyNumberFormat="0" applyFill="0" applyAlignment="0" applyProtection="0"/>
    <xf numFmtId="0" fontId="141" fillId="0" borderId="24" applyNumberFormat="0" applyFill="0" applyAlignment="0" applyProtection="0"/>
    <xf numFmtId="0" fontId="142" fillId="0" borderId="25" applyNumberFormat="0" applyFill="0" applyAlignment="0" applyProtection="0"/>
    <xf numFmtId="0" fontId="142" fillId="0" borderId="25" applyNumberFormat="0" applyFill="0" applyAlignment="0" applyProtection="0"/>
    <xf numFmtId="0" fontId="142" fillId="0" borderId="25" applyNumberFormat="0" applyFill="0" applyAlignment="0" applyProtection="0"/>
    <xf numFmtId="0" fontId="143" fillId="0" borderId="26" applyNumberFormat="0" applyFill="0" applyAlignment="0" applyProtection="0"/>
    <xf numFmtId="0" fontId="143" fillId="0" borderId="26" applyNumberFormat="0" applyFill="0" applyAlignment="0" applyProtection="0"/>
    <xf numFmtId="0" fontId="143" fillId="0" borderId="26" applyNumberFormat="0" applyFill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6" fillId="45" borderId="0" applyNumberFormat="0" applyBorder="0" applyAlignment="0" applyProtection="0"/>
    <xf numFmtId="0" fontId="146" fillId="45" borderId="0" applyNumberFormat="0" applyBorder="0" applyAlignment="0" applyProtection="0"/>
    <xf numFmtId="0" fontId="146" fillId="45" borderId="0" applyNumberFormat="0" applyBorder="0" applyAlignment="0" applyProtection="0"/>
    <xf numFmtId="0" fontId="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5" fillId="0" borderId="0"/>
    <xf numFmtId="0" fontId="135" fillId="0" borderId="0"/>
    <xf numFmtId="0" fontId="135" fillId="0" borderId="0"/>
    <xf numFmtId="0" fontId="5" fillId="0" borderId="0"/>
    <xf numFmtId="0" fontId="116" fillId="0" borderId="0"/>
    <xf numFmtId="0" fontId="135" fillId="0" borderId="0"/>
    <xf numFmtId="0" fontId="135" fillId="0" borderId="0"/>
    <xf numFmtId="0" fontId="12" fillId="0" borderId="0">
      <alignment vertical="center"/>
    </xf>
    <xf numFmtId="0" fontId="116" fillId="0" borderId="0"/>
    <xf numFmtId="0" fontId="12" fillId="0" borderId="0"/>
    <xf numFmtId="0" fontId="12" fillId="0" borderId="0">
      <alignment vertical="center"/>
    </xf>
    <xf numFmtId="0" fontId="12" fillId="0" borderId="0"/>
    <xf numFmtId="9" fontId="135" fillId="0" borderId="0" applyFont="0" applyFill="0" applyBorder="0" applyAlignment="0" applyProtection="0"/>
    <xf numFmtId="9" fontId="135" fillId="0" borderId="0" applyFont="0" applyFill="0" applyBorder="0" applyAlignment="0" applyProtection="0"/>
    <xf numFmtId="9" fontId="135" fillId="0" borderId="0" applyFont="0" applyFill="0" applyBorder="0" applyAlignment="0" applyProtection="0"/>
    <xf numFmtId="9" fontId="135" fillId="0" borderId="0" applyFont="0" applyFill="0" applyBorder="0" applyAlignment="0" applyProtection="0"/>
    <xf numFmtId="9" fontId="135" fillId="0" borderId="0" applyFont="0" applyFill="0" applyBorder="0" applyAlignment="0" applyProtection="0"/>
    <xf numFmtId="9" fontId="135" fillId="0" borderId="0" applyFont="0" applyFill="0" applyBorder="0" applyAlignment="0" applyProtection="0"/>
    <xf numFmtId="9" fontId="135" fillId="0" borderId="0" applyFont="0" applyFill="0" applyBorder="0" applyAlignment="0" applyProtection="0"/>
    <xf numFmtId="9" fontId="135" fillId="0" borderId="0" applyFont="0" applyFill="0" applyBorder="0" applyAlignment="0" applyProtection="0"/>
    <xf numFmtId="9" fontId="135" fillId="0" borderId="0" applyFont="0" applyFill="0" applyBorder="0" applyAlignment="0" applyProtection="0"/>
    <xf numFmtId="9" fontId="135" fillId="0" borderId="0" applyFont="0" applyFill="0" applyBorder="0" applyAlignment="0" applyProtection="0"/>
    <xf numFmtId="9" fontId="135" fillId="0" borderId="0" applyFont="0" applyFill="0" applyBorder="0" applyAlignment="0" applyProtection="0"/>
    <xf numFmtId="9" fontId="135" fillId="0" borderId="0" applyFont="0" applyFill="0" applyBorder="0" applyAlignment="0" applyProtection="0"/>
    <xf numFmtId="9" fontId="135" fillId="0" borderId="0" applyFont="0" applyFill="0" applyBorder="0" applyAlignment="0" applyProtection="0"/>
    <xf numFmtId="9" fontId="135" fillId="0" borderId="0" applyFont="0" applyFill="0" applyBorder="0" applyAlignment="0" applyProtection="0"/>
    <xf numFmtId="0" fontId="150" fillId="0" borderId="29" applyNumberFormat="0" applyFill="0" applyAlignment="0" applyProtection="0"/>
    <xf numFmtId="0" fontId="150" fillId="0" borderId="29" applyNumberFormat="0" applyFill="0" applyAlignment="0" applyProtection="0"/>
    <xf numFmtId="0" fontId="150" fillId="0" borderId="29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2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147" fillId="46" borderId="27" applyNumberFormat="0" applyAlignment="0" applyProtection="0"/>
    <xf numFmtId="0" fontId="147" fillId="46" borderId="27" applyNumberFormat="0" applyAlignment="0" applyProtection="0"/>
    <xf numFmtId="0" fontId="147" fillId="46" borderId="27" applyNumberFormat="0" applyAlignment="0" applyProtection="0"/>
    <xf numFmtId="0" fontId="149" fillId="47" borderId="27" applyNumberFormat="0" applyAlignment="0" applyProtection="0"/>
    <xf numFmtId="0" fontId="149" fillId="47" borderId="27" applyNumberFormat="0" applyAlignment="0" applyProtection="0"/>
    <xf numFmtId="0" fontId="149" fillId="47" borderId="27" applyNumberFormat="0" applyAlignment="0" applyProtection="0"/>
    <xf numFmtId="0" fontId="148" fillId="47" borderId="28" applyNumberFormat="0" applyAlignment="0" applyProtection="0"/>
    <xf numFmtId="0" fontId="148" fillId="47" borderId="28" applyNumberFormat="0" applyAlignment="0" applyProtection="0"/>
    <xf numFmtId="0" fontId="148" fillId="47" borderId="28" applyNumberFormat="0" applyAlignment="0" applyProtection="0"/>
    <xf numFmtId="0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45" fillId="44" borderId="0" applyNumberFormat="0" applyBorder="0" applyAlignment="0" applyProtection="0"/>
    <xf numFmtId="0" fontId="145" fillId="44" borderId="0" applyNumberFormat="0" applyBorder="0" applyAlignment="0" applyProtection="0"/>
    <xf numFmtId="0" fontId="145" fillId="44" borderId="0" applyNumberFormat="0" applyBorder="0" applyAlignment="0" applyProtection="0"/>
    <xf numFmtId="0" fontId="155" fillId="50" borderId="0" applyNumberFormat="0" applyBorder="0" applyAlignment="0" applyProtection="0"/>
    <xf numFmtId="0" fontId="155" fillId="50" borderId="0" applyNumberFormat="0" applyBorder="0" applyAlignment="0" applyProtection="0"/>
    <xf numFmtId="0" fontId="155" fillId="50" borderId="0" applyNumberFormat="0" applyBorder="0" applyAlignment="0" applyProtection="0"/>
    <xf numFmtId="0" fontId="155" fillId="54" borderId="0" applyNumberFormat="0" applyBorder="0" applyAlignment="0" applyProtection="0"/>
    <xf numFmtId="0" fontId="155" fillId="54" borderId="0" applyNumberFormat="0" applyBorder="0" applyAlignment="0" applyProtection="0"/>
    <xf numFmtId="0" fontId="155" fillId="54" borderId="0" applyNumberFormat="0" applyBorder="0" applyAlignment="0" applyProtection="0"/>
    <xf numFmtId="0" fontId="155" fillId="58" borderId="0" applyNumberFormat="0" applyBorder="0" applyAlignment="0" applyProtection="0"/>
    <xf numFmtId="0" fontId="155" fillId="58" borderId="0" applyNumberFormat="0" applyBorder="0" applyAlignment="0" applyProtection="0"/>
    <xf numFmtId="0" fontId="155" fillId="58" borderId="0" applyNumberFormat="0" applyBorder="0" applyAlignment="0" applyProtection="0"/>
    <xf numFmtId="0" fontId="155" fillId="62" borderId="0" applyNumberFormat="0" applyBorder="0" applyAlignment="0" applyProtection="0"/>
    <xf numFmtId="0" fontId="155" fillId="62" borderId="0" applyNumberFormat="0" applyBorder="0" applyAlignment="0" applyProtection="0"/>
    <xf numFmtId="0" fontId="155" fillId="62" borderId="0" applyNumberFormat="0" applyBorder="0" applyAlignment="0" applyProtection="0"/>
    <xf numFmtId="0" fontId="155" fillId="66" borderId="0" applyNumberFormat="0" applyBorder="0" applyAlignment="0" applyProtection="0"/>
    <xf numFmtId="0" fontId="155" fillId="66" borderId="0" applyNumberFormat="0" applyBorder="0" applyAlignment="0" applyProtection="0"/>
    <xf numFmtId="0" fontId="155" fillId="66" borderId="0" applyNumberFormat="0" applyBorder="0" applyAlignment="0" applyProtection="0"/>
    <xf numFmtId="0" fontId="155" fillId="70" borderId="0" applyNumberFormat="0" applyBorder="0" applyAlignment="0" applyProtection="0"/>
    <xf numFmtId="0" fontId="155" fillId="70" borderId="0" applyNumberFormat="0" applyBorder="0" applyAlignment="0" applyProtection="0"/>
    <xf numFmtId="0" fontId="155" fillId="70" borderId="0" applyNumberFormat="0" applyBorder="0" applyAlignment="0" applyProtection="0"/>
    <xf numFmtId="0" fontId="5" fillId="0" borderId="0"/>
    <xf numFmtId="0" fontId="63" fillId="4" borderId="0" applyNumberFormat="0" applyBorder="0" applyAlignment="0" applyProtection="0"/>
    <xf numFmtId="0" fontId="63" fillId="5" borderId="0" applyNumberFormat="0" applyBorder="0" applyAlignment="0" applyProtection="0"/>
    <xf numFmtId="0" fontId="63" fillId="6" borderId="0" applyNumberFormat="0" applyBorder="0" applyAlignment="0" applyProtection="0"/>
    <xf numFmtId="0" fontId="63" fillId="7" borderId="0" applyNumberFormat="0" applyBorder="0" applyAlignment="0" applyProtection="0"/>
    <xf numFmtId="0" fontId="63" fillId="8" borderId="0" applyNumberFormat="0" applyBorder="0" applyAlignment="0" applyProtection="0"/>
    <xf numFmtId="0" fontId="63" fillId="9" borderId="0" applyNumberFormat="0" applyBorder="0" applyAlignment="0" applyProtection="0"/>
    <xf numFmtId="0" fontId="21" fillId="77" borderId="0" applyNumberFormat="0" applyBorder="0" applyAlignment="0" applyProtection="0"/>
    <xf numFmtId="0" fontId="21" fillId="9" borderId="0" applyNumberFormat="0" applyBorder="0" applyAlignment="0" applyProtection="0"/>
    <xf numFmtId="0" fontId="21" fillId="26" borderId="0" applyNumberFormat="0" applyBorder="0" applyAlignment="0" applyProtection="0"/>
    <xf numFmtId="0" fontId="21" fillId="77" borderId="0" applyNumberFormat="0" applyBorder="0" applyAlignment="0" applyProtection="0"/>
    <xf numFmtId="0" fontId="21" fillId="8" borderId="0" applyNumberFormat="0" applyBorder="0" applyAlignment="0" applyProtection="0"/>
    <xf numFmtId="0" fontId="21" fillId="9" borderId="0" applyNumberFormat="0" applyBorder="0" applyAlignment="0" applyProtection="0"/>
    <xf numFmtId="0" fontId="63" fillId="10" borderId="0" applyNumberFormat="0" applyBorder="0" applyAlignment="0" applyProtection="0"/>
    <xf numFmtId="0" fontId="63" fillId="11" borderId="0" applyNumberFormat="0" applyBorder="0" applyAlignment="0" applyProtection="0"/>
    <xf numFmtId="0" fontId="63" fillId="12" borderId="0" applyNumberFormat="0" applyBorder="0" applyAlignment="0" applyProtection="0"/>
    <xf numFmtId="0" fontId="63" fillId="7" borderId="0" applyNumberFormat="0" applyBorder="0" applyAlignment="0" applyProtection="0"/>
    <xf numFmtId="0" fontId="63" fillId="10" borderId="0" applyNumberFormat="0" applyBorder="0" applyAlignment="0" applyProtection="0"/>
    <xf numFmtId="0" fontId="63" fillId="13" borderId="0" applyNumberFormat="0" applyBorder="0" applyAlignment="0" applyProtection="0"/>
    <xf numFmtId="0" fontId="21" fillId="22" borderId="0" applyNumberFormat="0" applyBorder="0" applyAlignment="0" applyProtection="0"/>
    <xf numFmtId="0" fontId="21" fillId="11" borderId="0" applyNumberFormat="0" applyBorder="0" applyAlignment="0" applyProtection="0"/>
    <xf numFmtId="0" fontId="21" fillId="28" borderId="0" applyNumberFormat="0" applyBorder="0" applyAlignment="0" applyProtection="0"/>
    <xf numFmtId="0" fontId="21" fillId="22" borderId="0" applyNumberFormat="0" applyBorder="0" applyAlignment="0" applyProtection="0"/>
    <xf numFmtId="0" fontId="21" fillId="10" borderId="0" applyNumberFormat="0" applyBorder="0" applyAlignment="0" applyProtection="0"/>
    <xf numFmtId="0" fontId="21" fillId="9" borderId="0" applyNumberFormat="0" applyBorder="0" applyAlignment="0" applyProtection="0"/>
    <xf numFmtId="0" fontId="241" fillId="14" borderId="0" applyNumberFormat="0" applyBorder="0" applyAlignment="0" applyProtection="0"/>
    <xf numFmtId="0" fontId="241" fillId="11" borderId="0" applyNumberFormat="0" applyBorder="0" applyAlignment="0" applyProtection="0"/>
    <xf numFmtId="0" fontId="241" fillId="12" borderId="0" applyNumberFormat="0" applyBorder="0" applyAlignment="0" applyProtection="0"/>
    <xf numFmtId="0" fontId="241" fillId="15" borderId="0" applyNumberFormat="0" applyBorder="0" applyAlignment="0" applyProtection="0"/>
    <xf numFmtId="0" fontId="241" fillId="16" borderId="0" applyNumberFormat="0" applyBorder="0" applyAlignment="0" applyProtection="0"/>
    <xf numFmtId="0" fontId="241" fillId="17" borderId="0" applyNumberFormat="0" applyBorder="0" applyAlignment="0" applyProtection="0"/>
    <xf numFmtId="0" fontId="22" fillId="16" borderId="0" applyNumberFormat="0" applyBorder="0" applyAlignment="0" applyProtection="0"/>
    <xf numFmtId="0" fontId="22" fillId="11" borderId="0" applyNumberFormat="0" applyBorder="0" applyAlignment="0" applyProtection="0"/>
    <xf numFmtId="0" fontId="22" fillId="28" borderId="0" applyNumberFormat="0" applyBorder="0" applyAlignment="0" applyProtection="0"/>
    <xf numFmtId="0" fontId="22" fillId="22" borderId="0" applyNumberFormat="0" applyBorder="0" applyAlignment="0" applyProtection="0"/>
    <xf numFmtId="0" fontId="22" fillId="16" borderId="0" applyNumberFormat="0" applyBorder="0" applyAlignment="0" applyProtection="0"/>
    <xf numFmtId="0" fontId="22" fillId="9" borderId="0" applyNumberFormat="0" applyBorder="0" applyAlignment="0" applyProtection="0"/>
    <xf numFmtId="0" fontId="22" fillId="16" borderId="0" applyNumberFormat="0" applyBorder="0" applyAlignment="0" applyProtection="0"/>
    <xf numFmtId="0" fontId="22" fillId="78" borderId="0" applyNumberFormat="0" applyBorder="0" applyAlignment="0" applyProtection="0"/>
    <xf numFmtId="0" fontId="24" fillId="77" borderId="4" applyNumberFormat="0" applyAlignment="0" applyProtection="0"/>
    <xf numFmtId="0" fontId="242" fillId="0" borderId="6" applyNumberFormat="0" applyFill="0" applyAlignment="0" applyProtection="0"/>
    <xf numFmtId="0" fontId="40" fillId="6" borderId="0" applyNumberFormat="0" applyBorder="0" applyAlignment="0" applyProtection="0"/>
    <xf numFmtId="0" fontId="237" fillId="0" borderId="36" applyNumberFormat="0" applyFill="0" applyAlignment="0" applyProtection="0"/>
    <xf numFmtId="0" fontId="238" fillId="0" borderId="14" applyNumberFormat="0" applyFill="0" applyAlignment="0" applyProtection="0"/>
    <xf numFmtId="0" fontId="239" fillId="0" borderId="37" applyNumberFormat="0" applyFill="0" applyAlignment="0" applyProtection="0"/>
    <xf numFmtId="0" fontId="239" fillId="0" borderId="0" applyNumberFormat="0" applyFill="0" applyBorder="0" applyAlignment="0" applyProtection="0"/>
    <xf numFmtId="0" fontId="243" fillId="5" borderId="0" applyNumberFormat="0" applyBorder="0" applyAlignment="0" applyProtection="0"/>
    <xf numFmtId="0" fontId="244" fillId="40" borderId="19" applyNumberFormat="0" applyAlignment="0" applyProtection="0"/>
    <xf numFmtId="0" fontId="235" fillId="0" borderId="0" applyNumberFormat="0" applyFill="0" applyBorder="0" applyAlignment="0" applyProtection="0"/>
    <xf numFmtId="0" fontId="245" fillId="28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5" fillId="0" borderId="0"/>
    <xf numFmtId="0" fontId="62" fillId="0" borderId="0"/>
    <xf numFmtId="0" fontId="136" fillId="0" borderId="0"/>
    <xf numFmtId="0" fontId="12" fillId="0" borderId="0"/>
    <xf numFmtId="0" fontId="5" fillId="0" borderId="0"/>
    <xf numFmtId="0" fontId="12" fillId="0" borderId="0"/>
    <xf numFmtId="0" fontId="12" fillId="26" borderId="9" applyNumberFormat="0" applyFont="0" applyAlignment="0" applyProtection="0"/>
    <xf numFmtId="0" fontId="23" fillId="77" borderId="3" applyNumberFormat="0" applyAlignment="0" applyProtection="0"/>
    <xf numFmtId="9" fontId="12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5" fillId="0" borderId="0"/>
    <xf numFmtId="0" fontId="12" fillId="26" borderId="9" applyNumberFormat="0" applyFont="0" applyAlignment="0" applyProtection="0"/>
    <xf numFmtId="0" fontId="246" fillId="0" borderId="17" applyNumberFormat="0" applyFill="0" applyAlignment="0" applyProtection="0"/>
    <xf numFmtId="0" fontId="247" fillId="6" borderId="0" applyNumberFormat="0" applyBorder="0" applyAlignment="0" applyProtection="0"/>
    <xf numFmtId="0" fontId="236" fillId="0" borderId="0"/>
    <xf numFmtId="0" fontId="248" fillId="0" borderId="0" applyNumberFormat="0" applyFill="0" applyBorder="0" applyAlignment="0" applyProtection="0"/>
    <xf numFmtId="0" fontId="240" fillId="0" borderId="0" applyNumberFormat="0" applyFill="0" applyBorder="0" applyAlignment="0" applyProtection="0"/>
    <xf numFmtId="0" fontId="31" fillId="0" borderId="38" applyNumberFormat="0" applyFill="0" applyAlignment="0" applyProtection="0"/>
    <xf numFmtId="0" fontId="249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241" fillId="18" borderId="0" applyNumberFormat="0" applyBorder="0" applyAlignment="0" applyProtection="0"/>
    <xf numFmtId="0" fontId="241" fillId="19" borderId="0" applyNumberFormat="0" applyBorder="0" applyAlignment="0" applyProtection="0"/>
    <xf numFmtId="0" fontId="241" fillId="20" borderId="0" applyNumberFormat="0" applyBorder="0" applyAlignment="0" applyProtection="0"/>
    <xf numFmtId="0" fontId="241" fillId="15" borderId="0" applyNumberFormat="0" applyBorder="0" applyAlignment="0" applyProtection="0"/>
    <xf numFmtId="0" fontId="241" fillId="16" borderId="0" applyNumberFormat="0" applyBorder="0" applyAlignment="0" applyProtection="0"/>
    <xf numFmtId="0" fontId="241" fillId="21" borderId="0" applyNumberFormat="0" applyBorder="0" applyAlignment="0" applyProtection="0"/>
    <xf numFmtId="0" fontId="22" fillId="16" borderId="0" applyNumberFormat="0" applyBorder="0" applyAlignment="0" applyProtection="0"/>
    <xf numFmtId="0" fontId="22" fillId="78" borderId="0" applyNumberFormat="0" applyBorder="0" applyAlignment="0" applyProtection="0"/>
    <xf numFmtId="0" fontId="24" fillId="77" borderId="4" applyNumberFormat="0" applyAlignment="0" applyProtection="0"/>
    <xf numFmtId="0" fontId="237" fillId="0" borderId="36" applyNumberFormat="0" applyFill="0" applyAlignment="0" applyProtection="0"/>
    <xf numFmtId="0" fontId="238" fillId="0" borderId="14" applyNumberFormat="0" applyFill="0" applyAlignment="0" applyProtection="0"/>
    <xf numFmtId="0" fontId="239" fillId="0" borderId="37" applyNumberFormat="0" applyFill="0" applyAlignment="0" applyProtection="0"/>
    <xf numFmtId="0" fontId="239" fillId="0" borderId="0" applyNumberFormat="0" applyFill="0" applyBorder="0" applyAlignment="0" applyProtection="0"/>
    <xf numFmtId="0" fontId="12" fillId="0" borderId="0"/>
    <xf numFmtId="0" fontId="12" fillId="0" borderId="0"/>
    <xf numFmtId="0" fontId="5" fillId="0" borderId="0"/>
    <xf numFmtId="0" fontId="12" fillId="0" borderId="0"/>
    <xf numFmtId="0" fontId="23" fillId="77" borderId="3" applyNumberFormat="0" applyAlignment="0" applyProtection="0"/>
    <xf numFmtId="0" fontId="12" fillId="26" borderId="9" applyNumberFormat="0" applyFont="0" applyAlignment="0" applyProtection="0"/>
    <xf numFmtId="0" fontId="240" fillId="0" borderId="0" applyNumberFormat="0" applyFill="0" applyBorder="0" applyAlignment="0" applyProtection="0"/>
    <xf numFmtId="0" fontId="5" fillId="0" borderId="0"/>
    <xf numFmtId="0" fontId="12" fillId="0" borderId="0"/>
    <xf numFmtId="168" fontId="17" fillId="0" borderId="0"/>
    <xf numFmtId="0" fontId="5" fillId="0" borderId="0"/>
    <xf numFmtId="0" fontId="12" fillId="0" borderId="0"/>
    <xf numFmtId="0" fontId="269" fillId="0" borderId="0" applyNumberFormat="0" applyFill="0" applyBorder="0" applyAlignment="0" applyProtection="0"/>
    <xf numFmtId="9" fontId="5" fillId="0" borderId="0" applyFont="0" applyFill="0" applyBorder="0" applyAlignment="0" applyProtection="0"/>
    <xf numFmtId="0" fontId="12" fillId="0" borderId="0"/>
    <xf numFmtId="0" fontId="5" fillId="0" borderId="0"/>
    <xf numFmtId="9" fontId="5" fillId="0" borderId="0" applyFont="0" applyFill="0" applyBorder="0" applyAlignment="0" applyProtection="0"/>
    <xf numFmtId="0" fontId="12" fillId="0" borderId="0"/>
    <xf numFmtId="0" fontId="3" fillId="0" borderId="0"/>
    <xf numFmtId="9" fontId="3" fillId="0" borderId="0" applyFont="0" applyFill="0" applyBorder="0" applyAlignment="0" applyProtection="0"/>
    <xf numFmtId="0" fontId="278" fillId="0" borderId="0"/>
    <xf numFmtId="0" fontId="2" fillId="0" borderId="0"/>
    <xf numFmtId="0" fontId="2" fillId="0" borderId="0"/>
    <xf numFmtId="0" fontId="2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302" fillId="0" borderId="0" applyNumberFormat="0" applyFill="0" applyBorder="0" applyAlignment="0" applyProtection="0"/>
    <xf numFmtId="9" fontId="1" fillId="0" borderId="0" applyFont="0" applyFill="0" applyBorder="0" applyAlignment="0" applyProtection="0"/>
    <xf numFmtId="0" fontId="1" fillId="0" borderId="0"/>
  </cellStyleXfs>
  <cellXfs count="1816">
    <xf numFmtId="0" fontId="0" fillId="0" borderId="0" xfId="0"/>
    <xf numFmtId="0" fontId="112" fillId="0" borderId="0" xfId="0" applyFont="1" applyFill="1" applyBorder="1" applyAlignment="1">
      <alignment horizontal="right" vertical="center"/>
    </xf>
    <xf numFmtId="3" fontId="115" fillId="0" borderId="0" xfId="0" applyNumberFormat="1" applyFont="1"/>
    <xf numFmtId="0" fontId="0" fillId="0" borderId="0" xfId="0" applyFill="1" applyBorder="1"/>
    <xf numFmtId="166" fontId="0" fillId="0" borderId="0" xfId="0" applyNumberFormat="1"/>
    <xf numFmtId="0" fontId="16" fillId="0" borderId="0" xfId="0" applyFont="1"/>
    <xf numFmtId="0" fontId="0" fillId="0" borderId="0" xfId="0" applyFill="1"/>
    <xf numFmtId="0" fontId="115" fillId="0" borderId="0" xfId="0" applyFont="1"/>
    <xf numFmtId="0" fontId="0" fillId="0" borderId="0" xfId="0" applyBorder="1"/>
    <xf numFmtId="0" fontId="117" fillId="0" borderId="0" xfId="0" applyFont="1"/>
    <xf numFmtId="167" fontId="113" fillId="0" borderId="0" xfId="790" applyNumberFormat="1" applyFont="1" applyBorder="1" applyAlignment="1">
      <alignment horizontal="right" vertical="center"/>
    </xf>
    <xf numFmtId="0" fontId="13" fillId="0" borderId="0" xfId="790" applyFont="1" applyBorder="1"/>
    <xf numFmtId="167" fontId="13" fillId="0" borderId="0" xfId="790" applyNumberFormat="1" applyFont="1" applyBorder="1" applyAlignment="1">
      <alignment horizontal="right" vertical="center"/>
    </xf>
    <xf numFmtId="0" fontId="113" fillId="0" borderId="0" xfId="790" applyFont="1" applyFill="1" applyBorder="1"/>
    <xf numFmtId="0" fontId="119" fillId="0" borderId="2" xfId="790" applyFont="1" applyBorder="1" applyAlignment="1">
      <alignment wrapText="1"/>
    </xf>
    <xf numFmtId="0" fontId="114" fillId="0" borderId="0" xfId="790" applyFont="1" applyFill="1" applyBorder="1" applyAlignment="1">
      <alignment horizontal="left" indent="2"/>
    </xf>
    <xf numFmtId="2" fontId="114" fillId="0" borderId="0" xfId="790" applyNumberFormat="1" applyFont="1" applyFill="1" applyBorder="1" applyAlignment="1">
      <alignment horizontal="left" indent="2"/>
    </xf>
    <xf numFmtId="0" fontId="13" fillId="0" borderId="22" xfId="790" applyFont="1" applyBorder="1"/>
    <xf numFmtId="0" fontId="115" fillId="0" borderId="0" xfId="0" applyFont="1" applyFill="1"/>
    <xf numFmtId="3" fontId="14" fillId="0" borderId="0" xfId="0" applyNumberFormat="1" applyFont="1" applyFill="1" applyBorder="1" applyAlignment="1">
      <alignment horizontal="right"/>
    </xf>
    <xf numFmtId="0" fontId="121" fillId="2" borderId="0" xfId="0" applyFont="1" applyFill="1" applyAlignment="1">
      <alignment vertical="center" wrapText="1"/>
    </xf>
    <xf numFmtId="0" fontId="14" fillId="0" borderId="0" xfId="0" applyFont="1" applyAlignment="1">
      <alignment vertical="center" wrapText="1"/>
    </xf>
    <xf numFmtId="0" fontId="123" fillId="0" borderId="0" xfId="0" applyFont="1" applyAlignment="1">
      <alignment vertical="center"/>
    </xf>
    <xf numFmtId="0" fontId="124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 wrapText="1"/>
    </xf>
    <xf numFmtId="0" fontId="14" fillId="0" borderId="0" xfId="0" applyFont="1" applyAlignment="1">
      <alignment vertical="center"/>
    </xf>
    <xf numFmtId="0" fontId="15" fillId="0" borderId="23" xfId="0" applyFont="1" applyBorder="1" applyAlignment="1">
      <alignment vertical="center"/>
    </xf>
    <xf numFmtId="0" fontId="13" fillId="0" borderId="22" xfId="0" applyFont="1" applyBorder="1" applyAlignment="1">
      <alignment vertical="center"/>
    </xf>
    <xf numFmtId="166" fontId="123" fillId="0" borderId="0" xfId="0" applyNumberFormat="1" applyFont="1" applyAlignment="1">
      <alignment horizontal="center" vertical="center"/>
    </xf>
    <xf numFmtId="166" fontId="124" fillId="0" borderId="0" xfId="0" applyNumberFormat="1" applyFont="1" applyAlignment="1">
      <alignment horizontal="center" vertical="center"/>
    </xf>
    <xf numFmtId="166" fontId="13" fillId="0" borderId="0" xfId="0" applyNumberFormat="1" applyFont="1" applyAlignment="1">
      <alignment horizontal="center" vertical="center"/>
    </xf>
    <xf numFmtId="0" fontId="122" fillId="2" borderId="0" xfId="0" applyFont="1" applyFill="1" applyAlignment="1">
      <alignment vertical="center"/>
    </xf>
    <xf numFmtId="0" fontId="122" fillId="2" borderId="0" xfId="0" applyFont="1" applyFill="1" applyAlignment="1">
      <alignment horizontal="center" vertical="center" wrapText="1"/>
    </xf>
    <xf numFmtId="0" fontId="123" fillId="0" borderId="0" xfId="0" applyFont="1" applyAlignment="1">
      <alignment horizontal="center" vertical="center"/>
    </xf>
    <xf numFmtId="2" fontId="14" fillId="0" borderId="0" xfId="0" applyNumberFormat="1" applyFont="1" applyAlignment="1">
      <alignment horizontal="center" vertical="center"/>
    </xf>
    <xf numFmtId="167" fontId="15" fillId="0" borderId="2" xfId="0" applyNumberFormat="1" applyFont="1" applyBorder="1" applyAlignment="1">
      <alignment vertical="center"/>
    </xf>
    <xf numFmtId="167" fontId="14" fillId="0" borderId="0" xfId="0" applyNumberFormat="1" applyFont="1" applyAlignment="1">
      <alignment vertical="center"/>
    </xf>
    <xf numFmtId="167" fontId="13" fillId="0" borderId="22" xfId="0" applyNumberFormat="1" applyFont="1" applyBorder="1" applyAlignment="1">
      <alignment vertical="center"/>
    </xf>
    <xf numFmtId="167" fontId="16" fillId="0" borderId="0" xfId="0" applyNumberFormat="1" applyFont="1" applyAlignment="1">
      <alignment vertical="center"/>
    </xf>
    <xf numFmtId="0" fontId="14" fillId="0" borderId="0" xfId="0" applyFont="1" applyFill="1" applyBorder="1"/>
    <xf numFmtId="203" fontId="15" fillId="0" borderId="0" xfId="0" applyNumberFormat="1" applyFont="1" applyBorder="1" applyAlignment="1">
      <alignment horizontal="right"/>
    </xf>
    <xf numFmtId="2" fontId="13" fillId="0" borderId="22" xfId="0" applyNumberFormat="1" applyFont="1" applyBorder="1" applyAlignment="1">
      <alignment horizontal="center" vertical="center"/>
    </xf>
    <xf numFmtId="0" fontId="115" fillId="0" borderId="0" xfId="0" applyFont="1" applyBorder="1"/>
    <xf numFmtId="0" fontId="15" fillId="0" borderId="0" xfId="0" applyFont="1" applyAlignment="1">
      <alignment vertical="center"/>
    </xf>
    <xf numFmtId="0" fontId="113" fillId="0" borderId="0" xfId="0" applyFont="1" applyFill="1" applyBorder="1"/>
    <xf numFmtId="167" fontId="113" fillId="0" borderId="0" xfId="790" applyNumberFormat="1" applyFont="1" applyFill="1" applyBorder="1" applyAlignment="1">
      <alignment horizontal="right" vertical="center"/>
    </xf>
    <xf numFmtId="0" fontId="115" fillId="0" borderId="0" xfId="0" applyFont="1" applyFill="1" applyBorder="1"/>
    <xf numFmtId="204" fontId="0" fillId="0" borderId="0" xfId="0" applyNumberFormat="1"/>
    <xf numFmtId="166" fontId="15" fillId="0" borderId="0" xfId="0" applyNumberFormat="1" applyFont="1" applyAlignment="1">
      <alignment horizontal="center" vertical="center" wrapText="1"/>
    </xf>
    <xf numFmtId="0" fontId="117" fillId="0" borderId="0" xfId="0" applyFont="1" applyAlignment="1">
      <alignment horizontal="right"/>
    </xf>
    <xf numFmtId="0" fontId="129" fillId="0" borderId="0" xfId="0" applyFont="1" applyFill="1" applyAlignment="1">
      <alignment horizontal="left"/>
    </xf>
    <xf numFmtId="0" fontId="107" fillId="0" borderId="0" xfId="0" applyFont="1" applyAlignment="1">
      <alignment vertical="center"/>
    </xf>
    <xf numFmtId="3" fontId="14" fillId="0" borderId="0" xfId="0" applyNumberFormat="1" applyFont="1" applyFill="1" applyAlignment="1">
      <alignment horizontal="center" vertical="center"/>
    </xf>
    <xf numFmtId="2" fontId="123" fillId="0" borderId="0" xfId="0" applyNumberFormat="1" applyFont="1" applyAlignment="1">
      <alignment horizontal="center" vertical="center"/>
    </xf>
    <xf numFmtId="0" fontId="122" fillId="0" borderId="0" xfId="0" applyFont="1" applyFill="1" applyBorder="1" applyAlignment="1">
      <alignment horizontal="center" vertical="center" wrapText="1"/>
    </xf>
    <xf numFmtId="0" fontId="15" fillId="0" borderId="0" xfId="0" applyFont="1" applyBorder="1" applyAlignment="1">
      <alignment vertical="center" wrapText="1"/>
    </xf>
    <xf numFmtId="0" fontId="107" fillId="0" borderId="0" xfId="0" applyFont="1" applyFill="1" applyBorder="1" applyAlignment="1">
      <alignment vertical="center"/>
    </xf>
    <xf numFmtId="0" fontId="13" fillId="0" borderId="0" xfId="0" applyFont="1" applyFill="1" applyBorder="1" applyAlignment="1">
      <alignment vertical="center" wrapText="1"/>
    </xf>
    <xf numFmtId="0" fontId="14" fillId="0" borderId="0" xfId="0" applyFont="1" applyFill="1" applyBorder="1" applyAlignment="1">
      <alignment vertical="center" wrapText="1"/>
    </xf>
    <xf numFmtId="1" fontId="14" fillId="0" borderId="0" xfId="0" applyNumberFormat="1" applyFont="1" applyFill="1" applyBorder="1" applyAlignment="1">
      <alignment horizontal="center" vertical="center" wrapText="1"/>
    </xf>
    <xf numFmtId="0" fontId="15" fillId="0" borderId="0" xfId="0" applyFont="1" applyFill="1" applyBorder="1" applyAlignment="1">
      <alignment vertical="center" wrapText="1"/>
    </xf>
    <xf numFmtId="1" fontId="15" fillId="0" borderId="0" xfId="0" applyNumberFormat="1" applyFont="1" applyFill="1" applyBorder="1" applyAlignment="1">
      <alignment horizontal="center" vertical="center" wrapText="1"/>
    </xf>
    <xf numFmtId="0" fontId="127" fillId="0" borderId="0" xfId="0" applyFont="1" applyFill="1" applyBorder="1" applyAlignment="1">
      <alignment horizontal="center" vertical="center" wrapText="1"/>
    </xf>
    <xf numFmtId="0" fontId="13" fillId="0" borderId="0" xfId="0" applyFont="1" applyFill="1" applyBorder="1" applyAlignment="1">
      <alignment vertical="center"/>
    </xf>
    <xf numFmtId="1" fontId="107" fillId="0" borderId="0" xfId="0" applyNumberFormat="1" applyFont="1" applyFill="1" applyBorder="1" applyAlignment="1">
      <alignment horizontal="center" vertical="center"/>
    </xf>
    <xf numFmtId="0" fontId="16" fillId="0" borderId="0" xfId="0" applyFont="1" applyFill="1" applyBorder="1" applyAlignment="1">
      <alignment horizontal="justify" vertical="center" wrapText="1"/>
    </xf>
    <xf numFmtId="0" fontId="117" fillId="0" borderId="0" xfId="0" applyFont="1" applyFill="1" applyBorder="1" applyAlignment="1">
      <alignment horizontal="center" vertical="center" wrapText="1"/>
    </xf>
    <xf numFmtId="3" fontId="14" fillId="0" borderId="0" xfId="0" applyNumberFormat="1" applyFont="1" applyFill="1" applyBorder="1" applyAlignment="1">
      <alignment horizontal="center" vertical="center"/>
    </xf>
    <xf numFmtId="0" fontId="15" fillId="0" borderId="0" xfId="0" applyFont="1" applyFill="1" applyBorder="1"/>
    <xf numFmtId="3" fontId="15" fillId="0" borderId="0" xfId="0" applyNumberFormat="1" applyFont="1" applyFill="1" applyBorder="1" applyAlignment="1">
      <alignment horizontal="center" vertical="center"/>
    </xf>
    <xf numFmtId="0" fontId="16" fillId="0" borderId="0" xfId="0" applyFont="1" applyFill="1" applyBorder="1" applyAlignment="1">
      <alignment horizontal="left"/>
    </xf>
    <xf numFmtId="3" fontId="16" fillId="0" borderId="0" xfId="0" applyNumberFormat="1" applyFont="1" applyFill="1" applyBorder="1" applyAlignment="1">
      <alignment horizontal="center" vertical="center"/>
    </xf>
    <xf numFmtId="0" fontId="13" fillId="0" borderId="0" xfId="0" applyFont="1" applyFill="1" applyBorder="1"/>
    <xf numFmtId="3" fontId="13" fillId="0" borderId="0" xfId="0" applyNumberFormat="1" applyFont="1" applyFill="1" applyBorder="1" applyAlignment="1">
      <alignment horizontal="center" vertical="center"/>
    </xf>
    <xf numFmtId="0" fontId="128" fillId="0" borderId="0" xfId="0" applyFont="1" applyFill="1" applyBorder="1"/>
    <xf numFmtId="4" fontId="128" fillId="0" borderId="0" xfId="0" applyNumberFormat="1" applyFont="1" applyFill="1" applyBorder="1" applyAlignment="1">
      <alignment horizontal="center" vertical="center"/>
    </xf>
    <xf numFmtId="3" fontId="115" fillId="0" borderId="0" xfId="0" applyNumberFormat="1" applyFont="1" applyFill="1" applyBorder="1"/>
    <xf numFmtId="0" fontId="122" fillId="0" borderId="0" xfId="0" applyFont="1" applyFill="1" applyBorder="1" applyAlignment="1">
      <alignment vertical="center"/>
    </xf>
    <xf numFmtId="2" fontId="14" fillId="0" borderId="0" xfId="0" applyNumberFormat="1" applyFont="1" applyFill="1" applyBorder="1" applyAlignment="1">
      <alignment horizontal="center" vertical="center"/>
    </xf>
    <xf numFmtId="0" fontId="122" fillId="0" borderId="0" xfId="0" applyFont="1" applyFill="1" applyBorder="1" applyAlignment="1">
      <alignment horizontal="center" vertical="center"/>
    </xf>
    <xf numFmtId="0" fontId="15" fillId="0" borderId="0" xfId="0" applyFont="1" applyFill="1" applyBorder="1" applyAlignment="1">
      <alignment horizontal="center" vertical="center"/>
    </xf>
    <xf numFmtId="166" fontId="15" fillId="0" borderId="0" xfId="0" applyNumberFormat="1" applyFont="1" applyFill="1" applyBorder="1" applyAlignment="1">
      <alignment horizontal="center" vertical="center"/>
    </xf>
    <xf numFmtId="0" fontId="14" fillId="0" borderId="0" xfId="0" applyFont="1" applyFill="1" applyBorder="1" applyAlignment="1">
      <alignment horizontal="center" vertical="center"/>
    </xf>
    <xf numFmtId="0" fontId="130" fillId="42" borderId="0" xfId="0" applyFont="1" applyFill="1"/>
    <xf numFmtId="0" fontId="131" fillId="42" borderId="0" xfId="0" applyFont="1" applyFill="1"/>
    <xf numFmtId="205" fontId="113" fillId="0" borderId="0" xfId="790" applyNumberFormat="1" applyFont="1" applyFill="1" applyBorder="1" applyAlignment="1">
      <alignment horizontal="center" vertical="center"/>
    </xf>
    <xf numFmtId="0" fontId="111" fillId="2" borderId="0" xfId="0" applyFont="1" applyFill="1" applyBorder="1" applyAlignment="1">
      <alignment vertical="center"/>
    </xf>
    <xf numFmtId="167" fontId="128" fillId="0" borderId="0" xfId="0" applyNumberFormat="1" applyFont="1" applyFill="1" applyBorder="1" applyAlignment="1">
      <alignment horizontal="right" vertical="center"/>
    </xf>
    <xf numFmtId="3" fontId="107" fillId="0" borderId="23" xfId="0" applyNumberFormat="1" applyFont="1" applyFill="1" applyBorder="1" applyAlignment="1">
      <alignment vertical="center"/>
    </xf>
    <xf numFmtId="167" fontId="13" fillId="0" borderId="0" xfId="790" applyNumberFormat="1" applyFont="1" applyFill="1" applyBorder="1" applyAlignment="1">
      <alignment horizontal="right" vertical="center"/>
    </xf>
    <xf numFmtId="167" fontId="113" fillId="42" borderId="0" xfId="790" applyNumberFormat="1" applyFont="1" applyFill="1" applyBorder="1" applyAlignment="1">
      <alignment horizontal="right" vertical="center"/>
    </xf>
    <xf numFmtId="0" fontId="117" fillId="0" borderId="0" xfId="0" applyFont="1" applyBorder="1" applyAlignment="1">
      <alignment vertical="center"/>
    </xf>
    <xf numFmtId="2" fontId="0" fillId="0" borderId="0" xfId="0" applyNumberFormat="1"/>
    <xf numFmtId="166" fontId="15" fillId="0" borderId="23" xfId="0" applyNumberFormat="1" applyFont="1" applyFill="1" applyBorder="1" applyAlignment="1">
      <alignment horizontal="center" vertical="center"/>
    </xf>
    <xf numFmtId="0" fontId="130" fillId="0" borderId="0" xfId="0" applyFont="1" applyFill="1"/>
    <xf numFmtId="0" fontId="15" fillId="0" borderId="0" xfId="790" applyFont="1" applyFill="1" applyBorder="1" applyAlignment="1">
      <alignment horizontal="right" vertical="center" wrapText="1"/>
    </xf>
    <xf numFmtId="0" fontId="15" fillId="0" borderId="0" xfId="790" applyFont="1" applyFill="1" applyBorder="1" applyAlignment="1">
      <alignment horizontal="right" vertical="center"/>
    </xf>
    <xf numFmtId="203" fontId="15" fillId="0" borderId="0" xfId="0" applyNumberFormat="1" applyFont="1" applyFill="1" applyBorder="1" applyAlignment="1">
      <alignment horizontal="right"/>
    </xf>
    <xf numFmtId="166" fontId="0" fillId="0" borderId="0" xfId="0" applyNumberFormat="1" applyFill="1"/>
    <xf numFmtId="0" fontId="110" fillId="0" borderId="0" xfId="790" applyFont="1" applyFill="1" applyBorder="1" applyAlignment="1">
      <alignment wrapText="1"/>
    </xf>
    <xf numFmtId="167" fontId="115" fillId="0" borderId="0" xfId="0" applyNumberFormat="1" applyFont="1" applyFill="1"/>
    <xf numFmtId="0" fontId="109" fillId="0" borderId="0" xfId="790" applyFont="1" applyFill="1" applyBorder="1" applyAlignment="1">
      <alignment wrapText="1"/>
    </xf>
    <xf numFmtId="167" fontId="14" fillId="0" borderId="0" xfId="0" applyNumberFormat="1" applyFont="1" applyFill="1" applyBorder="1" applyAlignment="1">
      <alignment horizontal="center" vertical="center"/>
    </xf>
    <xf numFmtId="49" fontId="15" fillId="0" borderId="0" xfId="0" applyNumberFormat="1" applyFont="1" applyFill="1" applyBorder="1" applyAlignment="1">
      <alignment horizontal="left"/>
    </xf>
    <xf numFmtId="0" fontId="16" fillId="0" borderId="0" xfId="0" applyFont="1" applyFill="1" applyBorder="1"/>
    <xf numFmtId="166" fontId="16" fillId="0" borderId="0" xfId="0" applyNumberFormat="1" applyFont="1" applyFill="1" applyBorder="1" applyAlignment="1">
      <alignment horizontal="center" vertical="center"/>
    </xf>
    <xf numFmtId="0" fontId="117" fillId="0" borderId="0" xfId="0" applyFont="1" applyFill="1" applyBorder="1"/>
    <xf numFmtId="0" fontId="0" fillId="0" borderId="0" xfId="0" applyFont="1" applyFill="1"/>
    <xf numFmtId="0" fontId="0" fillId="0" borderId="0" xfId="0"/>
    <xf numFmtId="0" fontId="170" fillId="0" borderId="0" xfId="0" applyFont="1" applyFill="1" applyBorder="1" applyAlignment="1">
      <alignment horizontal="left" indent="1"/>
    </xf>
    <xf numFmtId="0" fontId="171" fillId="0" borderId="0" xfId="0" applyFont="1" applyFill="1" applyBorder="1" applyAlignment="1">
      <alignment horizontal="left" indent="2"/>
    </xf>
    <xf numFmtId="0" fontId="171" fillId="0" borderId="0" xfId="0" applyFont="1" applyFill="1" applyBorder="1" applyAlignment="1">
      <alignment horizontal="left" wrapText="1" indent="3"/>
    </xf>
    <xf numFmtId="0" fontId="171" fillId="0" borderId="0" xfId="0" applyFont="1" applyFill="1" applyBorder="1" applyAlignment="1">
      <alignment horizontal="left" wrapText="1" indent="2"/>
    </xf>
    <xf numFmtId="0" fontId="171" fillId="0" borderId="0" xfId="0" applyFont="1" applyFill="1" applyBorder="1" applyAlignment="1">
      <alignment horizontal="left" indent="5"/>
    </xf>
    <xf numFmtId="0" fontId="171" fillId="0" borderId="0" xfId="0" applyFont="1" applyFill="1" applyBorder="1" applyAlignment="1">
      <alignment horizontal="left" indent="3"/>
    </xf>
    <xf numFmtId="0" fontId="171" fillId="0" borderId="0" xfId="0" applyFont="1" applyFill="1" applyBorder="1"/>
    <xf numFmtId="0" fontId="107" fillId="0" borderId="0" xfId="0" applyFont="1" applyFill="1" applyBorder="1" applyAlignment="1"/>
    <xf numFmtId="207" fontId="107" fillId="0" borderId="0" xfId="2181" applyNumberFormat="1" applyFont="1" applyFill="1" applyBorder="1" applyAlignment="1">
      <alignment horizontal="center"/>
    </xf>
    <xf numFmtId="0" fontId="118" fillId="2" borderId="0" xfId="0" applyFont="1" applyFill="1" applyBorder="1"/>
    <xf numFmtId="207" fontId="118" fillId="2" borderId="0" xfId="0" applyNumberFormat="1" applyFont="1" applyFill="1" applyBorder="1" applyAlignment="1">
      <alignment horizontal="center" vertical="center" wrapText="1"/>
    </xf>
    <xf numFmtId="167" fontId="13" fillId="0" borderId="0" xfId="0" applyNumberFormat="1" applyFont="1" applyFill="1" applyBorder="1" applyAlignment="1">
      <alignment horizontal="right"/>
    </xf>
    <xf numFmtId="167" fontId="15" fillId="0" borderId="0" xfId="2172" applyNumberFormat="1" applyFont="1" applyFill="1" applyBorder="1" applyAlignment="1">
      <alignment horizontal="right"/>
    </xf>
    <xf numFmtId="167" fontId="171" fillId="0" borderId="0" xfId="2181" applyNumberFormat="1" applyFont="1" applyFill="1" applyBorder="1" applyAlignment="1">
      <alignment horizontal="right" wrapText="1"/>
    </xf>
    <xf numFmtId="167" fontId="14" fillId="0" borderId="0" xfId="2172" applyNumberFormat="1" applyFont="1" applyFill="1" applyBorder="1" applyAlignment="1">
      <alignment horizontal="right"/>
    </xf>
    <xf numFmtId="167" fontId="170" fillId="0" borderId="0" xfId="2181" applyNumberFormat="1" applyFont="1" applyFill="1" applyBorder="1" applyAlignment="1">
      <alignment horizontal="right" wrapText="1"/>
    </xf>
    <xf numFmtId="167" fontId="14" fillId="0" borderId="0" xfId="0" applyNumberFormat="1" applyFont="1" applyFill="1" applyBorder="1"/>
    <xf numFmtId="2" fontId="14" fillId="0" borderId="0" xfId="0" applyNumberFormat="1" applyFont="1" applyFill="1" applyAlignment="1">
      <alignment horizontal="center" vertical="center"/>
    </xf>
    <xf numFmtId="0" fontId="107" fillId="0" borderId="0" xfId="0" applyFont="1"/>
    <xf numFmtId="0" fontId="107" fillId="0" borderId="0" xfId="0" applyFont="1" applyBorder="1" applyAlignment="1">
      <alignment vertical="center"/>
    </xf>
    <xf numFmtId="0" fontId="131" fillId="0" borderId="0" xfId="0" applyFont="1" applyFill="1"/>
    <xf numFmtId="2" fontId="15" fillId="0" borderId="0" xfId="0" applyNumberFormat="1" applyFont="1" applyFill="1" applyBorder="1" applyAlignment="1">
      <alignment horizontal="center" vertical="center"/>
    </xf>
    <xf numFmtId="0" fontId="110" fillId="0" borderId="0" xfId="2182" applyFont="1"/>
    <xf numFmtId="0" fontId="107" fillId="0" borderId="0" xfId="0" applyFont="1" applyFill="1" applyAlignment="1">
      <alignment vertical="center"/>
    </xf>
    <xf numFmtId="166" fontId="14" fillId="0" borderId="0" xfId="0" applyNumberFormat="1" applyFont="1" applyFill="1" applyBorder="1" applyAlignment="1">
      <alignment horizontal="center" vertical="center"/>
    </xf>
    <xf numFmtId="0" fontId="111" fillId="2" borderId="0" xfId="2182" applyFont="1" applyFill="1"/>
    <xf numFmtId="0" fontId="107" fillId="0" borderId="0" xfId="2182" applyFont="1"/>
    <xf numFmtId="0" fontId="175" fillId="0" borderId="0" xfId="0" applyFont="1" applyFill="1" applyBorder="1" applyAlignment="1">
      <alignment horizontal="left" vertical="center"/>
    </xf>
    <xf numFmtId="0" fontId="176" fillId="0" borderId="0" xfId="0" applyFont="1" applyFill="1" applyBorder="1" applyAlignment="1">
      <alignment horizontal="right" vertical="center"/>
    </xf>
    <xf numFmtId="3" fontId="175" fillId="0" borderId="0" xfId="0" applyNumberFormat="1" applyFont="1" applyFill="1" applyBorder="1" applyAlignment="1">
      <alignment horizontal="right" vertical="center"/>
    </xf>
    <xf numFmtId="166" fontId="115" fillId="0" borderId="0" xfId="0" applyNumberFormat="1" applyFont="1" applyFill="1"/>
    <xf numFmtId="166" fontId="110" fillId="0" borderId="0" xfId="2182" applyNumberFormat="1" applyFont="1"/>
    <xf numFmtId="2" fontId="110" fillId="0" borderId="0" xfId="2182" applyNumberFormat="1" applyFont="1" applyFill="1" applyBorder="1" applyAlignment="1">
      <alignment horizontal="center"/>
    </xf>
    <xf numFmtId="0" fontId="15" fillId="0" borderId="0" xfId="0" applyFont="1" applyAlignment="1">
      <alignment vertical="center" wrapText="1"/>
    </xf>
    <xf numFmtId="0" fontId="16" fillId="0" borderId="0" xfId="0" applyFont="1" applyFill="1" applyBorder="1" applyAlignment="1">
      <alignment vertical="center" wrapText="1"/>
    </xf>
    <xf numFmtId="166" fontId="14" fillId="0" borderId="0" xfId="0" applyNumberFormat="1" applyFont="1" applyFill="1" applyAlignment="1">
      <alignment horizontal="center" vertical="center"/>
    </xf>
    <xf numFmtId="0" fontId="14" fillId="0" borderId="0" xfId="0" applyFont="1" applyBorder="1" applyAlignment="1">
      <alignment vertical="center" wrapText="1"/>
    </xf>
    <xf numFmtId="2" fontId="16" fillId="0" borderId="0" xfId="0" applyNumberFormat="1" applyFont="1" applyFill="1" applyBorder="1" applyAlignment="1">
      <alignment horizontal="center" vertical="center"/>
    </xf>
    <xf numFmtId="0" fontId="13" fillId="0" borderId="22" xfId="0" applyFont="1" applyFill="1" applyBorder="1" applyAlignment="1">
      <alignment horizontal="left" vertical="center" wrapText="1"/>
    </xf>
    <xf numFmtId="2" fontId="13" fillId="0" borderId="22" xfId="0" applyNumberFormat="1" applyFont="1" applyBorder="1" applyAlignment="1">
      <alignment horizontal="center"/>
    </xf>
    <xf numFmtId="4" fontId="13" fillId="0" borderId="0" xfId="0" applyNumberFormat="1" applyFont="1" applyFill="1" applyBorder="1" applyAlignment="1">
      <alignment horizontal="right"/>
    </xf>
    <xf numFmtId="4" fontId="15" fillId="0" borderId="0" xfId="2172" applyNumberFormat="1" applyFont="1" applyFill="1" applyBorder="1" applyAlignment="1">
      <alignment horizontal="right"/>
    </xf>
    <xf numFmtId="4" fontId="171" fillId="0" borderId="0" xfId="2181" applyNumberFormat="1" applyFont="1" applyFill="1" applyBorder="1" applyAlignment="1">
      <alignment horizontal="right" wrapText="1"/>
    </xf>
    <xf numFmtId="4" fontId="14" fillId="0" borderId="0" xfId="2172" applyNumberFormat="1" applyFont="1" applyFill="1" applyBorder="1" applyAlignment="1">
      <alignment horizontal="right"/>
    </xf>
    <xf numFmtId="4" fontId="170" fillId="0" borderId="0" xfId="2181" applyNumberFormat="1" applyFont="1" applyFill="1" applyBorder="1" applyAlignment="1">
      <alignment horizontal="right" wrapText="1"/>
    </xf>
    <xf numFmtId="3" fontId="14" fillId="0" borderId="0" xfId="0" applyNumberFormat="1" applyFont="1"/>
    <xf numFmtId="167" fontId="119" fillId="0" borderId="0" xfId="790" applyNumberFormat="1" applyFont="1" applyFill="1" applyBorder="1" applyAlignment="1">
      <alignment horizontal="right" vertical="center"/>
    </xf>
    <xf numFmtId="0" fontId="128" fillId="0" borderId="0" xfId="0" applyFont="1" applyAlignment="1">
      <alignment vertical="center" wrapText="1"/>
    </xf>
    <xf numFmtId="0" fontId="109" fillId="0" borderId="0" xfId="2182" applyFont="1" applyFill="1" applyBorder="1" applyAlignment="1">
      <alignment horizontal="center" vertical="center"/>
    </xf>
    <xf numFmtId="2" fontId="181" fillId="0" borderId="22" xfId="0" applyNumberFormat="1" applyFont="1" applyFill="1" applyBorder="1" applyAlignment="1">
      <alignment vertical="center"/>
    </xf>
    <xf numFmtId="3" fontId="124" fillId="0" borderId="0" xfId="0" applyNumberFormat="1" applyFont="1" applyAlignment="1">
      <alignment horizontal="right" vertical="center"/>
    </xf>
    <xf numFmtId="167" fontId="13" fillId="0" borderId="22" xfId="0" applyNumberFormat="1" applyFont="1" applyFill="1" applyBorder="1" applyAlignment="1">
      <alignment horizontal="right"/>
    </xf>
    <xf numFmtId="4" fontId="13" fillId="0" borderId="22" xfId="0" applyNumberFormat="1" applyFont="1" applyFill="1" applyBorder="1" applyAlignment="1">
      <alignment horizontal="right"/>
    </xf>
    <xf numFmtId="167" fontId="117" fillId="0" borderId="0" xfId="0" applyNumberFormat="1" applyFont="1" applyFill="1" applyBorder="1"/>
    <xf numFmtId="0" fontId="128" fillId="0" borderId="0" xfId="0" applyFont="1" applyFill="1" applyBorder="1" applyAlignment="1">
      <alignment vertical="center"/>
    </xf>
    <xf numFmtId="0" fontId="110" fillId="0" borderId="0" xfId="2182" applyFont="1" applyFill="1" applyBorder="1"/>
    <xf numFmtId="0" fontId="110" fillId="0" borderId="0" xfId="2182" applyFont="1" applyFill="1"/>
    <xf numFmtId="0" fontId="107" fillId="0" borderId="0" xfId="791" applyFont="1" applyFill="1" applyBorder="1" applyAlignment="1">
      <alignment vertical="center"/>
    </xf>
    <xf numFmtId="0" fontId="115" fillId="0" borderId="0" xfId="791" applyFont="1" applyFill="1" applyBorder="1" applyAlignment="1">
      <alignment vertical="center"/>
    </xf>
    <xf numFmtId="0" fontId="115" fillId="0" borderId="0" xfId="791" applyFont="1" applyFill="1" applyBorder="1" applyAlignment="1">
      <alignment horizontal="left" vertical="center"/>
    </xf>
    <xf numFmtId="0" fontId="115" fillId="0" borderId="0" xfId="791" applyFont="1"/>
    <xf numFmtId="0" fontId="107" fillId="0" borderId="23" xfId="791" applyFont="1" applyFill="1" applyBorder="1" applyAlignment="1">
      <alignment horizontal="left" vertical="center"/>
    </xf>
    <xf numFmtId="0" fontId="128" fillId="0" borderId="22" xfId="791" applyFont="1" applyFill="1" applyBorder="1" applyAlignment="1">
      <alignment vertical="center"/>
    </xf>
    <xf numFmtId="3" fontId="107" fillId="0" borderId="0" xfId="0" applyNumberFormat="1" applyFont="1"/>
    <xf numFmtId="2" fontId="15" fillId="0" borderId="0" xfId="0" applyNumberFormat="1" applyFont="1" applyFill="1" applyAlignment="1">
      <alignment horizontal="center" vertical="center"/>
    </xf>
    <xf numFmtId="2" fontId="13" fillId="0" borderId="0" xfId="0" applyNumberFormat="1" applyFont="1" applyFill="1" applyBorder="1" applyAlignment="1">
      <alignment horizontal="center" vertical="center"/>
    </xf>
    <xf numFmtId="0" fontId="13" fillId="0" borderId="0" xfId="0" applyFont="1" applyFill="1" applyAlignment="1">
      <alignment vertical="center"/>
    </xf>
    <xf numFmtId="0" fontId="13" fillId="0" borderId="22" xfId="0" applyFont="1" applyFill="1" applyBorder="1"/>
    <xf numFmtId="166" fontId="15" fillId="0" borderId="0" xfId="0" applyNumberFormat="1" applyFont="1" applyFill="1" applyAlignment="1">
      <alignment horizontal="center" vertical="center"/>
    </xf>
    <xf numFmtId="0" fontId="128" fillId="0" borderId="0" xfId="0" applyFont="1" applyFill="1" applyBorder="1" applyAlignment="1">
      <alignment vertical="center" wrapText="1"/>
    </xf>
    <xf numFmtId="2" fontId="128" fillId="0" borderId="0" xfId="0" applyNumberFormat="1" applyFont="1" applyFill="1" applyBorder="1" applyAlignment="1">
      <alignment horizontal="center" vertical="center"/>
    </xf>
    <xf numFmtId="166" fontId="128" fillId="0" borderId="0" xfId="0" applyNumberFormat="1" applyFont="1" applyFill="1" applyBorder="1" applyAlignment="1">
      <alignment horizontal="center" vertical="center"/>
    </xf>
    <xf numFmtId="0" fontId="186" fillId="0" borderId="0" xfId="0" applyFont="1" applyFill="1" applyBorder="1"/>
    <xf numFmtId="0" fontId="121" fillId="0" borderId="0" xfId="0" applyFont="1" applyFill="1" applyBorder="1" applyAlignment="1">
      <alignment vertical="center" wrapText="1"/>
    </xf>
    <xf numFmtId="0" fontId="128" fillId="0" borderId="0" xfId="0" applyFont="1" applyFill="1" applyBorder="1" applyAlignment="1">
      <alignment horizontal="center" vertical="center"/>
    </xf>
    <xf numFmtId="0" fontId="186" fillId="0" borderId="0" xfId="0" applyFont="1" applyFill="1" applyBorder="1" applyAlignment="1">
      <alignment vertical="center"/>
    </xf>
    <xf numFmtId="0" fontId="117" fillId="0" borderId="23" xfId="0" applyFont="1" applyBorder="1" applyAlignment="1">
      <alignment vertical="top"/>
    </xf>
    <xf numFmtId="0" fontId="113" fillId="0" borderId="0" xfId="1456" applyFont="1"/>
    <xf numFmtId="0" fontId="136" fillId="0" borderId="0" xfId="1456"/>
    <xf numFmtId="0" fontId="113" fillId="0" borderId="0" xfId="1456" applyFont="1" applyFill="1"/>
    <xf numFmtId="2" fontId="188" fillId="0" borderId="0" xfId="1167" applyNumberFormat="1" applyFont="1" applyFill="1" applyBorder="1" applyAlignment="1">
      <alignment horizontal="center"/>
    </xf>
    <xf numFmtId="2" fontId="189" fillId="0" borderId="0" xfId="1167" applyNumberFormat="1" applyFont="1" applyFill="1" applyBorder="1" applyAlignment="1">
      <alignment horizontal="center"/>
    </xf>
    <xf numFmtId="167" fontId="14" fillId="0" borderId="0" xfId="0" applyNumberFormat="1" applyFont="1" applyFill="1" applyAlignment="1">
      <alignment horizontal="center" vertical="center"/>
    </xf>
    <xf numFmtId="167" fontId="0" fillId="0" borderId="0" xfId="0" applyNumberFormat="1"/>
    <xf numFmtId="4" fontId="14" fillId="0" borderId="0" xfId="0" applyNumberFormat="1" applyFont="1" applyFill="1" applyAlignment="1">
      <alignment horizontal="center" vertical="center"/>
    </xf>
    <xf numFmtId="0" fontId="14" fillId="0" borderId="22" xfId="0" applyFont="1" applyFill="1" applyBorder="1" applyAlignment="1">
      <alignment vertical="center" wrapText="1"/>
    </xf>
    <xf numFmtId="166" fontId="14" fillId="0" borderId="22" xfId="0" applyNumberFormat="1" applyFont="1" applyFill="1" applyBorder="1" applyAlignment="1">
      <alignment horizontal="center" vertical="center"/>
    </xf>
    <xf numFmtId="0" fontId="184" fillId="0" borderId="0" xfId="0" applyFont="1" applyFill="1" applyBorder="1" applyAlignment="1">
      <alignment horizontal="center" vertical="center" wrapText="1"/>
    </xf>
    <xf numFmtId="0" fontId="116" fillId="0" borderId="0" xfId="0" applyFont="1" applyFill="1" applyBorder="1" applyAlignment="1">
      <alignment horizontal="center" vertical="center" wrapText="1"/>
    </xf>
    <xf numFmtId="2" fontId="184" fillId="0" borderId="0" xfId="0" applyNumberFormat="1" applyFont="1" applyFill="1" applyBorder="1" applyAlignment="1">
      <alignment horizontal="center" vertical="center" wrapText="1"/>
    </xf>
    <xf numFmtId="2" fontId="184" fillId="0" borderId="0" xfId="0" applyNumberFormat="1" applyFont="1" applyFill="1" applyBorder="1" applyAlignment="1">
      <alignment vertical="center" wrapText="1"/>
    </xf>
    <xf numFmtId="0" fontId="183" fillId="0" borderId="0" xfId="0" applyFont="1" applyFill="1" applyBorder="1" applyAlignment="1">
      <alignment horizontal="center" vertical="center" wrapText="1"/>
    </xf>
    <xf numFmtId="2" fontId="183" fillId="0" borderId="0" xfId="0" applyNumberFormat="1" applyFont="1" applyFill="1" applyBorder="1" applyAlignment="1">
      <alignment horizontal="center" vertical="center" wrapText="1"/>
    </xf>
    <xf numFmtId="2" fontId="183" fillId="0" borderId="0" xfId="0" applyNumberFormat="1" applyFont="1" applyFill="1" applyBorder="1" applyAlignment="1">
      <alignment vertical="center" wrapText="1"/>
    </xf>
    <xf numFmtId="0" fontId="182" fillId="0" borderId="0" xfId="0" applyFont="1" applyFill="1" applyBorder="1" applyAlignment="1">
      <alignment vertical="center"/>
    </xf>
    <xf numFmtId="0" fontId="184" fillId="0" borderId="0" xfId="0" applyFont="1" applyFill="1" applyBorder="1" applyAlignment="1">
      <alignment vertical="center"/>
    </xf>
    <xf numFmtId="0" fontId="183" fillId="0" borderId="0" xfId="0" applyFont="1" applyFill="1" applyBorder="1" applyAlignment="1">
      <alignment vertical="center"/>
    </xf>
    <xf numFmtId="0" fontId="116" fillId="0" borderId="0" xfId="0" applyFont="1" applyFill="1" applyBorder="1" applyAlignment="1">
      <alignment horizontal="center" vertical="center"/>
    </xf>
    <xf numFmtId="0" fontId="183" fillId="0" borderId="0" xfId="0" applyFont="1" applyFill="1" applyBorder="1" applyAlignment="1">
      <alignment horizontal="center" vertical="center"/>
    </xf>
    <xf numFmtId="0" fontId="122" fillId="0" borderId="0" xfId="0" applyFont="1" applyFill="1" applyAlignment="1">
      <alignment horizontal="center" vertical="center" wrapText="1"/>
    </xf>
    <xf numFmtId="205" fontId="113" fillId="0" borderId="0" xfId="790" applyNumberFormat="1" applyFont="1" applyFill="1" applyBorder="1" applyAlignment="1">
      <alignment horizontal="left" vertical="center" indent="1"/>
    </xf>
    <xf numFmtId="0" fontId="109" fillId="0" borderId="0" xfId="2182" applyFont="1" applyAlignment="1">
      <alignment horizontal="left" vertical="center"/>
    </xf>
    <xf numFmtId="0" fontId="109" fillId="0" borderId="0" xfId="2182" applyFont="1" applyBorder="1" applyAlignment="1">
      <alignment horizontal="left" vertical="center"/>
    </xf>
    <xf numFmtId="0" fontId="122" fillId="2" borderId="0" xfId="0" applyFont="1" applyFill="1" applyAlignment="1">
      <alignment horizontal="justify" vertical="center"/>
    </xf>
    <xf numFmtId="0" fontId="122" fillId="2" borderId="0" xfId="0" applyFont="1" applyFill="1" applyAlignment="1">
      <alignment horizontal="right" vertical="center"/>
    </xf>
    <xf numFmtId="0" fontId="124" fillId="0" borderId="0" xfId="0" applyFont="1" applyAlignment="1">
      <alignment horizontal="justify" vertical="center"/>
    </xf>
    <xf numFmtId="3" fontId="109" fillId="0" borderId="0" xfId="2290" applyNumberFormat="1" applyFont="1" applyFill="1" applyBorder="1" applyAlignment="1">
      <alignment horizontal="right"/>
    </xf>
    <xf numFmtId="3" fontId="109" fillId="0" borderId="0" xfId="2283" applyNumberFormat="1" applyFont="1" applyFill="1" applyBorder="1" applyAlignment="1">
      <alignment horizontal="right"/>
    </xf>
    <xf numFmtId="0" fontId="124" fillId="0" borderId="0" xfId="0" applyFont="1" applyBorder="1" applyAlignment="1">
      <alignment horizontal="justify" vertical="center"/>
    </xf>
    <xf numFmtId="3" fontId="124" fillId="0" borderId="0" xfId="0" applyNumberFormat="1" applyFont="1" applyBorder="1" applyAlignment="1">
      <alignment horizontal="right" vertical="center"/>
    </xf>
    <xf numFmtId="0" fontId="124" fillId="0" borderId="23" xfId="0" applyFont="1" applyBorder="1" applyAlignment="1">
      <alignment horizontal="justify" vertical="center"/>
    </xf>
    <xf numFmtId="3" fontId="124" fillId="0" borderId="23" xfId="0" applyNumberFormat="1" applyFont="1" applyBorder="1" applyAlignment="1">
      <alignment horizontal="right" vertical="center"/>
    </xf>
    <xf numFmtId="0" fontId="124" fillId="0" borderId="22" xfId="0" applyFont="1" applyBorder="1" applyAlignment="1">
      <alignment horizontal="justify" vertical="center"/>
    </xf>
    <xf numFmtId="3" fontId="124" fillId="0" borderId="22" xfId="0" applyNumberFormat="1" applyFont="1" applyBorder="1" applyAlignment="1">
      <alignment vertical="center"/>
    </xf>
    <xf numFmtId="0" fontId="123" fillId="0" borderId="21" xfId="0" applyFont="1" applyBorder="1" applyAlignment="1">
      <alignment horizontal="justify" vertical="center"/>
    </xf>
    <xf numFmtId="3" fontId="123" fillId="0" borderId="21" xfId="0" applyNumberFormat="1" applyFont="1" applyBorder="1" applyAlignment="1">
      <alignment horizontal="right" vertical="center"/>
    </xf>
    <xf numFmtId="0" fontId="14" fillId="0" borderId="0" xfId="0" applyFont="1" applyFill="1" applyBorder="1" applyAlignment="1">
      <alignment horizontal="center" vertical="center" wrapText="1"/>
    </xf>
    <xf numFmtId="0" fontId="15" fillId="0" borderId="0" xfId="0" applyFont="1" applyFill="1" applyBorder="1" applyAlignment="1">
      <alignment horizontal="center" vertical="center" wrapText="1"/>
    </xf>
    <xf numFmtId="0" fontId="180" fillId="0" borderId="0" xfId="0" applyFont="1" applyFill="1" applyBorder="1" applyAlignment="1">
      <alignment vertical="center" wrapText="1"/>
    </xf>
    <xf numFmtId="167" fontId="16" fillId="0" borderId="0" xfId="0" applyNumberFormat="1" applyFont="1" applyFill="1" applyAlignment="1">
      <alignment vertical="center"/>
    </xf>
    <xf numFmtId="166" fontId="250" fillId="0" borderId="0" xfId="0" applyNumberFormat="1" applyFont="1" applyFill="1" applyAlignment="1">
      <alignment horizontal="center" vertical="center"/>
    </xf>
    <xf numFmtId="166" fontId="15" fillId="0" borderId="22" xfId="0" applyNumberFormat="1" applyFont="1" applyFill="1" applyBorder="1" applyAlignment="1">
      <alignment horizontal="center" vertical="center"/>
    </xf>
    <xf numFmtId="166" fontId="250" fillId="0" borderId="22" xfId="0" applyNumberFormat="1" applyFont="1" applyFill="1" applyBorder="1" applyAlignment="1">
      <alignment horizontal="center" vertical="center"/>
    </xf>
    <xf numFmtId="166" fontId="123" fillId="0" borderId="0" xfId="0" applyNumberFormat="1" applyFont="1" applyFill="1" applyAlignment="1">
      <alignment horizontal="center" vertical="center"/>
    </xf>
    <xf numFmtId="0" fontId="107" fillId="0" borderId="0" xfId="0" applyFont="1" applyFill="1" applyBorder="1" applyAlignment="1">
      <alignment vertical="center" wrapText="1"/>
    </xf>
    <xf numFmtId="0" fontId="128" fillId="0" borderId="0" xfId="0" applyFont="1" applyFill="1" applyBorder="1" applyAlignment="1">
      <alignment vertical="center" wrapText="1"/>
    </xf>
    <xf numFmtId="0" fontId="117" fillId="0" borderId="0" xfId="0" applyFont="1" applyFill="1" applyBorder="1" applyAlignment="1">
      <alignment horizontal="right" vertical="center"/>
    </xf>
    <xf numFmtId="0" fontId="107" fillId="0" borderId="0" xfId="0" applyFont="1" applyFill="1" applyBorder="1" applyAlignment="1">
      <alignment vertical="center"/>
    </xf>
    <xf numFmtId="0" fontId="0" fillId="0" borderId="0" xfId="0" applyFont="1" applyFill="1" applyBorder="1"/>
    <xf numFmtId="0" fontId="179" fillId="0" borderId="0" xfId="0" applyFont="1" applyFill="1" applyBorder="1"/>
    <xf numFmtId="0" fontId="117" fillId="0" borderId="0" xfId="0" applyFont="1" applyFill="1" applyBorder="1" applyAlignment="1">
      <alignment vertical="top"/>
    </xf>
    <xf numFmtId="2" fontId="0" fillId="0" borderId="0" xfId="0" applyNumberFormat="1" applyFill="1" applyBorder="1"/>
    <xf numFmtId="0" fontId="178" fillId="0" borderId="0" xfId="0" applyFont="1" applyFill="1" applyBorder="1"/>
    <xf numFmtId="0" fontId="117" fillId="0" borderId="0" xfId="0" applyFont="1" applyFill="1" applyBorder="1" applyAlignment="1">
      <alignment vertical="center"/>
    </xf>
    <xf numFmtId="0" fontId="184" fillId="0" borderId="0" xfId="0" applyFont="1" applyFill="1" applyBorder="1" applyAlignment="1">
      <alignment horizontal="center" vertical="center"/>
    </xf>
    <xf numFmtId="4" fontId="183" fillId="0" borderId="0" xfId="0" applyNumberFormat="1" applyFont="1" applyFill="1" applyBorder="1" applyAlignment="1">
      <alignment horizontal="center" vertical="center"/>
    </xf>
    <xf numFmtId="4" fontId="184" fillId="0" borderId="0" xfId="0" applyNumberFormat="1" applyFont="1" applyFill="1" applyBorder="1" applyAlignment="1">
      <alignment horizontal="center" vertical="center"/>
    </xf>
    <xf numFmtId="0" fontId="116" fillId="0" borderId="0" xfId="0" applyFont="1" applyFill="1" applyBorder="1" applyAlignment="1">
      <alignment vertical="center"/>
    </xf>
    <xf numFmtId="0" fontId="183" fillId="0" borderId="0" xfId="0" applyFont="1" applyFill="1" applyBorder="1" applyAlignment="1">
      <alignment horizontal="left" vertical="center" indent="1"/>
    </xf>
    <xf numFmtId="0" fontId="116" fillId="0" borderId="0" xfId="0" applyFont="1" applyFill="1" applyBorder="1"/>
    <xf numFmtId="2" fontId="183" fillId="0" borderId="0" xfId="0" applyNumberFormat="1" applyFont="1" applyFill="1" applyBorder="1" applyAlignment="1">
      <alignment horizontal="center" vertical="center"/>
    </xf>
    <xf numFmtId="0" fontId="184" fillId="0" borderId="0" xfId="0" applyFont="1" applyFill="1" applyBorder="1" applyAlignment="1">
      <alignment horizontal="left" vertical="center" indent="1"/>
    </xf>
    <xf numFmtId="2" fontId="184" fillId="0" borderId="0" xfId="0" applyNumberFormat="1" applyFont="1" applyFill="1" applyBorder="1" applyAlignment="1">
      <alignment horizontal="center" vertical="center"/>
    </xf>
    <xf numFmtId="0" fontId="112" fillId="0" borderId="0" xfId="0" applyFont="1" applyBorder="1" applyAlignment="1">
      <alignment vertical="center" wrapText="1"/>
    </xf>
    <xf numFmtId="167" fontId="112" fillId="0" borderId="0" xfId="0" applyNumberFormat="1" applyFont="1" applyFill="1" applyBorder="1" applyAlignment="1">
      <alignment horizontal="center" vertical="center"/>
    </xf>
    <xf numFmtId="167" fontId="15" fillId="0" borderId="0" xfId="0" applyNumberFormat="1" applyFont="1" applyFill="1" applyBorder="1" applyAlignment="1">
      <alignment horizontal="center" vertical="center"/>
    </xf>
    <xf numFmtId="0" fontId="117" fillId="0" borderId="0" xfId="0" applyFont="1" applyBorder="1"/>
    <xf numFmtId="0" fontId="116" fillId="0" borderId="0" xfId="1167" applyFont="1" applyFill="1" applyBorder="1"/>
    <xf numFmtId="0" fontId="187" fillId="0" borderId="0" xfId="1167" applyFont="1" applyFill="1" applyBorder="1" applyAlignment="1">
      <alignment horizontal="center" vertical="center"/>
    </xf>
    <xf numFmtId="0" fontId="116" fillId="0" borderId="0" xfId="1167" applyFont="1" applyFill="1" applyBorder="1" applyAlignment="1">
      <alignment horizontal="center" vertical="center"/>
    </xf>
    <xf numFmtId="0" fontId="188" fillId="0" borderId="0" xfId="1167" applyFont="1" applyFill="1" applyBorder="1"/>
    <xf numFmtId="0" fontId="189" fillId="0" borderId="0" xfId="1167" applyFont="1" applyFill="1" applyBorder="1"/>
    <xf numFmtId="2" fontId="116" fillId="0" borderId="0" xfId="1167" applyNumberFormat="1" applyFont="1" applyFill="1" applyBorder="1" applyAlignment="1">
      <alignment horizontal="center"/>
    </xf>
    <xf numFmtId="0" fontId="188" fillId="0" borderId="0" xfId="1167" applyFont="1" applyFill="1" applyBorder="1" applyAlignment="1">
      <alignment horizontal="left" indent="1"/>
    </xf>
    <xf numFmtId="1" fontId="187" fillId="0" borderId="0" xfId="1167" applyNumberFormat="1" applyFont="1" applyFill="1" applyBorder="1" applyAlignment="1">
      <alignment horizontal="center" vertical="center"/>
    </xf>
    <xf numFmtId="0" fontId="187" fillId="0" borderId="0" xfId="1167" applyFont="1" applyFill="1" applyBorder="1" applyAlignment="1">
      <alignment horizontal="left"/>
    </xf>
    <xf numFmtId="166" fontId="187" fillId="0" borderId="0" xfId="1167" applyNumberFormat="1" applyFont="1" applyFill="1" applyBorder="1" applyAlignment="1">
      <alignment horizontal="center"/>
    </xf>
    <xf numFmtId="9" fontId="0" fillId="0" borderId="0" xfId="0" applyNumberFormat="1" applyFill="1" applyBorder="1"/>
    <xf numFmtId="203" fontId="14" fillId="0" borderId="0" xfId="0" applyNumberFormat="1" applyFont="1" applyFill="1" applyBorder="1" applyAlignment="1">
      <alignment horizontal="center" vertical="center"/>
    </xf>
    <xf numFmtId="0" fontId="187" fillId="0" borderId="0" xfId="1167" applyFont="1" applyFill="1" applyBorder="1"/>
    <xf numFmtId="0" fontId="112" fillId="0" borderId="0" xfId="0" applyFont="1" applyFill="1" applyBorder="1" applyAlignment="1">
      <alignment vertical="center" wrapText="1"/>
    </xf>
    <xf numFmtId="167" fontId="0" fillId="0" borderId="0" xfId="0" applyNumberFormat="1" applyFill="1" applyBorder="1"/>
    <xf numFmtId="0" fontId="111" fillId="2" borderId="0" xfId="0" applyFont="1" applyFill="1" applyAlignment="1">
      <alignment horizontal="center" vertical="center"/>
    </xf>
    <xf numFmtId="166" fontId="115" fillId="0" borderId="0" xfId="0" applyNumberFormat="1" applyFont="1" applyAlignment="1">
      <alignment horizontal="center" vertical="center"/>
    </xf>
    <xf numFmtId="166" fontId="115" fillId="0" borderId="0" xfId="0" applyNumberFormat="1" applyFont="1" applyBorder="1" applyAlignment="1">
      <alignment horizontal="center" vertical="center"/>
    </xf>
    <xf numFmtId="0" fontId="124" fillId="0" borderId="0" xfId="0" applyFont="1" applyAlignment="1">
      <alignment horizontal="center" vertical="center"/>
    </xf>
    <xf numFmtId="2" fontId="110" fillId="0" borderId="0" xfId="1456" applyNumberFormat="1" applyFont="1"/>
    <xf numFmtId="4" fontId="110" fillId="0" borderId="0" xfId="1456" applyNumberFormat="1" applyFont="1"/>
    <xf numFmtId="0" fontId="110" fillId="0" borderId="0" xfId="1456" applyFont="1"/>
    <xf numFmtId="0" fontId="251" fillId="2" borderId="0" xfId="1456" applyFont="1" applyFill="1"/>
    <xf numFmtId="0" fontId="252" fillId="2" borderId="0" xfId="1456" applyFont="1" applyFill="1" applyAlignment="1">
      <alignment vertical="center"/>
    </xf>
    <xf numFmtId="0" fontId="128" fillId="0" borderId="0" xfId="0" applyFont="1" applyAlignment="1">
      <alignment horizontal="justify" vertical="center"/>
    </xf>
    <xf numFmtId="0" fontId="128" fillId="0" borderId="0" xfId="0" applyFont="1"/>
    <xf numFmtId="0" fontId="183" fillId="74" borderId="0" xfId="0" applyFont="1" applyFill="1" applyBorder="1" applyAlignment="1">
      <alignment vertical="center"/>
    </xf>
    <xf numFmtId="0" fontId="184" fillId="74" borderId="0" xfId="0" applyFont="1" applyFill="1" applyBorder="1" applyAlignment="1">
      <alignment horizontal="center" vertical="center"/>
    </xf>
    <xf numFmtId="4" fontId="183" fillId="74" borderId="0" xfId="0" applyNumberFormat="1" applyFont="1" applyFill="1" applyBorder="1" applyAlignment="1">
      <alignment horizontal="center" vertical="center"/>
    </xf>
    <xf numFmtId="0" fontId="184" fillId="74" borderId="0" xfId="0" applyFont="1" applyFill="1" applyBorder="1" applyAlignment="1">
      <alignment vertical="center"/>
    </xf>
    <xf numFmtId="0" fontId="185" fillId="74" borderId="0" xfId="0" applyFont="1" applyFill="1" applyBorder="1" applyAlignment="1">
      <alignment horizontal="right" vertical="center"/>
    </xf>
    <xf numFmtId="0" fontId="182" fillId="0" borderId="0" xfId="0" applyFont="1" applyFill="1" applyBorder="1" applyAlignment="1">
      <alignment vertical="center" wrapText="1"/>
    </xf>
    <xf numFmtId="0" fontId="187" fillId="0" borderId="0" xfId="0" applyFont="1" applyFill="1" applyBorder="1" applyAlignment="1">
      <alignment vertical="center" wrapText="1"/>
    </xf>
    <xf numFmtId="0" fontId="187" fillId="0" borderId="0" xfId="0" applyFont="1" applyFill="1" applyBorder="1" applyAlignment="1">
      <alignment horizontal="center" vertical="center" wrapText="1"/>
    </xf>
    <xf numFmtId="0" fontId="184" fillId="0" borderId="0" xfId="0" applyFont="1" applyFill="1" applyBorder="1" applyAlignment="1">
      <alignment vertical="center" wrapText="1"/>
    </xf>
    <xf numFmtId="0" fontId="183" fillId="0" borderId="0" xfId="0" applyFont="1" applyFill="1" applyBorder="1" applyAlignment="1">
      <alignment vertical="center" wrapText="1"/>
    </xf>
    <xf numFmtId="0" fontId="116" fillId="0" borderId="0" xfId="0" applyFont="1" applyFill="1" applyBorder="1" applyAlignment="1">
      <alignment vertical="center" wrapText="1"/>
    </xf>
    <xf numFmtId="208" fontId="183" fillId="0" borderId="0" xfId="0" applyNumberFormat="1" applyFont="1" applyFill="1" applyBorder="1" applyAlignment="1">
      <alignment horizontal="center" vertical="center" wrapText="1"/>
    </xf>
    <xf numFmtId="0" fontId="187" fillId="0" borderId="0" xfId="0" applyFont="1" applyFill="1" applyBorder="1" applyAlignment="1">
      <alignment horizontal="center" vertical="center"/>
    </xf>
    <xf numFmtId="2" fontId="184" fillId="0" borderId="0" xfId="0" applyNumberFormat="1" applyFont="1" applyFill="1" applyBorder="1" applyAlignment="1">
      <alignment horizontal="right" vertical="center" wrapText="1"/>
    </xf>
    <xf numFmtId="0" fontId="187" fillId="0" borderId="0" xfId="0" applyFont="1" applyFill="1" applyBorder="1" applyAlignment="1">
      <alignment vertical="center"/>
    </xf>
    <xf numFmtId="2" fontId="184" fillId="0" borderId="0" xfId="0" applyNumberFormat="1" applyFont="1" applyBorder="1" applyAlignment="1">
      <alignment horizontal="center" vertical="center" wrapText="1"/>
    </xf>
    <xf numFmtId="0" fontId="190" fillId="0" borderId="0" xfId="0" applyFont="1" applyFill="1" applyBorder="1" applyAlignment="1">
      <alignment vertical="center"/>
    </xf>
    <xf numFmtId="0" fontId="190" fillId="0" borderId="0" xfId="0" applyFont="1" applyFill="1" applyBorder="1" applyAlignment="1">
      <alignment vertical="center" wrapText="1"/>
    </xf>
    <xf numFmtId="0" fontId="190" fillId="0" borderId="0" xfId="0" applyFont="1" applyFill="1" applyBorder="1" applyAlignment="1">
      <alignment horizontal="right" vertical="center" wrapText="1"/>
    </xf>
    <xf numFmtId="0" fontId="111" fillId="2" borderId="0" xfId="0" applyFont="1" applyFill="1"/>
    <xf numFmtId="166" fontId="115" fillId="0" borderId="0" xfId="0" applyNumberFormat="1" applyFont="1"/>
    <xf numFmtId="2" fontId="115" fillId="0" borderId="0" xfId="0" applyNumberFormat="1" applyFont="1"/>
    <xf numFmtId="2" fontId="115" fillId="0" borderId="0" xfId="0" applyNumberFormat="1" applyFont="1" applyBorder="1"/>
    <xf numFmtId="0" fontId="115" fillId="79" borderId="22" xfId="0" applyFont="1" applyFill="1" applyBorder="1"/>
    <xf numFmtId="2" fontId="115" fillId="79" borderId="22" xfId="0" applyNumberFormat="1" applyFont="1" applyFill="1" applyBorder="1"/>
    <xf numFmtId="0" fontId="115" fillId="79" borderId="0" xfId="0" applyFont="1" applyFill="1"/>
    <xf numFmtId="2" fontId="115" fillId="79" borderId="0" xfId="0" applyNumberFormat="1" applyFont="1" applyFill="1"/>
    <xf numFmtId="0" fontId="115" fillId="0" borderId="23" xfId="0" applyFont="1" applyBorder="1"/>
    <xf numFmtId="0" fontId="117" fillId="0" borderId="23" xfId="0" applyFont="1" applyBorder="1"/>
    <xf numFmtId="0" fontId="255" fillId="0" borderId="0" xfId="0" applyFont="1" applyAlignment="1">
      <alignment horizontal="right"/>
    </xf>
    <xf numFmtId="0" fontId="255" fillId="0" borderId="0" xfId="0" applyFont="1"/>
    <xf numFmtId="0" fontId="110" fillId="0" borderId="0" xfId="2657" applyFont="1" applyBorder="1"/>
    <xf numFmtId="0" fontId="107" fillId="0" borderId="0" xfId="2657" applyFont="1" applyBorder="1"/>
    <xf numFmtId="0" fontId="109" fillId="0" borderId="0" xfId="2657" applyFont="1" applyBorder="1"/>
    <xf numFmtId="3" fontId="110" fillId="0" borderId="0" xfId="2657" applyNumberFormat="1" applyFont="1" applyBorder="1"/>
    <xf numFmtId="0" fontId="111" fillId="2" borderId="0" xfId="2657" applyFont="1" applyFill="1" applyBorder="1"/>
    <xf numFmtId="0" fontId="111" fillId="2" borderId="0" xfId="2657" applyFont="1" applyFill="1" applyBorder="1" applyAlignment="1">
      <alignment horizontal="right" vertical="center"/>
    </xf>
    <xf numFmtId="0" fontId="111" fillId="2" borderId="0" xfId="2657" applyFont="1" applyFill="1" applyBorder="1" applyAlignment="1">
      <alignment horizontal="right" vertical="center" wrapText="1"/>
    </xf>
    <xf numFmtId="201" fontId="109" fillId="0" borderId="0" xfId="2657" applyNumberFormat="1" applyFont="1" applyBorder="1" applyAlignment="1">
      <alignment horizontal="right"/>
    </xf>
    <xf numFmtId="202" fontId="109" fillId="0" borderId="0" xfId="2657" applyNumberFormat="1" applyFont="1" applyBorder="1" applyAlignment="1">
      <alignment horizontal="right"/>
    </xf>
    <xf numFmtId="201" fontId="110" fillId="0" borderId="0" xfId="2657" applyNumberFormat="1" applyFont="1" applyFill="1" applyBorder="1" applyAlignment="1">
      <alignment horizontal="right"/>
    </xf>
    <xf numFmtId="201" fontId="110" fillId="0" borderId="0" xfId="2657" applyNumberFormat="1" applyFont="1" applyBorder="1" applyAlignment="1">
      <alignment horizontal="right"/>
    </xf>
    <xf numFmtId="0" fontId="109" fillId="0" borderId="0" xfId="2657" applyFont="1" applyFill="1" applyBorder="1"/>
    <xf numFmtId="0" fontId="13" fillId="0" borderId="0" xfId="790" applyFont="1" applyFill="1" applyBorder="1"/>
    <xf numFmtId="0" fontId="119" fillId="0" borderId="0" xfId="790" applyFont="1" applyFill="1" applyBorder="1" applyAlignment="1">
      <alignment wrapText="1"/>
    </xf>
    <xf numFmtId="167" fontId="13" fillId="0" borderId="0" xfId="0" applyNumberFormat="1" applyFont="1" applyFill="1" applyBorder="1" applyAlignment="1">
      <alignment vertical="center"/>
    </xf>
    <xf numFmtId="0" fontId="118" fillId="2" borderId="0" xfId="790" applyNumberFormat="1" applyFont="1" applyFill="1" applyBorder="1" applyAlignment="1">
      <alignment horizontal="right" vertical="center"/>
    </xf>
    <xf numFmtId="166" fontId="110" fillId="0" borderId="0" xfId="2182" applyNumberFormat="1" applyFont="1" applyFill="1" applyAlignment="1">
      <alignment horizontal="right" vertical="center"/>
    </xf>
    <xf numFmtId="0" fontId="110" fillId="0" borderId="0" xfId="2182" applyFont="1" applyFill="1" applyAlignment="1">
      <alignment horizontal="right" vertical="center"/>
    </xf>
    <xf numFmtId="0" fontId="110" fillId="0" borderId="0" xfId="2182" applyFont="1" applyFill="1" applyBorder="1" applyAlignment="1">
      <alignment horizontal="center" vertical="top"/>
    </xf>
    <xf numFmtId="0" fontId="107" fillId="0" borderId="0" xfId="2182" applyFont="1" applyFill="1" applyBorder="1"/>
    <xf numFmtId="167" fontId="13" fillId="42" borderId="0" xfId="0" applyNumberFormat="1" applyFont="1" applyFill="1" applyBorder="1" applyAlignment="1">
      <alignment vertical="center"/>
    </xf>
    <xf numFmtId="0" fontId="5" fillId="0" borderId="0" xfId="2660"/>
    <xf numFmtId="0" fontId="107" fillId="0" borderId="0" xfId="2660" applyFont="1" applyAlignment="1">
      <alignment vertical="center"/>
    </xf>
    <xf numFmtId="0" fontId="118" fillId="2" borderId="0" xfId="2660" applyFont="1" applyFill="1" applyAlignment="1">
      <alignment horizontal="center" vertical="center"/>
    </xf>
    <xf numFmtId="0" fontId="118" fillId="2" borderId="0" xfId="2660" applyFont="1" applyFill="1" applyAlignment="1">
      <alignment horizontal="left" vertical="center"/>
    </xf>
    <xf numFmtId="0" fontId="5" fillId="80" borderId="0" xfId="2660" applyFill="1"/>
    <xf numFmtId="0" fontId="5" fillId="41" borderId="0" xfId="2660" applyFill="1"/>
    <xf numFmtId="0" fontId="13" fillId="0" borderId="0" xfId="2660" applyFont="1" applyFill="1"/>
    <xf numFmtId="3" fontId="13" fillId="0" borderId="0" xfId="2660" applyNumberFormat="1" applyFont="1" applyFill="1"/>
    <xf numFmtId="167" fontId="13" fillId="0" borderId="0" xfId="2660" applyNumberFormat="1" applyFont="1" applyFill="1"/>
    <xf numFmtId="0" fontId="113" fillId="0" borderId="0" xfId="2660" applyFont="1" applyFill="1" applyAlignment="1">
      <alignment horizontal="left" indent="2"/>
    </xf>
    <xf numFmtId="3" fontId="256" fillId="0" borderId="0" xfId="2660" applyNumberFormat="1" applyFont="1" applyFill="1"/>
    <xf numFmtId="167" fontId="15" fillId="0" borderId="0" xfId="2660" applyNumberFormat="1" applyFont="1" applyFill="1"/>
    <xf numFmtId="0" fontId="113" fillId="80" borderId="0" xfId="2660" applyFont="1" applyFill="1"/>
    <xf numFmtId="0" fontId="257" fillId="0" borderId="0" xfId="2660" applyFont="1"/>
    <xf numFmtId="0" fontId="258" fillId="80" borderId="0" xfId="2660" applyFont="1" applyFill="1"/>
    <xf numFmtId="0" fontId="258" fillId="0" borderId="0" xfId="2660" applyFont="1" applyFill="1"/>
    <xf numFmtId="0" fontId="258" fillId="0" borderId="0" xfId="2660" applyFont="1"/>
    <xf numFmtId="0" fontId="113" fillId="0" borderId="0" xfId="2660" applyFont="1"/>
    <xf numFmtId="0" fontId="107" fillId="0" borderId="0" xfId="791" applyFont="1" applyFill="1" applyAlignment="1"/>
    <xf numFmtId="0" fontId="107" fillId="0" borderId="0" xfId="808" applyFont="1" applyFill="1" applyAlignment="1">
      <alignment vertical="center"/>
    </xf>
    <xf numFmtId="0" fontId="174" fillId="0" borderId="0" xfId="808" applyFont="1" applyFill="1" applyAlignment="1">
      <alignment vertical="center"/>
    </xf>
    <xf numFmtId="0" fontId="126" fillId="0" borderId="0" xfId="808" applyFont="1"/>
    <xf numFmtId="0" fontId="126" fillId="0" borderId="0" xfId="808" applyFont="1" applyFill="1" applyBorder="1"/>
    <xf numFmtId="0" fontId="251" fillId="2" borderId="0" xfId="808" applyFont="1" applyFill="1" applyBorder="1" applyAlignment="1">
      <alignment horizontal="center" vertical="center"/>
    </xf>
    <xf numFmtId="0" fontId="118" fillId="2" borderId="0" xfId="808" applyFont="1" applyFill="1" applyBorder="1" applyAlignment="1">
      <alignment horizontal="center" vertical="center"/>
    </xf>
    <xf numFmtId="0" fontId="118" fillId="0" borderId="0" xfId="808" applyFont="1" applyFill="1" applyBorder="1" applyAlignment="1">
      <alignment horizontal="center" vertical="center"/>
    </xf>
    <xf numFmtId="0" fontId="13" fillId="0" borderId="0" xfId="808" applyFont="1" applyAlignment="1">
      <alignment vertical="center" wrapText="1"/>
    </xf>
    <xf numFmtId="3" fontId="13" fillId="0" borderId="0" xfId="632" applyNumberFormat="1" applyFont="1" applyFill="1" applyBorder="1" applyAlignment="1">
      <alignment horizontal="center" vertical="center"/>
    </xf>
    <xf numFmtId="0" fontId="124" fillId="0" borderId="0" xfId="808" applyFont="1" applyAlignment="1">
      <alignment horizontal="left" vertical="center"/>
    </xf>
    <xf numFmtId="3" fontId="113" fillId="0" borderId="0" xfId="808" applyNumberFormat="1" applyFont="1" applyFill="1" applyBorder="1" applyAlignment="1">
      <alignment horizontal="center" vertical="center"/>
    </xf>
    <xf numFmtId="3" fontId="14" fillId="0" borderId="0" xfId="808" applyNumberFormat="1" applyFont="1" applyFill="1" applyBorder="1" applyAlignment="1">
      <alignment horizontal="center" vertical="center"/>
    </xf>
    <xf numFmtId="0" fontId="259" fillId="0" borderId="0" xfId="808" applyFont="1"/>
    <xf numFmtId="0" fontId="124" fillId="0" borderId="0" xfId="808" applyFont="1" applyAlignment="1">
      <alignment horizontal="left" vertical="center" indent="1"/>
    </xf>
    <xf numFmtId="0" fontId="124" fillId="0" borderId="0" xfId="808" applyFont="1" applyAlignment="1">
      <alignment horizontal="left" vertical="center" wrapText="1"/>
    </xf>
    <xf numFmtId="0" fontId="124" fillId="0" borderId="0" xfId="808" applyFont="1" applyFill="1" applyAlignment="1">
      <alignment horizontal="left" vertical="center" wrapText="1"/>
    </xf>
    <xf numFmtId="167" fontId="113" fillId="0" borderId="0" xfId="808" applyNumberFormat="1" applyFont="1" applyFill="1" applyBorder="1" applyAlignment="1">
      <alignment horizontal="center" vertical="center"/>
    </xf>
    <xf numFmtId="0" fontId="15" fillId="0" borderId="0" xfId="808" applyFont="1" applyFill="1" applyBorder="1" applyAlignment="1">
      <alignment vertical="center" wrapText="1"/>
    </xf>
    <xf numFmtId="3" fontId="15" fillId="0" borderId="0" xfId="808" applyNumberFormat="1" applyFont="1" applyFill="1" applyBorder="1" applyAlignment="1">
      <alignment horizontal="center" vertical="center"/>
    </xf>
    <xf numFmtId="0" fontId="171" fillId="0" borderId="0" xfId="808" applyFont="1" applyFill="1" applyBorder="1" applyAlignment="1">
      <alignment vertical="center" wrapText="1"/>
    </xf>
    <xf numFmtId="0" fontId="124" fillId="0" borderId="0" xfId="808" applyFont="1" applyFill="1" applyBorder="1" applyAlignment="1">
      <alignment vertical="center" wrapText="1"/>
    </xf>
    <xf numFmtId="0" fontId="171" fillId="74" borderId="0" xfId="808" applyFont="1" applyFill="1" applyBorder="1" applyAlignment="1">
      <alignment vertical="center" wrapText="1"/>
    </xf>
    <xf numFmtId="166" fontId="113" fillId="0" borderId="0" xfId="808" applyNumberFormat="1" applyFont="1" applyFill="1" applyBorder="1" applyAlignment="1">
      <alignment horizontal="center" vertical="center"/>
    </xf>
    <xf numFmtId="0" fontId="113" fillId="0" borderId="0" xfId="808" applyFont="1"/>
    <xf numFmtId="167" fontId="16" fillId="0" borderId="0" xfId="811" applyNumberFormat="1" applyFont="1" applyFill="1" applyBorder="1" applyAlignment="1">
      <alignment horizontal="center" vertical="center"/>
    </xf>
    <xf numFmtId="0" fontId="13" fillId="74" borderId="0" xfId="808" applyFont="1" applyFill="1" applyBorder="1" applyAlignment="1">
      <alignment vertical="center" wrapText="1"/>
    </xf>
    <xf numFmtId="0" fontId="13" fillId="0" borderId="0" xfId="808" applyFont="1" applyFill="1" applyBorder="1" applyAlignment="1">
      <alignment vertical="center" wrapText="1"/>
    </xf>
    <xf numFmtId="167" fontId="13" fillId="0" borderId="0" xfId="808" applyNumberFormat="1" applyFont="1" applyFill="1" applyBorder="1" applyAlignment="1">
      <alignment horizontal="center" vertical="center"/>
    </xf>
    <xf numFmtId="0" fontId="113" fillId="0" borderId="0" xfId="808" applyFont="1" applyFill="1" applyBorder="1"/>
    <xf numFmtId="0" fontId="261" fillId="0" borderId="0" xfId="808" applyFont="1" applyFill="1"/>
    <xf numFmtId="0" fontId="262" fillId="0" borderId="0" xfId="808" applyFont="1" applyFill="1"/>
    <xf numFmtId="0" fontId="15" fillId="0" borderId="22" xfId="808" applyFont="1" applyFill="1" applyBorder="1" applyAlignment="1">
      <alignment vertical="center" wrapText="1"/>
    </xf>
    <xf numFmtId="167" fontId="15" fillId="0" borderId="22" xfId="2661" applyNumberFormat="1" applyFont="1" applyFill="1" applyBorder="1" applyAlignment="1">
      <alignment horizontal="center" vertical="center" wrapText="1"/>
    </xf>
    <xf numFmtId="167" fontId="15" fillId="0" borderId="0" xfId="2661" applyNumberFormat="1" applyFont="1" applyFill="1" applyBorder="1" applyAlignment="1">
      <alignment horizontal="center" vertical="center" wrapText="1"/>
    </xf>
    <xf numFmtId="0" fontId="264" fillId="0" borderId="0" xfId="808" applyFont="1" applyBorder="1" applyAlignment="1">
      <alignment vertical="center"/>
    </xf>
    <xf numFmtId="4" fontId="113" fillId="0" borderId="0" xfId="808" applyNumberFormat="1" applyFont="1" applyFill="1" applyBorder="1" applyAlignment="1">
      <alignment horizontal="center" vertical="center"/>
    </xf>
    <xf numFmtId="207" fontId="113" fillId="0" borderId="0" xfId="808" applyNumberFormat="1" applyFont="1" applyFill="1" applyBorder="1" applyAlignment="1">
      <alignment horizontal="center" vertical="center"/>
    </xf>
    <xf numFmtId="3" fontId="263" fillId="0" borderId="0" xfId="808" applyNumberFormat="1" applyFont="1"/>
    <xf numFmtId="0" fontId="265" fillId="0" borderId="0" xfId="808" applyFont="1" applyBorder="1" applyAlignment="1">
      <alignment vertical="center"/>
    </xf>
    <xf numFmtId="0" fontId="13" fillId="0" borderId="0" xfId="808" applyFont="1"/>
    <xf numFmtId="4" fontId="13" fillId="0" borderId="0" xfId="808" applyNumberFormat="1" applyFont="1" applyFill="1" applyBorder="1" applyAlignment="1">
      <alignment horizontal="center" vertical="center"/>
    </xf>
    <xf numFmtId="0" fontId="263" fillId="0" borderId="0" xfId="808" applyFont="1"/>
    <xf numFmtId="0" fontId="113" fillId="0" borderId="39" xfId="808" applyFont="1" applyBorder="1"/>
    <xf numFmtId="3" fontId="113" fillId="0" borderId="39" xfId="808" applyNumberFormat="1" applyFont="1" applyFill="1" applyBorder="1" applyAlignment="1">
      <alignment vertical="center"/>
    </xf>
    <xf numFmtId="0" fontId="114" fillId="0" borderId="1" xfId="808" applyFont="1" applyBorder="1"/>
    <xf numFmtId="0" fontId="126" fillId="0" borderId="1" xfId="808" applyFont="1" applyBorder="1"/>
    <xf numFmtId="4" fontId="16" fillId="0" borderId="1" xfId="811" applyNumberFormat="1" applyFont="1" applyFill="1" applyBorder="1" applyAlignment="1">
      <alignment horizontal="center" vertical="center"/>
    </xf>
    <xf numFmtId="1" fontId="113" fillId="0" borderId="0" xfId="808" applyNumberFormat="1" applyFont="1"/>
    <xf numFmtId="0" fontId="117" fillId="0" borderId="0" xfId="808" applyFont="1" applyBorder="1" applyAlignment="1">
      <alignment vertical="center"/>
    </xf>
    <xf numFmtId="0" fontId="266" fillId="0" borderId="0" xfId="808" applyFont="1" applyFill="1" applyBorder="1" applyAlignment="1">
      <alignment vertical="center"/>
    </xf>
    <xf numFmtId="0" fontId="126" fillId="0" borderId="0" xfId="808" applyFont="1" applyFill="1"/>
    <xf numFmtId="0" fontId="266" fillId="0" borderId="0" xfId="808" applyFont="1" applyBorder="1" applyAlignment="1">
      <alignment vertical="center"/>
    </xf>
    <xf numFmtId="0" fontId="119" fillId="0" borderId="0" xfId="808" applyFont="1"/>
    <xf numFmtId="0" fontId="113" fillId="0" borderId="0" xfId="808" applyFont="1" applyFill="1"/>
    <xf numFmtId="0" fontId="267" fillId="0" borderId="0" xfId="808" applyFont="1" applyFill="1"/>
    <xf numFmtId="0" fontId="116" fillId="0" borderId="0" xfId="808" applyAlignment="1">
      <alignment vertical="center" wrapText="1"/>
    </xf>
    <xf numFmtId="167" fontId="113" fillId="41" borderId="0" xfId="808" applyNumberFormat="1" applyFont="1" applyFill="1"/>
    <xf numFmtId="0" fontId="177" fillId="0" borderId="0" xfId="808" applyFont="1" applyFill="1"/>
    <xf numFmtId="0" fontId="259" fillId="0" borderId="0" xfId="808" applyFont="1" applyFill="1"/>
    <xf numFmtId="0" fontId="109" fillId="0" borderId="0" xfId="808" applyFont="1" applyFill="1" applyBorder="1"/>
    <xf numFmtId="167" fontId="126" fillId="0" borderId="0" xfId="808" applyNumberFormat="1" applyFont="1" applyFill="1" applyBorder="1"/>
    <xf numFmtId="166" fontId="126" fillId="0" borderId="0" xfId="808" applyNumberFormat="1" applyFont="1" applyFill="1"/>
    <xf numFmtId="203" fontId="263" fillId="0" borderId="0" xfId="808" applyNumberFormat="1" applyFont="1" applyFill="1"/>
    <xf numFmtId="203" fontId="126" fillId="0" borderId="0" xfId="808" applyNumberFormat="1" applyFont="1" applyFill="1"/>
    <xf numFmtId="0" fontId="270" fillId="0" borderId="0" xfId="0" applyFont="1" applyAlignment="1">
      <alignment wrapText="1"/>
    </xf>
    <xf numFmtId="0" fontId="114" fillId="0" borderId="0" xfId="0" applyFont="1" applyAlignment="1">
      <alignment wrapText="1"/>
    </xf>
    <xf numFmtId="0" fontId="110" fillId="0" borderId="0" xfId="0" applyFont="1"/>
    <xf numFmtId="0" fontId="14" fillId="0" borderId="0" xfId="0" applyFont="1" applyAlignment="1">
      <alignment horizontal="left" vertical="center"/>
    </xf>
    <xf numFmtId="0" fontId="13" fillId="0" borderId="0" xfId="0" applyFont="1" applyAlignment="1">
      <alignment horizontal="center" vertical="center"/>
    </xf>
    <xf numFmtId="0" fontId="268" fillId="0" borderId="0" xfId="0" applyFont="1" applyAlignment="1">
      <alignment horizontal="left" vertical="center"/>
    </xf>
    <xf numFmtId="0" fontId="123" fillId="2" borderId="0" xfId="0" applyFont="1" applyFill="1" applyAlignment="1">
      <alignment horizontal="justify" vertical="center"/>
    </xf>
    <xf numFmtId="0" fontId="271" fillId="2" borderId="0" xfId="0" applyFont="1" applyFill="1" applyAlignment="1">
      <alignment horizontal="center" vertical="center"/>
    </xf>
    <xf numFmtId="14" fontId="124" fillId="0" borderId="0" xfId="0" applyNumberFormat="1" applyFont="1" applyAlignment="1">
      <alignment horizontal="center" vertical="center"/>
    </xf>
    <xf numFmtId="0" fontId="124" fillId="0" borderId="40" xfId="0" applyFont="1" applyBorder="1" applyAlignment="1">
      <alignment horizontal="center" vertical="center"/>
    </xf>
    <xf numFmtId="14" fontId="13" fillId="0" borderId="40" xfId="0" applyNumberFormat="1" applyFont="1" applyBorder="1" applyAlignment="1">
      <alignment horizontal="center" vertical="center"/>
    </xf>
    <xf numFmtId="14" fontId="124" fillId="0" borderId="40" xfId="0" applyNumberFormat="1" applyFont="1" applyBorder="1" applyAlignment="1">
      <alignment horizontal="center" vertical="center"/>
    </xf>
    <xf numFmtId="0" fontId="124" fillId="0" borderId="0" xfId="0" applyFont="1" applyAlignment="1">
      <alignment horizontal="justify" vertical="center" wrapText="1"/>
    </xf>
    <xf numFmtId="0" fontId="117" fillId="0" borderId="0" xfId="0" applyFont="1" applyAlignment="1">
      <alignment horizontal="right" vertical="center"/>
    </xf>
    <xf numFmtId="0" fontId="107" fillId="0" borderId="0" xfId="2660" applyFont="1"/>
    <xf numFmtId="0" fontId="126" fillId="0" borderId="0" xfId="2660" applyFont="1"/>
    <xf numFmtId="0" fontId="126" fillId="0" borderId="42" xfId="2660" applyFont="1" applyBorder="1"/>
    <xf numFmtId="0" fontId="111" fillId="81" borderId="0" xfId="2660" applyFont="1" applyFill="1" applyBorder="1"/>
    <xf numFmtId="0" fontId="252" fillId="2" borderId="0" xfId="2660" applyFont="1" applyFill="1" applyBorder="1"/>
    <xf numFmtId="0" fontId="126" fillId="0" borderId="43" xfId="2660" applyFont="1" applyBorder="1"/>
    <xf numFmtId="211" fontId="126" fillId="0" borderId="44" xfId="2663" applyNumberFormat="1" applyFont="1" applyBorder="1"/>
    <xf numFmtId="0" fontId="126" fillId="0" borderId="44" xfId="2660" applyFont="1" applyBorder="1"/>
    <xf numFmtId="2" fontId="126" fillId="0" borderId="44" xfId="2660" applyNumberFormat="1" applyFont="1" applyBorder="1"/>
    <xf numFmtId="0" fontId="126" fillId="0" borderId="45" xfId="2660" applyFont="1" applyBorder="1"/>
    <xf numFmtId="211" fontId="126" fillId="0" borderId="46" xfId="2663" applyNumberFormat="1" applyFont="1" applyBorder="1"/>
    <xf numFmtId="0" fontId="126" fillId="0" borderId="46" xfId="2660" applyFont="1" applyBorder="1"/>
    <xf numFmtId="2" fontId="126" fillId="0" borderId="46" xfId="2660" applyNumberFormat="1" applyFont="1" applyBorder="1"/>
    <xf numFmtId="0" fontId="272" fillId="0" borderId="0" xfId="2660" applyFont="1"/>
    <xf numFmtId="0" fontId="110" fillId="0" borderId="0" xfId="2660" applyFont="1" applyAlignment="1">
      <alignment wrapText="1"/>
    </xf>
    <xf numFmtId="0" fontId="111" fillId="81" borderId="0" xfId="2660" applyFont="1" applyFill="1" applyAlignment="1">
      <alignment horizontal="center"/>
    </xf>
    <xf numFmtId="0" fontId="111" fillId="2" borderId="0" xfId="2660" applyFont="1" applyFill="1"/>
    <xf numFmtId="2" fontId="110" fillId="0" borderId="0" xfId="2660" applyNumberFormat="1" applyFont="1" applyAlignment="1">
      <alignment horizontal="center"/>
    </xf>
    <xf numFmtId="2" fontId="272" fillId="0" borderId="0" xfId="2660" applyNumberFormat="1" applyFont="1" applyAlignment="1">
      <alignment horizontal="center"/>
    </xf>
    <xf numFmtId="0" fontId="111" fillId="81" borderId="46" xfId="2660" applyFont="1" applyFill="1" applyBorder="1" applyAlignment="1">
      <alignment horizontal="center" wrapText="1"/>
    </xf>
    <xf numFmtId="0" fontId="111" fillId="0" borderId="0" xfId="2660" applyFont="1" applyFill="1"/>
    <xf numFmtId="0" fontId="126" fillId="0" borderId="0" xfId="2660" applyFont="1" applyFill="1"/>
    <xf numFmtId="0" fontId="252" fillId="2" borderId="46" xfId="2660" applyFont="1" applyFill="1" applyBorder="1"/>
    <xf numFmtId="2" fontId="126" fillId="0" borderId="46" xfId="2660" applyNumberFormat="1" applyFont="1" applyBorder="1" applyAlignment="1">
      <alignment horizontal="right"/>
    </xf>
    <xf numFmtId="0" fontId="126" fillId="0" borderId="0" xfId="2660" applyFont="1" applyAlignment="1">
      <alignment horizontal="center"/>
    </xf>
    <xf numFmtId="0" fontId="252" fillId="81" borderId="46" xfId="2660" applyFont="1" applyFill="1" applyBorder="1"/>
    <xf numFmtId="0" fontId="252" fillId="0" borderId="0" xfId="2660" applyFont="1" applyFill="1"/>
    <xf numFmtId="2" fontId="126" fillId="0" borderId="46" xfId="2660" applyNumberFormat="1" applyFont="1" applyBorder="1" applyAlignment="1">
      <alignment horizontal="center"/>
    </xf>
    <xf numFmtId="0" fontId="126" fillId="0" borderId="47" xfId="2660" applyFont="1" applyBorder="1"/>
    <xf numFmtId="0" fontId="252" fillId="2" borderId="48" xfId="2660" applyFont="1" applyFill="1" applyBorder="1" applyAlignment="1">
      <alignment horizontal="center"/>
    </xf>
    <xf numFmtId="0" fontId="252" fillId="81" borderId="48" xfId="2660" applyFont="1" applyFill="1" applyBorder="1" applyAlignment="1">
      <alignment horizontal="center"/>
    </xf>
    <xf numFmtId="2" fontId="126" fillId="0" borderId="0" xfId="2660" applyNumberFormat="1" applyFont="1" applyAlignment="1">
      <alignment horizontal="center"/>
    </xf>
    <xf numFmtId="0" fontId="111" fillId="81" borderId="48" xfId="2660" applyFont="1" applyFill="1" applyBorder="1"/>
    <xf numFmtId="0" fontId="252" fillId="2" borderId="48" xfId="2660" applyFont="1" applyFill="1" applyBorder="1"/>
    <xf numFmtId="0" fontId="16" fillId="0" borderId="0" xfId="0" applyFont="1" applyBorder="1" applyAlignment="1">
      <alignment vertical="center"/>
    </xf>
    <xf numFmtId="166" fontId="124" fillId="0" borderId="0" xfId="0" applyNumberFormat="1" applyFont="1" applyBorder="1" applyAlignment="1">
      <alignment horizontal="center" vertical="center"/>
    </xf>
    <xf numFmtId="0" fontId="14" fillId="0" borderId="23" xfId="0" applyFont="1" applyBorder="1" applyAlignment="1">
      <alignment horizontal="left" vertical="center"/>
    </xf>
    <xf numFmtId="0" fontId="14" fillId="0" borderId="23" xfId="0" applyFont="1" applyBorder="1" applyAlignment="1">
      <alignment horizontal="center" vertical="center"/>
    </xf>
    <xf numFmtId="0" fontId="13" fillId="0" borderId="0" xfId="0" applyFont="1" applyBorder="1" applyAlignment="1">
      <alignment horizontal="left" vertical="center"/>
    </xf>
    <xf numFmtId="0" fontId="123" fillId="0" borderId="0" xfId="0" applyFont="1" applyBorder="1" applyAlignment="1">
      <alignment horizontal="center" vertical="center"/>
    </xf>
    <xf numFmtId="0" fontId="13" fillId="0" borderId="22" xfId="0" applyFont="1" applyBorder="1" applyAlignment="1">
      <alignment horizontal="left" vertical="center"/>
    </xf>
    <xf numFmtId="0" fontId="13" fillId="0" borderId="22" xfId="0" applyFont="1" applyBorder="1" applyAlignment="1">
      <alignment horizontal="center" vertical="center"/>
    </xf>
    <xf numFmtId="0" fontId="123" fillId="0" borderId="22" xfId="0" applyFont="1" applyBorder="1" applyAlignment="1">
      <alignment horizontal="center" vertical="center"/>
    </xf>
    <xf numFmtId="166" fontId="14" fillId="0" borderId="23" xfId="0" applyNumberFormat="1" applyFont="1" applyBorder="1" applyAlignment="1">
      <alignment horizontal="center" vertical="center"/>
    </xf>
    <xf numFmtId="166" fontId="123" fillId="0" borderId="0" xfId="0" applyNumberFormat="1" applyFont="1" applyBorder="1" applyAlignment="1">
      <alignment horizontal="center" vertical="center"/>
    </xf>
    <xf numFmtId="166" fontId="123" fillId="0" borderId="22" xfId="0" applyNumberFormat="1" applyFont="1" applyBorder="1" applyAlignment="1">
      <alignment horizontal="center" vertical="center"/>
    </xf>
    <xf numFmtId="0" fontId="107" fillId="0" borderId="0" xfId="2660" applyFont="1" applyFill="1" applyAlignment="1">
      <alignment vertical="center"/>
    </xf>
    <xf numFmtId="0" fontId="122" fillId="2" borderId="0" xfId="2660" applyFont="1" applyFill="1" applyAlignment="1">
      <alignment horizontal="center" vertical="center"/>
    </xf>
    <xf numFmtId="0" fontId="13" fillId="0" borderId="0" xfId="2660" applyFont="1" applyAlignment="1">
      <alignment vertical="center" wrapText="1"/>
    </xf>
    <xf numFmtId="3" fontId="13" fillId="0" borderId="0" xfId="2660" applyNumberFormat="1" applyFont="1" applyFill="1" applyAlignment="1">
      <alignment horizontal="center" vertical="center"/>
    </xf>
    <xf numFmtId="0" fontId="14" fillId="0" borderId="0" xfId="2660" applyFont="1" applyAlignment="1">
      <alignment vertical="center" wrapText="1"/>
    </xf>
    <xf numFmtId="3" fontId="14" fillId="0" borderId="0" xfId="2660" applyNumberFormat="1" applyFont="1" applyFill="1" applyAlignment="1">
      <alignment horizontal="center" vertical="center"/>
    </xf>
    <xf numFmtId="0" fontId="13" fillId="0" borderId="22" xfId="2660" applyFont="1" applyBorder="1" applyAlignment="1">
      <alignment vertical="center" wrapText="1"/>
    </xf>
    <xf numFmtId="3" fontId="13" fillId="0" borderId="22" xfId="2660" applyNumberFormat="1" applyFont="1" applyBorder="1" applyAlignment="1">
      <alignment horizontal="center" vertical="center" wrapText="1"/>
    </xf>
    <xf numFmtId="0" fontId="127" fillId="0" borderId="0" xfId="2660" applyFont="1" applyAlignment="1">
      <alignment vertical="center"/>
    </xf>
    <xf numFmtId="0" fontId="273" fillId="0" borderId="0" xfId="2660" applyFont="1" applyAlignment="1">
      <alignment horizontal="right"/>
    </xf>
    <xf numFmtId="0" fontId="121" fillId="2" borderId="0" xfId="2660" applyFont="1" applyFill="1" applyAlignment="1">
      <alignment horizontal="center" vertical="center"/>
    </xf>
    <xf numFmtId="0" fontId="15" fillId="0" borderId="0" xfId="2660" applyFont="1" applyAlignment="1">
      <alignment vertical="center" wrapText="1"/>
    </xf>
    <xf numFmtId="3" fontId="15" fillId="0" borderId="0" xfId="2660" applyNumberFormat="1" applyFont="1" applyFill="1" applyAlignment="1">
      <alignment horizontal="center" vertical="center"/>
    </xf>
    <xf numFmtId="0" fontId="14" fillId="0" borderId="22" xfId="2660" applyFont="1" applyBorder="1" applyAlignment="1">
      <alignment vertical="center" wrapText="1"/>
    </xf>
    <xf numFmtId="3" fontId="14" fillId="0" borderId="22" xfId="2660" applyNumberFormat="1" applyFont="1" applyFill="1" applyBorder="1" applyAlignment="1">
      <alignment horizontal="center" vertical="center"/>
    </xf>
    <xf numFmtId="0" fontId="274" fillId="0" borderId="0" xfId="2660" applyFont="1"/>
    <xf numFmtId="0" fontId="107" fillId="0" borderId="0" xfId="2664" applyFont="1" applyAlignment="1"/>
    <xf numFmtId="0" fontId="111" fillId="2" borderId="0" xfId="2665" applyFont="1" applyFill="1" applyAlignment="1">
      <alignment horizontal="center"/>
    </xf>
    <xf numFmtId="0" fontId="110" fillId="0" borderId="0" xfId="2660" applyFont="1"/>
    <xf numFmtId="1" fontId="110" fillId="0" borderId="0" xfId="2660" applyNumberFormat="1" applyFont="1" applyAlignment="1">
      <alignment horizontal="center"/>
    </xf>
    <xf numFmtId="1" fontId="110" fillId="0" borderId="0" xfId="2660" applyNumberFormat="1" applyFont="1"/>
    <xf numFmtId="166" fontId="115" fillId="0" borderId="49" xfId="2666" applyNumberFormat="1" applyFont="1" applyFill="1" applyBorder="1" applyAlignment="1"/>
    <xf numFmtId="1" fontId="115" fillId="0" borderId="49" xfId="2666" applyNumberFormat="1" applyFont="1" applyFill="1" applyBorder="1" applyAlignment="1">
      <alignment horizontal="center"/>
    </xf>
    <xf numFmtId="0" fontId="275" fillId="0" borderId="0" xfId="2316" applyFont="1"/>
    <xf numFmtId="0" fontId="110" fillId="0" borderId="0" xfId="2316" applyFont="1"/>
    <xf numFmtId="0" fontId="117" fillId="0" borderId="0" xfId="2665" applyFont="1" applyAlignment="1">
      <alignment horizontal="right"/>
    </xf>
    <xf numFmtId="0" fontId="5" fillId="0" borderId="0" xfId="2660" applyAlignment="1"/>
    <xf numFmtId="0" fontId="118" fillId="2" borderId="0" xfId="0" applyFont="1" applyFill="1" applyBorder="1" applyAlignment="1">
      <alignment vertical="center"/>
    </xf>
    <xf numFmtId="0" fontId="14" fillId="0" borderId="0" xfId="0" applyFont="1" applyBorder="1" applyAlignment="1">
      <alignment horizontal="left" vertical="center" wrapText="1" readingOrder="1"/>
    </xf>
    <xf numFmtId="166" fontId="14" fillId="0" borderId="0" xfId="0" applyNumberFormat="1" applyFont="1" applyBorder="1" applyAlignment="1">
      <alignment horizontal="right" vertical="center" wrapText="1" readingOrder="1"/>
    </xf>
    <xf numFmtId="1" fontId="14" fillId="0" borderId="0" xfId="0" applyNumberFormat="1" applyFont="1" applyBorder="1" applyAlignment="1">
      <alignment horizontal="right" vertical="center" wrapText="1" readingOrder="1"/>
    </xf>
    <xf numFmtId="0" fontId="16" fillId="0" borderId="0" xfId="0" applyFont="1" applyBorder="1" applyAlignment="1">
      <alignment horizontal="left" vertical="center" wrapText="1" readingOrder="1"/>
    </xf>
    <xf numFmtId="166" fontId="16" fillId="0" borderId="0" xfId="0" applyNumberFormat="1" applyFont="1" applyBorder="1" applyAlignment="1">
      <alignment horizontal="right" vertical="center" wrapText="1" readingOrder="1"/>
    </xf>
    <xf numFmtId="166" fontId="118" fillId="2" borderId="0" xfId="0" applyNumberFormat="1" applyFont="1" applyFill="1" applyBorder="1" applyAlignment="1">
      <alignment vertical="center"/>
    </xf>
    <xf numFmtId="0" fontId="14" fillId="0" borderId="0" xfId="0" applyFont="1"/>
    <xf numFmtId="0" fontId="122" fillId="2" borderId="0" xfId="2667" applyFont="1" applyFill="1" applyAlignment="1">
      <alignment vertical="center"/>
    </xf>
    <xf numFmtId="0" fontId="122" fillId="2" borderId="0" xfId="2667" applyFont="1" applyFill="1" applyAlignment="1">
      <alignment horizontal="right" vertical="center" wrapText="1" indent="1"/>
    </xf>
    <xf numFmtId="3" fontId="13" fillId="0" borderId="0" xfId="2667" applyNumberFormat="1" applyFont="1" applyFill="1" applyBorder="1" applyAlignment="1">
      <alignment horizontal="right" vertical="center" wrapText="1" indent="1"/>
    </xf>
    <xf numFmtId="0" fontId="268" fillId="0" borderId="0" xfId="0" applyFont="1"/>
    <xf numFmtId="0" fontId="113" fillId="0" borderId="0" xfId="2668" applyFont="1"/>
    <xf numFmtId="0" fontId="119" fillId="0" borderId="0" xfId="2668" applyFont="1" applyAlignment="1">
      <alignment horizontal="right"/>
    </xf>
    <xf numFmtId="0" fontId="113" fillId="0" borderId="0" xfId="2668" applyFont="1" applyAlignment="1">
      <alignment horizontal="right"/>
    </xf>
    <xf numFmtId="0" fontId="118" fillId="82" borderId="0" xfId="2668" applyFont="1" applyFill="1" applyAlignment="1">
      <alignment horizontal="center" vertical="center" wrapText="1"/>
    </xf>
    <xf numFmtId="0" fontId="113" fillId="0" borderId="0" xfId="2668" applyFont="1" applyAlignment="1">
      <alignment horizontal="center" vertical="center" wrapText="1"/>
    </xf>
    <xf numFmtId="0" fontId="112" fillId="0" borderId="0" xfId="2668" applyFont="1" applyBorder="1"/>
    <xf numFmtId="0" fontId="13" fillId="0" borderId="0" xfId="2668" applyFont="1" applyBorder="1" applyAlignment="1">
      <alignment horizontal="right"/>
    </xf>
    <xf numFmtId="0" fontId="112" fillId="0" borderId="0" xfId="2668" applyFont="1" applyBorder="1" applyAlignment="1">
      <alignment horizontal="right"/>
    </xf>
    <xf numFmtId="0" fontId="174" fillId="0" borderId="0" xfId="0" applyFont="1"/>
    <xf numFmtId="0" fontId="13" fillId="0" borderId="0" xfId="2668" applyFont="1" applyBorder="1"/>
    <xf numFmtId="0" fontId="119" fillId="0" borderId="0" xfId="2668" applyFont="1"/>
    <xf numFmtId="0" fontId="13" fillId="0" borderId="22" xfId="2668" applyFont="1" applyBorder="1"/>
    <xf numFmtId="0" fontId="13" fillId="0" borderId="22" xfId="2668" applyFont="1" applyBorder="1" applyAlignment="1">
      <alignment horizontal="right"/>
    </xf>
    <xf numFmtId="0" fontId="112" fillId="0" borderId="22" xfId="2668" applyFont="1" applyBorder="1" applyAlignment="1">
      <alignment horizontal="right"/>
    </xf>
    <xf numFmtId="0" fontId="13" fillId="0" borderId="0" xfId="0" applyFont="1"/>
    <xf numFmtId="0" fontId="112" fillId="0" borderId="0" xfId="2668" applyFont="1" applyBorder="1" applyAlignment="1">
      <alignment horizontal="center" vertical="center"/>
    </xf>
    <xf numFmtId="49" fontId="112" fillId="0" borderId="0" xfId="2668" applyNumberFormat="1" applyFont="1" applyBorder="1" applyAlignment="1">
      <alignment horizontal="justify" vertical="top" wrapText="1"/>
    </xf>
    <xf numFmtId="3" fontId="112" fillId="0" borderId="0" xfId="2668" applyNumberFormat="1" applyFont="1" applyBorder="1"/>
    <xf numFmtId="0" fontId="112" fillId="0" borderId="0" xfId="2668" applyFont="1" applyFill="1"/>
    <xf numFmtId="0" fontId="112" fillId="0" borderId="0" xfId="2668" applyFont="1"/>
    <xf numFmtId="49" fontId="112" fillId="0" borderId="23" xfId="2668" applyNumberFormat="1" applyFont="1" applyBorder="1" applyAlignment="1">
      <alignment horizontal="justify" vertical="top" wrapText="1"/>
    </xf>
    <xf numFmtId="3" fontId="112" fillId="0" borderId="23" xfId="2668" applyNumberFormat="1" applyFont="1" applyBorder="1"/>
    <xf numFmtId="49" fontId="112" fillId="0" borderId="22" xfId="2668" applyNumberFormat="1" applyFont="1" applyBorder="1" applyAlignment="1">
      <alignment horizontal="justify" vertical="top" wrapText="1"/>
    </xf>
    <xf numFmtId="3" fontId="112" fillId="0" borderId="22" xfId="2668" applyNumberFormat="1" applyFont="1" applyBorder="1"/>
    <xf numFmtId="0" fontId="128" fillId="0" borderId="0" xfId="2668" applyFont="1" applyBorder="1"/>
    <xf numFmtId="0" fontId="128" fillId="0" borderId="0" xfId="2668" applyFont="1" applyBorder="1" applyAlignment="1">
      <alignment horizontal="right"/>
    </xf>
    <xf numFmtId="0" fontId="112" fillId="0" borderId="0" xfId="2660" applyFont="1" applyBorder="1"/>
    <xf numFmtId="0" fontId="112" fillId="0" borderId="0" xfId="2660" applyFont="1" applyBorder="1" applyAlignment="1">
      <alignment horizontal="center"/>
    </xf>
    <xf numFmtId="166" fontId="112" fillId="0" borderId="0" xfId="2660" applyNumberFormat="1" applyFont="1" applyBorder="1" applyAlignment="1">
      <alignment horizontal="center"/>
    </xf>
    <xf numFmtId="166" fontId="112" fillId="0" borderId="23" xfId="2660" applyNumberFormat="1" applyFont="1" applyBorder="1" applyAlignment="1">
      <alignment horizontal="center"/>
    </xf>
    <xf numFmtId="166" fontId="112" fillId="0" borderId="22" xfId="2660" applyNumberFormat="1" applyFont="1" applyBorder="1" applyAlignment="1">
      <alignment horizontal="center"/>
    </xf>
    <xf numFmtId="1" fontId="13" fillId="0" borderId="23" xfId="2660" applyNumberFormat="1" applyFont="1" applyBorder="1" applyAlignment="1">
      <alignment horizontal="center"/>
    </xf>
    <xf numFmtId="1" fontId="13" fillId="0" borderId="0" xfId="2660" applyNumberFormat="1" applyFont="1" applyBorder="1" applyAlignment="1">
      <alignment horizontal="center"/>
    </xf>
    <xf numFmtId="166" fontId="13" fillId="0" borderId="0" xfId="2660" applyNumberFormat="1" applyFont="1" applyBorder="1" applyAlignment="1">
      <alignment horizontal="center"/>
    </xf>
    <xf numFmtId="166" fontId="13" fillId="0" borderId="22" xfId="2660" applyNumberFormat="1" applyFont="1" applyBorder="1" applyAlignment="1">
      <alignment horizontal="center"/>
    </xf>
    <xf numFmtId="49" fontId="118" fillId="83" borderId="0" xfId="2668" applyNumberFormat="1" applyFont="1" applyFill="1" applyBorder="1" applyAlignment="1">
      <alignment horizontal="left"/>
    </xf>
    <xf numFmtId="17" fontId="118" fillId="2" borderId="0" xfId="2668" applyNumberFormat="1" applyFont="1" applyFill="1" applyBorder="1" applyAlignment="1">
      <alignment horizontal="center" vertical="center"/>
    </xf>
    <xf numFmtId="0" fontId="118" fillId="2" borderId="0" xfId="2660" applyFont="1" applyFill="1" applyBorder="1" applyAlignment="1">
      <alignment horizontal="center"/>
    </xf>
    <xf numFmtId="0" fontId="107" fillId="0" borderId="0" xfId="2670" applyFont="1" applyBorder="1" applyAlignment="1">
      <alignment vertical="center"/>
    </xf>
    <xf numFmtId="0" fontId="12" fillId="0" borderId="0" xfId="2670" applyFont="1"/>
    <xf numFmtId="0" fontId="279" fillId="84" borderId="50" xfId="2670" applyFont="1" applyFill="1" applyBorder="1" applyAlignment="1">
      <alignment vertical="center"/>
    </xf>
    <xf numFmtId="0" fontId="279" fillId="84" borderId="51" xfId="2670" applyFont="1" applyFill="1" applyBorder="1" applyAlignment="1">
      <alignment horizontal="center" vertical="center"/>
    </xf>
    <xf numFmtId="0" fontId="279" fillId="84" borderId="55" xfId="2670" applyFont="1" applyFill="1" applyBorder="1" applyAlignment="1">
      <alignment horizontal="left" vertical="center" indent="1"/>
    </xf>
    <xf numFmtId="0" fontId="279" fillId="84" borderId="56" xfId="2670" applyFont="1" applyFill="1" applyBorder="1" applyAlignment="1">
      <alignment horizontal="center" vertical="center"/>
    </xf>
    <xf numFmtId="0" fontId="279" fillId="84" borderId="57" xfId="2670" applyFont="1" applyFill="1" applyBorder="1" applyAlignment="1">
      <alignment horizontal="center" vertical="center"/>
    </xf>
    <xf numFmtId="0" fontId="279" fillId="84" borderId="40" xfId="2670" applyFont="1" applyFill="1" applyBorder="1" applyAlignment="1">
      <alignment horizontal="center" vertical="center"/>
    </xf>
    <xf numFmtId="0" fontId="279" fillId="84" borderId="58" xfId="2670" applyFont="1" applyFill="1" applyBorder="1" applyAlignment="1">
      <alignment horizontal="center" vertical="center"/>
    </xf>
    <xf numFmtId="0" fontId="279" fillId="84" borderId="40" xfId="2670" applyFont="1" applyFill="1" applyBorder="1" applyAlignment="1">
      <alignment horizontal="center" vertical="center" wrapText="1"/>
    </xf>
    <xf numFmtId="0" fontId="279" fillId="84" borderId="59" xfId="2670" applyFont="1" applyFill="1" applyBorder="1" applyAlignment="1">
      <alignment horizontal="center" vertical="center" wrapText="1"/>
    </xf>
    <xf numFmtId="0" fontId="280" fillId="0" borderId="60" xfId="2670" applyFont="1" applyBorder="1" applyAlignment="1">
      <alignment horizontal="left" vertical="center" indent="1"/>
    </xf>
    <xf numFmtId="49" fontId="115" fillId="0" borderId="61" xfId="2670" applyNumberFormat="1" applyFont="1" applyBorder="1" applyAlignment="1">
      <alignment horizontal="center" vertical="center"/>
    </xf>
    <xf numFmtId="0" fontId="115" fillId="0" borderId="62" xfId="2670" applyFont="1" applyBorder="1" applyAlignment="1">
      <alignment horizontal="center" vertical="center"/>
    </xf>
    <xf numFmtId="0" fontId="115" fillId="0" borderId="41" xfId="2670" applyFont="1" applyBorder="1" applyAlignment="1">
      <alignment horizontal="center" vertical="center"/>
    </xf>
    <xf numFmtId="0" fontId="115" fillId="0" borderId="63" xfId="2670" applyFont="1" applyBorder="1" applyAlignment="1">
      <alignment horizontal="center" vertical="center"/>
    </xf>
    <xf numFmtId="0" fontId="115" fillId="0" borderId="41" xfId="2670" applyFont="1" applyBorder="1" applyAlignment="1">
      <alignment horizontal="center" vertical="center" wrapText="1"/>
    </xf>
    <xf numFmtId="0" fontId="115" fillId="0" borderId="64" xfId="2670" applyFont="1" applyBorder="1" applyAlignment="1">
      <alignment horizontal="center" vertical="center" wrapText="1"/>
    </xf>
    <xf numFmtId="0" fontId="281" fillId="0" borderId="65" xfId="2670" applyFont="1" applyBorder="1" applyAlignment="1">
      <alignment horizontal="center" vertical="center" wrapText="1"/>
    </xf>
    <xf numFmtId="49" fontId="280" fillId="0" borderId="66" xfId="2670" applyNumberFormat="1" applyFont="1" applyBorder="1" applyAlignment="1">
      <alignment horizontal="center" vertical="center"/>
    </xf>
    <xf numFmtId="0" fontId="280" fillId="0" borderId="67" xfId="2670" applyFont="1" applyBorder="1" applyAlignment="1">
      <alignment horizontal="center" vertical="center"/>
    </xf>
    <xf numFmtId="0" fontId="280" fillId="0" borderId="0" xfId="2670" applyFont="1" applyBorder="1" applyAlignment="1">
      <alignment horizontal="center" vertical="center"/>
    </xf>
    <xf numFmtId="0" fontId="280" fillId="0" borderId="68" xfId="2670" applyFont="1" applyBorder="1" applyAlignment="1">
      <alignment horizontal="center" vertical="center"/>
    </xf>
    <xf numFmtId="0" fontId="280" fillId="0" borderId="0" xfId="2670" applyFont="1" applyBorder="1" applyAlignment="1">
      <alignment horizontal="center" vertical="center" wrapText="1"/>
    </xf>
    <xf numFmtId="0" fontId="280" fillId="0" borderId="64" xfId="2670" applyFont="1" applyBorder="1" applyAlignment="1">
      <alignment horizontal="center" vertical="center" wrapText="1"/>
    </xf>
    <xf numFmtId="0" fontId="280" fillId="0" borderId="65" xfId="2670" applyFont="1" applyBorder="1" applyAlignment="1">
      <alignment horizontal="center" vertical="center" wrapText="1"/>
    </xf>
    <xf numFmtId="0" fontId="115" fillId="0" borderId="0" xfId="2670" applyFont="1" applyBorder="1" applyAlignment="1">
      <alignment horizontal="center" vertical="center"/>
    </xf>
    <xf numFmtId="0" fontId="282" fillId="0" borderId="64" xfId="2670" applyFont="1" applyBorder="1" applyAlignment="1">
      <alignment horizontal="center" vertical="center" wrapText="1"/>
    </xf>
    <xf numFmtId="0" fontId="282" fillId="0" borderId="65" xfId="2670" applyFont="1" applyBorder="1" applyAlignment="1">
      <alignment horizontal="center" vertical="center" wrapText="1"/>
    </xf>
    <xf numFmtId="0" fontId="280" fillId="0" borderId="69" xfId="2670" applyFont="1" applyBorder="1" applyAlignment="1">
      <alignment horizontal="left" vertical="center" indent="1"/>
    </xf>
    <xf numFmtId="49" fontId="115" fillId="0" borderId="70" xfId="2670" applyNumberFormat="1" applyFont="1" applyBorder="1" applyAlignment="1">
      <alignment horizontal="center" vertical="center"/>
    </xf>
    <xf numFmtId="0" fontId="115" fillId="0" borderId="71" xfId="2670" applyFont="1" applyBorder="1" applyAlignment="1">
      <alignment horizontal="center" vertical="center"/>
    </xf>
    <xf numFmtId="0" fontId="115" fillId="0" borderId="22" xfId="2670" applyFont="1" applyBorder="1" applyAlignment="1">
      <alignment horizontal="center" vertical="center"/>
    </xf>
    <xf numFmtId="0" fontId="115" fillId="0" borderId="72" xfId="2670" applyFont="1" applyBorder="1" applyAlignment="1">
      <alignment horizontal="center" vertical="center"/>
    </xf>
    <xf numFmtId="0" fontId="115" fillId="0" borderId="22" xfId="2670" applyFont="1" applyBorder="1" applyAlignment="1">
      <alignment horizontal="center" vertical="center" wrapText="1"/>
    </xf>
    <xf numFmtId="0" fontId="115" fillId="0" borderId="73" xfId="2670" applyFont="1" applyBorder="1" applyAlignment="1">
      <alignment horizontal="center" vertical="center" wrapText="1"/>
    </xf>
    <xf numFmtId="0" fontId="115" fillId="0" borderId="74" xfId="2670" applyFont="1" applyBorder="1" applyAlignment="1">
      <alignment horizontal="center" vertical="center" wrapText="1"/>
    </xf>
    <xf numFmtId="0" fontId="283" fillId="0" borderId="0" xfId="2670" applyFont="1"/>
    <xf numFmtId="0" fontId="280" fillId="0" borderId="0" xfId="2670" applyFont="1" applyAlignment="1">
      <alignment horizontal="center" vertical="center"/>
    </xf>
    <xf numFmtId="212" fontId="107" fillId="0" borderId="0" xfId="2667" applyNumberFormat="1" applyFont="1"/>
    <xf numFmtId="0" fontId="110" fillId="0" borderId="0" xfId="2671" applyFont="1"/>
    <xf numFmtId="0" fontId="111" fillId="2" borderId="0" xfId="2672" applyFont="1" applyFill="1"/>
    <xf numFmtId="0" fontId="111" fillId="2" borderId="0" xfId="2672" applyFont="1" applyFill="1" applyAlignment="1">
      <alignment horizontal="center"/>
    </xf>
    <xf numFmtId="0" fontId="110" fillId="0" borderId="0" xfId="2672" applyFont="1" applyAlignment="1">
      <alignment horizontal="left" indent="1"/>
    </xf>
    <xf numFmtId="166" fontId="110" fillId="0" borderId="0" xfId="2672" applyNumberFormat="1" applyFont="1" applyAlignment="1">
      <alignment horizontal="center"/>
    </xf>
    <xf numFmtId="0" fontId="110" fillId="0" borderId="49" xfId="2672" applyFont="1" applyBorder="1" applyAlignment="1">
      <alignment horizontal="left" indent="1"/>
    </xf>
    <xf numFmtId="166" fontId="110" fillId="0" borderId="49" xfId="2672" applyNumberFormat="1" applyFont="1" applyBorder="1" applyAlignment="1">
      <alignment horizontal="center"/>
    </xf>
    <xf numFmtId="0" fontId="284" fillId="0" borderId="0" xfId="2671" applyFont="1"/>
    <xf numFmtId="0" fontId="113" fillId="0" borderId="0" xfId="2671" applyFont="1"/>
    <xf numFmtId="0" fontId="128" fillId="0" borderId="0" xfId="2672" applyFont="1" applyAlignment="1">
      <alignment horizontal="right"/>
    </xf>
    <xf numFmtId="0" fontId="278" fillId="0" borderId="0" xfId="2670"/>
    <xf numFmtId="0" fontId="122" fillId="84" borderId="75" xfId="2670" applyFont="1" applyFill="1" applyBorder="1" applyAlignment="1">
      <alignment horizontal="left" vertical="center" indent="1"/>
    </xf>
    <xf numFmtId="0" fontId="122" fillId="84" borderId="76" xfId="2670" applyFont="1" applyFill="1" applyBorder="1" applyAlignment="1">
      <alignment horizontal="center" vertical="center"/>
    </xf>
    <xf numFmtId="0" fontId="122" fillId="84" borderId="0" xfId="2670" applyFont="1" applyFill="1" applyBorder="1" applyAlignment="1">
      <alignment horizontal="center" vertical="center"/>
    </xf>
    <xf numFmtId="0" fontId="124" fillId="0" borderId="77" xfId="2670" applyFont="1" applyBorder="1" applyAlignment="1">
      <alignment horizontal="left" vertical="center" indent="1"/>
    </xf>
    <xf numFmtId="166" fontId="14" fillId="0" borderId="60" xfId="2670" applyNumberFormat="1" applyFont="1" applyBorder="1" applyAlignment="1">
      <alignment horizontal="center" vertical="center"/>
    </xf>
    <xf numFmtId="166" fontId="14" fillId="0" borderId="0" xfId="2670" applyNumberFormat="1" applyFont="1" applyBorder="1" applyAlignment="1">
      <alignment horizontal="center" vertical="center"/>
    </xf>
    <xf numFmtId="166" fontId="16" fillId="0" borderId="0" xfId="2670" applyNumberFormat="1" applyFont="1" applyBorder="1" applyAlignment="1">
      <alignment horizontal="center" vertical="center" wrapText="1"/>
    </xf>
    <xf numFmtId="166" fontId="16" fillId="0" borderId="65" xfId="2670" applyNumberFormat="1" applyFont="1" applyBorder="1" applyAlignment="1">
      <alignment horizontal="center" vertical="center" wrapText="1"/>
    </xf>
    <xf numFmtId="0" fontId="124" fillId="0" borderId="77" xfId="2670" applyFont="1" applyBorder="1" applyAlignment="1">
      <alignment horizontal="left" vertical="center" indent="2"/>
    </xf>
    <xf numFmtId="213" fontId="284" fillId="0" borderId="60" xfId="2670" applyNumberFormat="1" applyFont="1" applyBorder="1" applyAlignment="1">
      <alignment horizontal="center" vertical="center"/>
    </xf>
    <xf numFmtId="213" fontId="284" fillId="0" borderId="0" xfId="2670" applyNumberFormat="1" applyFont="1" applyBorder="1" applyAlignment="1">
      <alignment horizontal="center" vertical="center"/>
    </xf>
    <xf numFmtId="213" fontId="285" fillId="0" borderId="0" xfId="2670" applyNumberFormat="1" applyFont="1" applyBorder="1" applyAlignment="1">
      <alignment horizontal="center" vertical="center" wrapText="1"/>
    </xf>
    <xf numFmtId="213" fontId="285" fillId="0" borderId="65" xfId="2670" applyNumberFormat="1" applyFont="1" applyBorder="1" applyAlignment="1">
      <alignment horizontal="center" vertical="center" wrapText="1"/>
    </xf>
    <xf numFmtId="0" fontId="124" fillId="0" borderId="78" xfId="2670" applyFont="1" applyBorder="1" applyAlignment="1">
      <alignment horizontal="left" vertical="center" indent="2"/>
    </xf>
    <xf numFmtId="213" fontId="284" fillId="0" borderId="69" xfId="2670" applyNumberFormat="1" applyFont="1" applyBorder="1" applyAlignment="1">
      <alignment horizontal="center" vertical="center"/>
    </xf>
    <xf numFmtId="213" fontId="284" fillId="0" borderId="22" xfId="2670" applyNumberFormat="1" applyFont="1" applyBorder="1" applyAlignment="1">
      <alignment horizontal="center" vertical="center"/>
    </xf>
    <xf numFmtId="49" fontId="264" fillId="0" borderId="22" xfId="2670" applyNumberFormat="1" applyFont="1" applyBorder="1" applyAlignment="1">
      <alignment horizontal="center" vertical="center" wrapText="1"/>
    </xf>
    <xf numFmtId="49" fontId="264" fillId="0" borderId="74" xfId="2670" applyNumberFormat="1" applyFont="1" applyBorder="1" applyAlignment="1">
      <alignment horizontal="center" vertical="center" wrapText="1"/>
    </xf>
    <xf numFmtId="0" fontId="124" fillId="0" borderId="0" xfId="2670" applyFont="1" applyAlignment="1">
      <alignment vertical="center"/>
    </xf>
    <xf numFmtId="0" fontId="117" fillId="0" borderId="0" xfId="2670" applyFont="1" applyBorder="1" applyAlignment="1">
      <alignment vertical="center"/>
    </xf>
    <xf numFmtId="0" fontId="117" fillId="0" borderId="0" xfId="2670" applyFont="1" applyBorder="1" applyAlignment="1">
      <alignment horizontal="right" vertical="center"/>
    </xf>
    <xf numFmtId="0" fontId="286" fillId="0" borderId="0" xfId="2667" applyFont="1" applyAlignment="1">
      <alignment vertical="center"/>
    </xf>
    <xf numFmtId="0" fontId="12" fillId="0" borderId="0" xfId="2667"/>
    <xf numFmtId="0" fontId="279" fillId="84" borderId="0" xfId="2667" applyFont="1" applyFill="1" applyBorder="1" applyAlignment="1">
      <alignment horizontal="left" vertical="center"/>
    </xf>
    <xf numFmtId="0" fontId="279" fillId="84" borderId="79" xfId="2667" applyFont="1" applyFill="1" applyBorder="1" applyAlignment="1">
      <alignment horizontal="center" vertical="center"/>
    </xf>
    <xf numFmtId="0" fontId="287" fillId="84" borderId="0" xfId="2667" applyFont="1" applyFill="1" applyBorder="1" applyAlignment="1">
      <alignment vertical="center"/>
    </xf>
    <xf numFmtId="0" fontId="279" fillId="84" borderId="76" xfId="2667" applyFont="1" applyFill="1" applyBorder="1" applyAlignment="1">
      <alignment horizontal="center" vertical="center"/>
    </xf>
    <xf numFmtId="0" fontId="279" fillId="84" borderId="0" xfId="2667" applyFont="1" applyFill="1" applyBorder="1" applyAlignment="1">
      <alignment horizontal="center" vertical="center"/>
    </xf>
    <xf numFmtId="0" fontId="279" fillId="84" borderId="80" xfId="2667" applyFont="1" applyFill="1" applyBorder="1" applyAlignment="1">
      <alignment horizontal="center" vertical="center"/>
    </xf>
    <xf numFmtId="0" fontId="279" fillId="84" borderId="0" xfId="2667" applyFont="1" applyFill="1" applyAlignment="1">
      <alignment horizontal="center" vertical="center"/>
    </xf>
    <xf numFmtId="0" fontId="124" fillId="0" borderId="0" xfId="2667" applyFont="1" applyBorder="1" applyAlignment="1">
      <alignment vertical="center"/>
    </xf>
    <xf numFmtId="166" fontId="124" fillId="0" borderId="66" xfId="2667" applyNumberFormat="1" applyFont="1" applyBorder="1" applyAlignment="1">
      <alignment horizontal="center" vertical="center"/>
    </xf>
    <xf numFmtId="166" fontId="124" fillId="0" borderId="0" xfId="2667" applyNumberFormat="1" applyFont="1" applyAlignment="1">
      <alignment horizontal="center" vertical="center"/>
    </xf>
    <xf numFmtId="166" fontId="124" fillId="0" borderId="68" xfId="2667" applyNumberFormat="1" applyFont="1" applyBorder="1" applyAlignment="1">
      <alignment horizontal="center" vertical="center"/>
    </xf>
    <xf numFmtId="0" fontId="124" fillId="0" borderId="22" xfId="2667" applyFont="1" applyBorder="1" applyAlignment="1">
      <alignment vertical="center"/>
    </xf>
    <xf numFmtId="166" fontId="124" fillId="0" borderId="70" xfId="2667" applyNumberFormat="1" applyFont="1" applyBorder="1" applyAlignment="1">
      <alignment horizontal="center" vertical="center"/>
    </xf>
    <xf numFmtId="166" fontId="124" fillId="0" borderId="22" xfId="2667" applyNumberFormat="1" applyFont="1" applyBorder="1" applyAlignment="1">
      <alignment horizontal="center" vertical="center"/>
    </xf>
    <xf numFmtId="166" fontId="124" fillId="0" borderId="72" xfId="2667" applyNumberFormat="1" applyFont="1" applyBorder="1" applyAlignment="1">
      <alignment horizontal="center" vertical="center"/>
    </xf>
    <xf numFmtId="0" fontId="273" fillId="0" borderId="0" xfId="2667" applyFont="1" applyAlignment="1">
      <alignment vertical="center"/>
    </xf>
    <xf numFmtId="0" fontId="124" fillId="0" borderId="0" xfId="2667" applyFont="1" applyAlignment="1">
      <alignment horizontal="center" vertical="center"/>
    </xf>
    <xf numFmtId="0" fontId="110" fillId="0" borderId="0" xfId="2673" applyFont="1"/>
    <xf numFmtId="0" fontId="113" fillId="0" borderId="0" xfId="2673" applyFont="1"/>
    <xf numFmtId="0" fontId="118" fillId="85" borderId="82" xfId="2673" applyFont="1" applyFill="1" applyBorder="1" applyAlignment="1">
      <alignment horizontal="center" vertical="center"/>
    </xf>
    <xf numFmtId="0" fontId="118" fillId="85" borderId="0" xfId="2673" applyFont="1" applyFill="1" applyBorder="1" applyAlignment="1">
      <alignment horizontal="center" vertical="center"/>
    </xf>
    <xf numFmtId="0" fontId="119" fillId="0" borderId="83" xfId="2673" applyFont="1" applyBorder="1" applyAlignment="1">
      <alignment horizontal="left" indent="2"/>
    </xf>
    <xf numFmtId="2" fontId="119" fillId="0" borderId="0" xfId="2673" applyNumberFormat="1" applyFont="1" applyBorder="1" applyAlignment="1">
      <alignment horizontal="center" vertical="center"/>
    </xf>
    <xf numFmtId="0" fontId="113" fillId="0" borderId="83" xfId="2673" applyFont="1" applyBorder="1" applyAlignment="1">
      <alignment horizontal="left" indent="3"/>
    </xf>
    <xf numFmtId="2" fontId="113" fillId="0" borderId="0" xfId="2673" applyNumberFormat="1" applyFont="1" applyBorder="1" applyAlignment="1">
      <alignment horizontal="center" vertical="center"/>
    </xf>
    <xf numFmtId="0" fontId="119" fillId="0" borderId="84" xfId="2673" applyFont="1" applyBorder="1" applyAlignment="1">
      <alignment horizontal="left" indent="2"/>
    </xf>
    <xf numFmtId="2" fontId="119" fillId="0" borderId="49" xfId="2673" applyNumberFormat="1" applyFont="1" applyBorder="1" applyAlignment="1">
      <alignment horizontal="center" vertical="center"/>
    </xf>
    <xf numFmtId="0" fontId="119" fillId="0" borderId="84" xfId="2673" applyFont="1" applyBorder="1" applyAlignment="1">
      <alignment horizontal="left" indent="1"/>
    </xf>
    <xf numFmtId="0" fontId="113" fillId="0" borderId="0" xfId="2673" applyFont="1" applyBorder="1"/>
    <xf numFmtId="0" fontId="285" fillId="0" borderId="0" xfId="2673" applyFont="1" applyAlignment="1">
      <alignment horizontal="right"/>
    </xf>
    <xf numFmtId="0" fontId="250" fillId="0" borderId="0" xfId="2673" applyFont="1"/>
    <xf numFmtId="0" fontId="118" fillId="82" borderId="80" xfId="2673" applyFont="1" applyFill="1" applyBorder="1" applyAlignment="1">
      <alignment horizontal="center" vertical="center"/>
    </xf>
    <xf numFmtId="0" fontId="118" fillId="82" borderId="76" xfId="2673" applyFont="1" applyFill="1" applyBorder="1" applyAlignment="1">
      <alignment vertical="center"/>
    </xf>
    <xf numFmtId="0" fontId="118" fillId="82" borderId="0" xfId="2673" applyFont="1" applyFill="1" applyBorder="1" applyAlignment="1">
      <alignment vertical="center"/>
    </xf>
    <xf numFmtId="0" fontId="118" fillId="82" borderId="0" xfId="2673" applyFont="1" applyFill="1" applyBorder="1" applyAlignment="1">
      <alignment horizontal="center" vertical="center"/>
    </xf>
    <xf numFmtId="0" fontId="113" fillId="0" borderId="83" xfId="2673" applyFont="1" applyBorder="1" applyAlignment="1">
      <alignment horizontal="left" indent="2"/>
    </xf>
    <xf numFmtId="166" fontId="124" fillId="0" borderId="0" xfId="2673" applyNumberFormat="1" applyFont="1" applyBorder="1" applyAlignment="1">
      <alignment horizontal="center" vertical="center"/>
    </xf>
    <xf numFmtId="166" fontId="124" fillId="0" borderId="83" xfId="2673" applyNumberFormat="1" applyFont="1" applyBorder="1" applyAlignment="1">
      <alignment horizontal="center" vertical="center"/>
    </xf>
    <xf numFmtId="166" fontId="113" fillId="0" borderId="0" xfId="2673" applyNumberFormat="1" applyFont="1" applyBorder="1" applyAlignment="1">
      <alignment horizontal="center" vertical="center"/>
    </xf>
    <xf numFmtId="166" fontId="113" fillId="0" borderId="0" xfId="2673" applyNumberFormat="1" applyFont="1" applyAlignment="1">
      <alignment horizontal="center" vertical="center"/>
    </xf>
    <xf numFmtId="0" fontId="113" fillId="0" borderId="84" xfId="2673" applyFont="1" applyBorder="1" applyAlignment="1">
      <alignment horizontal="left" indent="2"/>
    </xf>
    <xf numFmtId="166" fontId="124" fillId="0" borderId="49" xfId="2673" applyNumberFormat="1" applyFont="1" applyBorder="1" applyAlignment="1">
      <alignment horizontal="center" vertical="center"/>
    </xf>
    <xf numFmtId="166" fontId="124" fillId="0" borderId="84" xfId="2673" applyNumberFormat="1" applyFont="1" applyBorder="1" applyAlignment="1">
      <alignment horizontal="center" vertical="center"/>
    </xf>
    <xf numFmtId="166" fontId="113" fillId="0" borderId="49" xfId="2673" applyNumberFormat="1" applyFont="1" applyBorder="1" applyAlignment="1">
      <alignment horizontal="center" vertical="center"/>
    </xf>
    <xf numFmtId="0" fontId="119" fillId="0" borderId="83" xfId="2673" applyFont="1" applyBorder="1" applyAlignment="1">
      <alignment horizontal="left" indent="1"/>
    </xf>
    <xf numFmtId="166" fontId="123" fillId="0" borderId="0" xfId="2673" applyNumberFormat="1" applyFont="1" applyBorder="1" applyAlignment="1">
      <alignment horizontal="center" vertical="center"/>
    </xf>
    <xf numFmtId="166" fontId="123" fillId="0" borderId="83" xfId="2673" applyNumberFormat="1" applyFont="1" applyBorder="1" applyAlignment="1">
      <alignment horizontal="center" vertical="center"/>
    </xf>
    <xf numFmtId="166" fontId="119" fillId="0" borderId="0" xfId="2673" applyNumberFormat="1" applyFont="1" applyBorder="1" applyAlignment="1">
      <alignment horizontal="center" vertical="center"/>
    </xf>
    <xf numFmtId="166" fontId="119" fillId="0" borderId="0" xfId="2673" applyNumberFormat="1" applyFont="1" applyAlignment="1">
      <alignment horizontal="center" vertical="center"/>
    </xf>
    <xf numFmtId="166" fontId="123" fillId="0" borderId="49" xfId="2673" applyNumberFormat="1" applyFont="1" applyBorder="1" applyAlignment="1">
      <alignment horizontal="center" vertical="center"/>
    </xf>
    <xf numFmtId="166" fontId="123" fillId="0" borderId="84" xfId="2673" applyNumberFormat="1" applyFont="1" applyBorder="1" applyAlignment="1">
      <alignment horizontal="center" vertical="center"/>
    </xf>
    <xf numFmtId="166" fontId="119" fillId="0" borderId="49" xfId="2673" applyNumberFormat="1" applyFont="1" applyBorder="1" applyAlignment="1">
      <alignment horizontal="center" vertical="center"/>
    </xf>
    <xf numFmtId="0" fontId="273" fillId="0" borderId="0" xfId="2673" applyFont="1" applyAlignment="1">
      <alignment horizontal="right"/>
    </xf>
    <xf numFmtId="0" fontId="107" fillId="0" borderId="0" xfId="2673" applyFont="1" applyAlignment="1">
      <alignment vertical="center"/>
    </xf>
    <xf numFmtId="0" fontId="2" fillId="0" borderId="0" xfId="2673"/>
    <xf numFmtId="0" fontId="122" fillId="84" borderId="85" xfId="2673" applyFont="1" applyFill="1" applyBorder="1" applyAlignment="1">
      <alignment horizontal="center" vertical="center"/>
    </xf>
    <xf numFmtId="0" fontId="122" fillId="84" borderId="86" xfId="2673" applyFont="1" applyFill="1" applyBorder="1" applyAlignment="1">
      <alignment horizontal="center" vertical="center"/>
    </xf>
    <xf numFmtId="0" fontId="2" fillId="0" borderId="0" xfId="2673" applyAlignment="1">
      <alignment vertical="center" wrapText="1"/>
    </xf>
    <xf numFmtId="0" fontId="287" fillId="84" borderId="88" xfId="2673" applyFont="1" applyFill="1" applyBorder="1" applyAlignment="1">
      <alignment vertical="center"/>
    </xf>
    <xf numFmtId="0" fontId="279" fillId="84" borderId="80" xfId="2673" applyFont="1" applyFill="1" applyBorder="1" applyAlignment="1">
      <alignment horizontal="center" vertical="center"/>
    </xf>
    <xf numFmtId="0" fontId="279" fillId="84" borderId="0" xfId="2673" applyFont="1" applyFill="1" applyBorder="1" applyAlignment="1">
      <alignment horizontal="center" vertical="center"/>
    </xf>
    <xf numFmtId="0" fontId="123" fillId="0" borderId="89" xfId="2673" applyFont="1" applyBorder="1" applyAlignment="1">
      <alignment vertical="center"/>
    </xf>
    <xf numFmtId="166" fontId="119" fillId="0" borderId="66" xfId="2673" applyNumberFormat="1" applyFont="1" applyFill="1" applyBorder="1" applyAlignment="1">
      <alignment horizontal="center" vertical="center"/>
    </xf>
    <xf numFmtId="166" fontId="119" fillId="0" borderId="0" xfId="2673" applyNumberFormat="1" applyFont="1" applyFill="1" applyBorder="1" applyAlignment="1">
      <alignment horizontal="center" vertical="center"/>
    </xf>
    <xf numFmtId="0" fontId="124" fillId="0" borderId="89" xfId="2673" applyFont="1" applyBorder="1" applyAlignment="1">
      <alignment horizontal="left" vertical="center" indent="3"/>
    </xf>
    <xf numFmtId="0" fontId="124" fillId="0" borderId="66" xfId="2673" applyFont="1" applyBorder="1" applyAlignment="1">
      <alignment horizontal="center" vertical="center"/>
    </xf>
    <xf numFmtId="0" fontId="124" fillId="0" borderId="0" xfId="2673" applyFont="1" applyBorder="1" applyAlignment="1">
      <alignment horizontal="center" vertical="center"/>
    </xf>
    <xf numFmtId="0" fontId="124" fillId="0" borderId="90" xfId="2673" applyFont="1" applyBorder="1" applyAlignment="1">
      <alignment horizontal="left" vertical="center" indent="3"/>
    </xf>
    <xf numFmtId="0" fontId="124" fillId="0" borderId="91" xfId="2673" applyFont="1" applyBorder="1" applyAlignment="1">
      <alignment horizontal="center" vertical="center"/>
    </xf>
    <xf numFmtId="0" fontId="124" fillId="0" borderId="49" xfId="2673" applyFont="1" applyBorder="1" applyAlignment="1">
      <alignment horizontal="center" vertical="center"/>
    </xf>
    <xf numFmtId="0" fontId="124" fillId="0" borderId="0" xfId="2673" applyFont="1" applyBorder="1" applyAlignment="1">
      <alignment vertical="center"/>
    </xf>
    <xf numFmtId="0" fontId="268" fillId="0" borderId="0" xfId="2617" applyFont="1" applyAlignment="1">
      <alignment horizontal="center"/>
    </xf>
    <xf numFmtId="0" fontId="268" fillId="0" borderId="0" xfId="2617" applyFont="1"/>
    <xf numFmtId="0" fontId="290" fillId="82" borderId="0" xfId="2617" applyFont="1" applyFill="1"/>
    <xf numFmtId="0" fontId="290" fillId="82" borderId="0" xfId="2617" applyFont="1" applyFill="1" applyAlignment="1">
      <alignment horizontal="center"/>
    </xf>
    <xf numFmtId="0" fontId="14" fillId="0" borderId="0" xfId="2617" applyFont="1"/>
    <xf numFmtId="0" fontId="115" fillId="0" borderId="0" xfId="2617" applyFont="1"/>
    <xf numFmtId="166" fontId="115" fillId="0" borderId="0" xfId="2617" applyNumberFormat="1" applyFont="1" applyAlignment="1">
      <alignment horizontal="center"/>
    </xf>
    <xf numFmtId="0" fontId="115" fillId="0" borderId="49" xfId="2617" applyFont="1" applyBorder="1"/>
    <xf numFmtId="166" fontId="115" fillId="0" borderId="49" xfId="2617" applyNumberFormat="1" applyFont="1" applyBorder="1" applyAlignment="1">
      <alignment horizontal="center"/>
    </xf>
    <xf numFmtId="0" fontId="14" fillId="0" borderId="0" xfId="2617" applyFont="1" applyAlignment="1">
      <alignment horizontal="center"/>
    </xf>
    <xf numFmtId="0" fontId="290" fillId="82" borderId="0" xfId="2670" applyFont="1" applyFill="1"/>
    <xf numFmtId="0" fontId="115" fillId="0" borderId="0" xfId="2670" applyFont="1"/>
    <xf numFmtId="17" fontId="115" fillId="0" borderId="0" xfId="2670" applyNumberFormat="1" applyFont="1"/>
    <xf numFmtId="208" fontId="115" fillId="0" borderId="0" xfId="2670" applyNumberFormat="1" applyFont="1"/>
    <xf numFmtId="0" fontId="115" fillId="0" borderId="92" xfId="2670" applyFont="1" applyBorder="1"/>
    <xf numFmtId="208" fontId="115" fillId="0" borderId="92" xfId="2670" applyNumberFormat="1" applyFont="1" applyBorder="1"/>
    <xf numFmtId="0" fontId="285" fillId="0" borderId="0" xfId="2670" applyFont="1" applyFill="1" applyAlignment="1">
      <alignment horizontal="right"/>
    </xf>
    <xf numFmtId="0" fontId="285" fillId="0" borderId="0" xfId="2670" applyFont="1"/>
    <xf numFmtId="0" fontId="113" fillId="0" borderId="0" xfId="2673" applyFont="1" applyAlignment="1">
      <alignment horizontal="left" indent="1"/>
    </xf>
    <xf numFmtId="166" fontId="113" fillId="0" borderId="0" xfId="2673" applyNumberFormat="1" applyFont="1"/>
    <xf numFmtId="0" fontId="113" fillId="0" borderId="92" xfId="2673" applyFont="1" applyBorder="1" applyAlignment="1">
      <alignment horizontal="left" indent="1"/>
    </xf>
    <xf numFmtId="166" fontId="113" fillId="0" borderId="92" xfId="2673" applyNumberFormat="1" applyFont="1" applyBorder="1"/>
    <xf numFmtId="0" fontId="285" fillId="0" borderId="0" xfId="2673" applyFont="1"/>
    <xf numFmtId="0" fontId="117" fillId="0" borderId="0" xfId="2672" applyFont="1" applyAlignment="1">
      <alignment horizontal="right"/>
    </xf>
    <xf numFmtId="0" fontId="284" fillId="0" borderId="0" xfId="2673" applyFont="1"/>
    <xf numFmtId="0" fontId="110" fillId="0" borderId="0" xfId="2673" applyFont="1" applyFill="1"/>
    <xf numFmtId="0" fontId="290" fillId="82" borderId="0" xfId="2673" applyFont="1" applyFill="1"/>
    <xf numFmtId="166" fontId="110" fillId="0" borderId="0" xfId="2673" applyNumberFormat="1" applyFont="1" applyFill="1"/>
    <xf numFmtId="166" fontId="110" fillId="0" borderId="92" xfId="2673" applyNumberFormat="1" applyFont="1" applyFill="1" applyBorder="1"/>
    <xf numFmtId="0" fontId="109" fillId="0" borderId="0" xfId="2673" applyFont="1" applyFill="1"/>
    <xf numFmtId="166" fontId="109" fillId="0" borderId="0" xfId="2673" applyNumberFormat="1" applyFont="1" applyFill="1"/>
    <xf numFmtId="0" fontId="111" fillId="2" borderId="0" xfId="2672" applyFont="1" applyFill="1" applyAlignment="1">
      <alignment horizontal="center" vertical="center"/>
    </xf>
    <xf numFmtId="0" fontId="111" fillId="2" borderId="0" xfId="2672" applyFont="1" applyFill="1" applyAlignment="1">
      <alignment horizontal="center" vertical="center" wrapText="1"/>
    </xf>
    <xf numFmtId="0" fontId="107" fillId="0" borderId="0" xfId="2672" applyFont="1"/>
    <xf numFmtId="2" fontId="110" fillId="0" borderId="0" xfId="2672" applyNumberFormat="1" applyFont="1"/>
    <xf numFmtId="0" fontId="107" fillId="0" borderId="0" xfId="2672" applyFont="1" applyBorder="1"/>
    <xf numFmtId="2" fontId="110" fillId="0" borderId="0" xfId="2672" applyNumberFormat="1" applyFont="1" applyBorder="1"/>
    <xf numFmtId="0" fontId="107" fillId="0" borderId="92" xfId="2672" applyFont="1" applyBorder="1"/>
    <xf numFmtId="2" fontId="110" fillId="0" borderId="92" xfId="2672" applyNumberFormat="1" applyFont="1" applyBorder="1"/>
    <xf numFmtId="0" fontId="126" fillId="0" borderId="0" xfId="2672" applyFont="1"/>
    <xf numFmtId="0" fontId="278" fillId="0" borderId="0" xfId="2670" applyFill="1"/>
    <xf numFmtId="0" fontId="126" fillId="0" borderId="0" xfId="2670" applyFont="1" applyFill="1"/>
    <xf numFmtId="0" fontId="110" fillId="0" borderId="0" xfId="2670" applyFont="1" applyFill="1"/>
    <xf numFmtId="0" fontId="12" fillId="0" borderId="0" xfId="2670" applyFont="1" applyFill="1"/>
    <xf numFmtId="212" fontId="107" fillId="0" borderId="0" xfId="2667" applyNumberFormat="1" applyFont="1" applyAlignment="1"/>
    <xf numFmtId="0" fontId="126" fillId="0" borderId="0" xfId="2673" applyFont="1"/>
    <xf numFmtId="0" fontId="290" fillId="86" borderId="0" xfId="2673" applyFont="1" applyFill="1"/>
    <xf numFmtId="166" fontId="110" fillId="0" borderId="0" xfId="2673" applyNumberFormat="1" applyFont="1"/>
    <xf numFmtId="0" fontId="251" fillId="0" borderId="0" xfId="2673" applyFont="1"/>
    <xf numFmtId="0" fontId="110" fillId="0" borderId="93" xfId="2673" applyFont="1" applyBorder="1"/>
    <xf numFmtId="166" fontId="110" fillId="0" borderId="93" xfId="2673" applyNumberFormat="1" applyFont="1" applyBorder="1"/>
    <xf numFmtId="0" fontId="291" fillId="0" borderId="0" xfId="2673" applyFont="1" applyAlignment="1">
      <alignment horizontal="right"/>
    </xf>
    <xf numFmtId="0" fontId="117" fillId="0" borderId="0" xfId="2672" applyFont="1" applyAlignment="1"/>
    <xf numFmtId="0" fontId="107" fillId="0" borderId="22" xfId="2672" applyFont="1" applyBorder="1"/>
    <xf numFmtId="2" fontId="110" fillId="0" borderId="22" xfId="2672" applyNumberFormat="1" applyFont="1" applyBorder="1"/>
    <xf numFmtId="208" fontId="110" fillId="0" borderId="0" xfId="2672" applyNumberFormat="1" applyFont="1" applyBorder="1"/>
    <xf numFmtId="208" fontId="126" fillId="0" borderId="0" xfId="2672" applyNumberFormat="1" applyFont="1"/>
    <xf numFmtId="208" fontId="110" fillId="0" borderId="22" xfId="2672" applyNumberFormat="1" applyFont="1" applyBorder="1"/>
    <xf numFmtId="0" fontId="1" fillId="0" borderId="0" xfId="2674"/>
    <xf numFmtId="0" fontId="113" fillId="0" borderId="0" xfId="2674" applyFont="1"/>
    <xf numFmtId="166" fontId="113" fillId="0" borderId="22" xfId="2674" applyNumberFormat="1" applyFont="1" applyBorder="1"/>
    <xf numFmtId="167" fontId="113" fillId="0" borderId="22" xfId="2674" applyNumberFormat="1" applyFont="1" applyBorder="1"/>
    <xf numFmtId="0" fontId="113" fillId="0" borderId="22" xfId="2674" applyFont="1" applyBorder="1"/>
    <xf numFmtId="167" fontId="113" fillId="0" borderId="0" xfId="2674" applyNumberFormat="1" applyFont="1" applyBorder="1" applyAlignment="1">
      <alignment vertical="center"/>
    </xf>
    <xf numFmtId="0" fontId="113" fillId="0" borderId="0" xfId="2674" applyFont="1" applyBorder="1" applyAlignment="1">
      <alignment vertical="center"/>
    </xf>
    <xf numFmtId="3" fontId="113" fillId="0" borderId="0" xfId="2674" applyNumberFormat="1" applyFont="1" applyBorder="1" applyAlignment="1">
      <alignment vertical="center"/>
    </xf>
    <xf numFmtId="0" fontId="292" fillId="2" borderId="0" xfId="2674" applyFont="1" applyFill="1" applyAlignment="1">
      <alignment vertical="center"/>
    </xf>
    <xf numFmtId="0" fontId="253" fillId="2" borderId="0" xfId="2674" applyFont="1" applyFill="1" applyAlignment="1">
      <alignment vertical="center"/>
    </xf>
    <xf numFmtId="211" fontId="1" fillId="0" borderId="0" xfId="2674" applyNumberFormat="1"/>
    <xf numFmtId="0" fontId="126" fillId="0" borderId="0" xfId="2674" applyFont="1"/>
    <xf numFmtId="211" fontId="126" fillId="0" borderId="0" xfId="2675" applyNumberFormat="1" applyFont="1"/>
    <xf numFmtId="1" fontId="126" fillId="0" borderId="0" xfId="2674" applyNumberFormat="1" applyFont="1"/>
    <xf numFmtId="211" fontId="293" fillId="0" borderId="0" xfId="2675" applyNumberFormat="1" applyFont="1"/>
    <xf numFmtId="211" fontId="294" fillId="0" borderId="0" xfId="2675" applyNumberFormat="1" applyFont="1" applyAlignment="1">
      <alignment horizontal="right"/>
    </xf>
    <xf numFmtId="1" fontId="14" fillId="0" borderId="0" xfId="2674" applyNumberFormat="1" applyFont="1" applyAlignment="1">
      <alignment horizontal="right"/>
    </xf>
    <xf numFmtId="0" fontId="14" fillId="0" borderId="0" xfId="2674" applyFont="1" applyAlignment="1">
      <alignment horizontal="right"/>
    </xf>
    <xf numFmtId="3" fontId="14" fillId="0" borderId="0" xfId="2674" applyNumberFormat="1" applyFont="1" applyAlignment="1">
      <alignment horizontal="right"/>
    </xf>
    <xf numFmtId="3" fontId="14" fillId="0" borderId="0" xfId="2667" applyNumberFormat="1" applyFont="1" applyFill="1" applyBorder="1" applyAlignment="1">
      <alignment horizontal="left" vertical="center" wrapText="1" indent="1"/>
    </xf>
    <xf numFmtId="3" fontId="113" fillId="0" borderId="0" xfId="2674" applyNumberFormat="1" applyFont="1"/>
    <xf numFmtId="3" fontId="113" fillId="0" borderId="0" xfId="2676" applyNumberFormat="1" applyFont="1" applyAlignment="1">
      <alignment vertical="center"/>
    </xf>
    <xf numFmtId="3" fontId="14" fillId="0" borderId="0" xfId="2667" applyNumberFormat="1" applyFont="1" applyFill="1" applyBorder="1" applyAlignment="1">
      <alignment horizontal="left" vertical="center" wrapText="1"/>
    </xf>
    <xf numFmtId="10" fontId="14" fillId="0" borderId="22" xfId="2675" applyNumberFormat="1" applyFont="1" applyBorder="1" applyAlignment="1">
      <alignment horizontal="right"/>
    </xf>
    <xf numFmtId="211" fontId="14" fillId="0" borderId="22" xfId="2675" applyNumberFormat="1" applyFont="1" applyBorder="1" applyAlignment="1">
      <alignment horizontal="right"/>
    </xf>
    <xf numFmtId="0" fontId="14" fillId="0" borderId="22" xfId="2674" applyFont="1" applyBorder="1"/>
    <xf numFmtId="10" fontId="14" fillId="0" borderId="0" xfId="2675" applyNumberFormat="1" applyFont="1" applyAlignment="1">
      <alignment horizontal="right"/>
    </xf>
    <xf numFmtId="211" fontId="14" fillId="0" borderId="0" xfId="2675" applyNumberFormat="1" applyFont="1" applyAlignment="1">
      <alignment horizontal="right"/>
    </xf>
    <xf numFmtId="0" fontId="14" fillId="0" borderId="0" xfId="2674" applyFont="1"/>
    <xf numFmtId="1" fontId="14" fillId="0" borderId="22" xfId="2674" applyNumberFormat="1" applyFont="1" applyFill="1" applyBorder="1" applyAlignment="1">
      <alignment horizontal="right"/>
    </xf>
    <xf numFmtId="3" fontId="14" fillId="0" borderId="22" xfId="2667" applyNumberFormat="1" applyFont="1" applyFill="1" applyBorder="1" applyAlignment="1">
      <alignment horizontal="right" vertical="center" wrapText="1"/>
    </xf>
    <xf numFmtId="0" fontId="14" fillId="0" borderId="22" xfId="2674" applyFont="1" applyBorder="1" applyAlignment="1">
      <alignment vertical="center"/>
    </xf>
    <xf numFmtId="3" fontId="14" fillId="0" borderId="0" xfId="2667" applyNumberFormat="1" applyFont="1" applyFill="1" applyBorder="1" applyAlignment="1">
      <alignment horizontal="right" vertical="center" wrapText="1"/>
    </xf>
    <xf numFmtId="0" fontId="14" fillId="0" borderId="23" xfId="2674" applyFont="1" applyBorder="1" applyAlignment="1">
      <alignment vertical="center"/>
    </xf>
    <xf numFmtId="0" fontId="107" fillId="0" borderId="0" xfId="2674" applyFont="1"/>
    <xf numFmtId="0" fontId="107" fillId="0" borderId="0" xfId="2667" applyFont="1" applyFill="1" applyAlignment="1">
      <alignment vertical="center"/>
    </xf>
    <xf numFmtId="0" fontId="1" fillId="0" borderId="0" xfId="2674" applyFill="1"/>
    <xf numFmtId="3" fontId="1" fillId="0" borderId="0" xfId="2674" applyNumberFormat="1"/>
    <xf numFmtId="1" fontId="113" fillId="0" borderId="0" xfId="2674" applyNumberFormat="1" applyFont="1" applyFill="1" applyBorder="1" applyAlignment="1">
      <alignment horizontal="left" vertical="center"/>
    </xf>
    <xf numFmtId="1" fontId="1" fillId="0" borderId="0" xfId="2674" applyNumberFormat="1"/>
    <xf numFmtId="166" fontId="123" fillId="87" borderId="74" xfId="2674" applyNumberFormat="1" applyFont="1" applyFill="1" applyBorder="1" applyAlignment="1">
      <alignment horizontal="center" vertical="center"/>
    </xf>
    <xf numFmtId="166" fontId="123" fillId="87" borderId="22" xfId="2674" applyNumberFormat="1" applyFont="1" applyFill="1" applyBorder="1" applyAlignment="1">
      <alignment horizontal="center" vertical="center"/>
    </xf>
    <xf numFmtId="0" fontId="123" fillId="87" borderId="78" xfId="2674" applyFont="1" applyFill="1" applyBorder="1" applyAlignment="1">
      <alignment vertical="center"/>
    </xf>
    <xf numFmtId="1" fontId="123" fillId="87" borderId="54" xfId="2674" applyNumberFormat="1" applyFont="1" applyFill="1" applyBorder="1" applyAlignment="1">
      <alignment horizontal="center" vertical="center"/>
    </xf>
    <xf numFmtId="3" fontId="123" fillId="87" borderId="23" xfId="2674" applyNumberFormat="1" applyFont="1" applyFill="1" applyBorder="1" applyAlignment="1">
      <alignment horizontal="center" vertical="center"/>
    </xf>
    <xf numFmtId="3" fontId="123" fillId="87" borderId="54" xfId="2674" applyNumberFormat="1" applyFont="1" applyFill="1" applyBorder="1" applyAlignment="1">
      <alignment horizontal="center" vertical="center"/>
    </xf>
    <xf numFmtId="0" fontId="123" fillId="87" borderId="94" xfId="2674" applyFont="1" applyFill="1" applyBorder="1" applyAlignment="1">
      <alignment vertical="center"/>
    </xf>
    <xf numFmtId="3" fontId="13" fillId="0" borderId="54" xfId="2674" applyNumberFormat="1" applyFont="1" applyBorder="1" applyAlignment="1">
      <alignment horizontal="center" vertical="center" wrapText="1"/>
    </xf>
    <xf numFmtId="3" fontId="13" fillId="0" borderId="23" xfId="2674" applyNumberFormat="1" applyFont="1" applyBorder="1" applyAlignment="1">
      <alignment horizontal="center" vertical="center" wrapText="1"/>
    </xf>
    <xf numFmtId="1" fontId="13" fillId="0" borderId="54" xfId="2674" applyNumberFormat="1" applyFont="1" applyBorder="1" applyAlignment="1">
      <alignment horizontal="center" vertical="center" wrapText="1"/>
    </xf>
    <xf numFmtId="0" fontId="13" fillId="0" borderId="94" xfId="2674" applyFont="1" applyBorder="1" applyAlignment="1">
      <alignment vertical="center" wrapText="1"/>
    </xf>
    <xf numFmtId="0" fontId="257" fillId="0" borderId="0" xfId="2674" applyFont="1"/>
    <xf numFmtId="0" fontId="1" fillId="0" borderId="95" xfId="2674" applyFill="1" applyBorder="1" applyAlignment="1">
      <alignment horizontal="center" vertical="center"/>
    </xf>
    <xf numFmtId="0" fontId="1" fillId="0" borderId="21" xfId="2674" applyFill="1" applyBorder="1" applyAlignment="1">
      <alignment horizontal="center" vertical="center"/>
    </xf>
    <xf numFmtId="0" fontId="1" fillId="0" borderId="96" xfId="2674" applyFill="1" applyBorder="1" applyAlignment="1">
      <alignment horizontal="center" vertical="center"/>
    </xf>
    <xf numFmtId="1" fontId="113" fillId="0" borderId="95" xfId="2676" applyNumberFormat="1" applyFont="1" applyFill="1" applyBorder="1" applyAlignment="1">
      <alignment horizontal="center" vertical="center" wrapText="1"/>
    </xf>
    <xf numFmtId="0" fontId="113" fillId="0" borderId="97" xfId="2674" applyFont="1" applyBorder="1" applyAlignment="1">
      <alignment vertical="center" wrapText="1"/>
    </xf>
    <xf numFmtId="1" fontId="113" fillId="0" borderId="74" xfId="2674" applyNumberFormat="1" applyFont="1" applyFill="1" applyBorder="1" applyAlignment="1">
      <alignment horizontal="center" vertical="center" wrapText="1"/>
    </xf>
    <xf numFmtId="1" fontId="113" fillId="0" borderId="22" xfId="2674" applyNumberFormat="1" applyFont="1" applyFill="1" applyBorder="1" applyAlignment="1">
      <alignment horizontal="center" vertical="center" wrapText="1"/>
    </xf>
    <xf numFmtId="1" fontId="113" fillId="0" borderId="69" xfId="2674" applyNumberFormat="1" applyFont="1" applyFill="1" applyBorder="1" applyAlignment="1">
      <alignment horizontal="center" vertical="center" wrapText="1"/>
    </xf>
    <xf numFmtId="0" fontId="113" fillId="0" borderId="74" xfId="2674" applyFont="1" applyFill="1" applyBorder="1" applyAlignment="1">
      <alignment horizontal="center" vertical="center" wrapText="1"/>
    </xf>
    <xf numFmtId="0" fontId="113" fillId="0" borderId="78" xfId="2674" applyFont="1" applyBorder="1" applyAlignment="1">
      <alignment horizontal="left" vertical="center" wrapText="1" indent="1"/>
    </xf>
    <xf numFmtId="1" fontId="113" fillId="0" borderId="65" xfId="2674" applyNumberFormat="1" applyFont="1" applyFill="1" applyBorder="1" applyAlignment="1">
      <alignment horizontal="center" vertical="center" wrapText="1"/>
    </xf>
    <xf numFmtId="1" fontId="113" fillId="0" borderId="0" xfId="2674" applyNumberFormat="1" applyFont="1" applyFill="1" applyBorder="1" applyAlignment="1">
      <alignment horizontal="center" vertical="center" wrapText="1"/>
    </xf>
    <xf numFmtId="1" fontId="113" fillId="0" borderId="60" xfId="2674" applyNumberFormat="1" applyFont="1" applyFill="1" applyBorder="1" applyAlignment="1">
      <alignment horizontal="center" vertical="center" wrapText="1"/>
    </xf>
    <xf numFmtId="0" fontId="113" fillId="0" borderId="77" xfId="2674" applyFont="1" applyBorder="1" applyAlignment="1">
      <alignment horizontal="left" vertical="center" wrapText="1" indent="1"/>
    </xf>
    <xf numFmtId="0" fontId="113" fillId="0" borderId="65" xfId="2674" applyFont="1" applyFill="1" applyBorder="1" applyAlignment="1">
      <alignment horizontal="center" vertical="center" wrapText="1"/>
    </xf>
    <xf numFmtId="1" fontId="113" fillId="0" borderId="54" xfId="2674" applyNumberFormat="1" applyFont="1" applyFill="1" applyBorder="1" applyAlignment="1">
      <alignment horizontal="center" vertical="center" wrapText="1"/>
    </xf>
    <xf numFmtId="1" fontId="113" fillId="0" borderId="23" xfId="2674" applyNumberFormat="1" applyFont="1" applyFill="1" applyBorder="1" applyAlignment="1">
      <alignment horizontal="center" vertical="center" wrapText="1"/>
    </xf>
    <xf numFmtId="1" fontId="113" fillId="0" borderId="50" xfId="2674" applyNumberFormat="1" applyFont="1" applyFill="1" applyBorder="1" applyAlignment="1">
      <alignment horizontal="center" vertical="center" wrapText="1"/>
    </xf>
    <xf numFmtId="0" fontId="113" fillId="0" borderId="94" xfId="2674" applyFont="1" applyBorder="1" applyAlignment="1">
      <alignment vertical="center" wrapText="1"/>
    </xf>
    <xf numFmtId="1" fontId="113" fillId="0" borderId="95" xfId="2674" applyNumberFormat="1" applyFont="1" applyFill="1" applyBorder="1" applyAlignment="1">
      <alignment horizontal="center" vertical="center" wrapText="1"/>
    </xf>
    <xf numFmtId="1" fontId="13" fillId="0" borderId="23" xfId="2674" applyNumberFormat="1" applyFont="1" applyBorder="1" applyAlignment="1">
      <alignment horizontal="center" vertical="center" wrapText="1"/>
    </xf>
    <xf numFmtId="0" fontId="13" fillId="0" borderId="97" xfId="2674" applyFont="1" applyBorder="1" applyAlignment="1">
      <alignment vertical="center" wrapText="1"/>
    </xf>
    <xf numFmtId="1" fontId="113" fillId="0" borderId="95" xfId="2674" applyNumberFormat="1" applyFont="1" applyFill="1" applyBorder="1" applyAlignment="1">
      <alignment horizontal="center" vertical="center"/>
    </xf>
    <xf numFmtId="1" fontId="113" fillId="0" borderId="21" xfId="2674" applyNumberFormat="1" applyFont="1" applyFill="1" applyBorder="1" applyAlignment="1">
      <alignment horizontal="center" vertical="center"/>
    </xf>
    <xf numFmtId="1" fontId="113" fillId="0" borderId="96" xfId="2674" applyNumberFormat="1" applyFont="1" applyFill="1" applyBorder="1" applyAlignment="1">
      <alignment horizontal="center" vertical="center"/>
    </xf>
    <xf numFmtId="0" fontId="113" fillId="0" borderId="97" xfId="2674" applyFont="1" applyFill="1" applyBorder="1" applyAlignment="1">
      <alignment vertical="center" wrapText="1"/>
    </xf>
    <xf numFmtId="3" fontId="113" fillId="0" borderId="74" xfId="2674" applyNumberFormat="1" applyFont="1" applyFill="1" applyBorder="1" applyAlignment="1">
      <alignment horizontal="center" vertical="center" wrapText="1"/>
    </xf>
    <xf numFmtId="3" fontId="113" fillId="0" borderId="22" xfId="2674" applyNumberFormat="1" applyFont="1" applyFill="1" applyBorder="1" applyAlignment="1">
      <alignment horizontal="center" vertical="center" wrapText="1"/>
    </xf>
    <xf numFmtId="3" fontId="113" fillId="0" borderId="69" xfId="2674" applyNumberFormat="1" applyFont="1" applyFill="1" applyBorder="1" applyAlignment="1">
      <alignment horizontal="center" vertical="center" wrapText="1"/>
    </xf>
    <xf numFmtId="3" fontId="113" fillId="0" borderId="65" xfId="2674" applyNumberFormat="1" applyFont="1" applyFill="1" applyBorder="1" applyAlignment="1">
      <alignment horizontal="center" vertical="center" wrapText="1"/>
    </xf>
    <xf numFmtId="3" fontId="113" fillId="0" borderId="0" xfId="2674" applyNumberFormat="1" applyFont="1" applyFill="1" applyBorder="1" applyAlignment="1">
      <alignment horizontal="center" vertical="center" wrapText="1"/>
    </xf>
    <xf numFmtId="3" fontId="113" fillId="0" borderId="60" xfId="2674" applyNumberFormat="1" applyFont="1" applyFill="1" applyBorder="1" applyAlignment="1">
      <alignment horizontal="center" vertical="center" wrapText="1"/>
    </xf>
    <xf numFmtId="3" fontId="113" fillId="0" borderId="74" xfId="2674" applyNumberFormat="1" applyFont="1" applyFill="1" applyBorder="1" applyAlignment="1">
      <alignment horizontal="center" vertical="center"/>
    </xf>
    <xf numFmtId="3" fontId="113" fillId="0" borderId="22" xfId="2674" applyNumberFormat="1" applyFont="1" applyFill="1" applyBorder="1" applyAlignment="1">
      <alignment horizontal="center" vertical="center"/>
    </xf>
    <xf numFmtId="3" fontId="113" fillId="0" borderId="69" xfId="2674" applyNumberFormat="1" applyFont="1" applyFill="1" applyBorder="1" applyAlignment="1">
      <alignment horizontal="center" vertical="center"/>
    </xf>
    <xf numFmtId="0" fontId="113" fillId="0" borderId="78" xfId="2674" applyFont="1" applyFill="1" applyBorder="1" applyAlignment="1">
      <alignment horizontal="left" vertical="center" wrapText="1" indent="1"/>
    </xf>
    <xf numFmtId="3" fontId="113" fillId="0" borderId="65" xfId="2674" applyNumberFormat="1" applyFont="1" applyFill="1" applyBorder="1" applyAlignment="1">
      <alignment horizontal="center" vertical="center"/>
    </xf>
    <xf numFmtId="3" fontId="113" fillId="0" borderId="0" xfId="2674" applyNumberFormat="1" applyFont="1" applyFill="1" applyBorder="1" applyAlignment="1">
      <alignment horizontal="center" vertical="center"/>
    </xf>
    <xf numFmtId="3" fontId="113" fillId="0" borderId="60" xfId="2674" applyNumberFormat="1" applyFont="1" applyFill="1" applyBorder="1" applyAlignment="1">
      <alignment horizontal="center" vertical="center"/>
    </xf>
    <xf numFmtId="0" fontId="113" fillId="0" borderId="77" xfId="2674" applyFont="1" applyFill="1" applyBorder="1" applyAlignment="1">
      <alignment horizontal="left" vertical="center" wrapText="1" indent="1"/>
    </xf>
    <xf numFmtId="3" fontId="113" fillId="0" borderId="54" xfId="2674" applyNumberFormat="1" applyFont="1" applyFill="1" applyBorder="1" applyAlignment="1">
      <alignment horizontal="center" vertical="center"/>
    </xf>
    <xf numFmtId="3" fontId="113" fillId="0" borderId="23" xfId="2674" applyNumberFormat="1" applyFont="1" applyFill="1" applyBorder="1" applyAlignment="1">
      <alignment horizontal="center" vertical="center"/>
    </xf>
    <xf numFmtId="3" fontId="113" fillId="0" borderId="50" xfId="2674" applyNumberFormat="1" applyFont="1" applyFill="1" applyBorder="1" applyAlignment="1">
      <alignment horizontal="center" vertical="center"/>
    </xf>
    <xf numFmtId="1" fontId="113" fillId="0" borderId="54" xfId="2674" applyNumberFormat="1" applyFont="1" applyFill="1" applyBorder="1" applyAlignment="1">
      <alignment horizontal="center" vertical="center"/>
    </xf>
    <xf numFmtId="0" fontId="113" fillId="0" borderId="94" xfId="2674" applyFont="1" applyFill="1" applyBorder="1" applyAlignment="1">
      <alignment vertical="center" wrapText="1"/>
    </xf>
    <xf numFmtId="1" fontId="113" fillId="0" borderId="21" xfId="2674" applyNumberFormat="1" applyFont="1" applyFill="1" applyBorder="1" applyAlignment="1">
      <alignment horizontal="center" vertical="center" wrapText="1"/>
    </xf>
    <xf numFmtId="1" fontId="113" fillId="0" borderId="96" xfId="2674" applyNumberFormat="1" applyFont="1" applyFill="1" applyBorder="1" applyAlignment="1">
      <alignment horizontal="center" vertical="center" wrapText="1"/>
    </xf>
    <xf numFmtId="0" fontId="1" fillId="0" borderId="60" xfId="2674" applyBorder="1"/>
    <xf numFmtId="0" fontId="113" fillId="0" borderId="65" xfId="2674" applyFont="1" applyFill="1" applyBorder="1" applyAlignment="1">
      <alignment horizontal="center" vertical="center"/>
    </xf>
    <xf numFmtId="0" fontId="113" fillId="0" borderId="0" xfId="2674" applyFont="1" applyFill="1" applyBorder="1" applyAlignment="1">
      <alignment horizontal="center" vertical="center"/>
    </xf>
    <xf numFmtId="0" fontId="113" fillId="0" borderId="60" xfId="2674" applyFont="1" applyFill="1" applyBorder="1" applyAlignment="1">
      <alignment horizontal="center" vertical="center"/>
    </xf>
    <xf numFmtId="1" fontId="113" fillId="0" borderId="0" xfId="2674" applyNumberFormat="1" applyFont="1" applyFill="1" applyBorder="1" applyAlignment="1">
      <alignment horizontal="center" vertical="center"/>
    </xf>
    <xf numFmtId="3" fontId="13" fillId="0" borderId="65" xfId="2674" applyNumberFormat="1" applyFont="1" applyBorder="1" applyAlignment="1">
      <alignment horizontal="center" vertical="center" wrapText="1"/>
    </xf>
    <xf numFmtId="3" fontId="13" fillId="0" borderId="0" xfId="2674" applyNumberFormat="1" applyFont="1" applyBorder="1" applyAlignment="1">
      <alignment horizontal="center" vertical="center" wrapText="1"/>
    </xf>
    <xf numFmtId="1" fontId="13" fillId="0" borderId="74" xfId="2674" applyNumberFormat="1" applyFont="1" applyBorder="1" applyAlignment="1">
      <alignment horizontal="center" vertical="center" wrapText="1"/>
    </xf>
    <xf numFmtId="0" fontId="13" fillId="0" borderId="77" xfId="2674" applyFont="1" applyBorder="1" applyAlignment="1">
      <alignment vertical="center" wrapText="1"/>
    </xf>
    <xf numFmtId="166" fontId="123" fillId="87" borderId="65" xfId="2674" applyNumberFormat="1" applyFont="1" applyFill="1" applyBorder="1" applyAlignment="1">
      <alignment horizontal="center" vertical="center"/>
    </xf>
    <xf numFmtId="166" fontId="123" fillId="87" borderId="0" xfId="2674" applyNumberFormat="1" applyFont="1" applyFill="1" applyBorder="1" applyAlignment="1">
      <alignment horizontal="center" vertical="center"/>
    </xf>
    <xf numFmtId="0" fontId="123" fillId="87" borderId="98" xfId="2674" applyFont="1" applyFill="1" applyBorder="1" applyAlignment="1">
      <alignment vertical="center"/>
    </xf>
    <xf numFmtId="3" fontId="123" fillId="87" borderId="65" xfId="2674" applyNumberFormat="1" applyFont="1" applyFill="1" applyBorder="1" applyAlignment="1">
      <alignment horizontal="center" vertical="center"/>
    </xf>
    <xf numFmtId="3" fontId="123" fillId="87" borderId="0" xfId="2674" applyNumberFormat="1" applyFont="1" applyFill="1" applyBorder="1" applyAlignment="1">
      <alignment horizontal="center" vertical="center"/>
    </xf>
    <xf numFmtId="0" fontId="123" fillId="87" borderId="65" xfId="2674" applyFont="1" applyFill="1" applyBorder="1" applyAlignment="1">
      <alignment vertical="center"/>
    </xf>
    <xf numFmtId="0" fontId="122" fillId="2" borderId="54" xfId="2674" applyFont="1" applyFill="1" applyBorder="1" applyAlignment="1">
      <alignment horizontal="center" vertical="center"/>
    </xf>
    <xf numFmtId="0" fontId="122" fillId="2" borderId="23" xfId="2674" applyFont="1" applyFill="1" applyBorder="1" applyAlignment="1">
      <alignment horizontal="center" vertical="center"/>
    </xf>
    <xf numFmtId="0" fontId="122" fillId="2" borderId="99" xfId="2674" applyFont="1" applyFill="1" applyBorder="1" applyAlignment="1">
      <alignment horizontal="center" vertical="center"/>
    </xf>
    <xf numFmtId="0" fontId="122" fillId="2" borderId="100" xfId="2674" applyFont="1" applyFill="1" applyBorder="1" applyAlignment="1">
      <alignment vertical="center"/>
    </xf>
    <xf numFmtId="0" fontId="117" fillId="0" borderId="0" xfId="2674" applyFont="1"/>
    <xf numFmtId="166" fontId="123" fillId="0" borderId="22" xfId="2674" applyNumberFormat="1" applyFont="1" applyBorder="1" applyAlignment="1">
      <alignment horizontal="right" vertical="center"/>
    </xf>
    <xf numFmtId="0" fontId="119" fillId="0" borderId="22" xfId="2674" applyFont="1" applyBorder="1" applyAlignment="1">
      <alignment horizontal="left" vertical="center" indent="2"/>
    </xf>
    <xf numFmtId="3" fontId="124" fillId="0" borderId="0" xfId="2674" applyNumberFormat="1" applyFont="1" applyAlignment="1">
      <alignment horizontal="right" vertical="center"/>
    </xf>
    <xf numFmtId="0" fontId="113" fillId="0" borderId="0" xfId="2674" applyFont="1" applyAlignment="1">
      <alignment vertical="center"/>
    </xf>
    <xf numFmtId="167" fontId="15" fillId="0" borderId="22" xfId="2674" applyNumberFormat="1" applyFont="1" applyBorder="1" applyAlignment="1">
      <alignment vertical="center"/>
    </xf>
    <xf numFmtId="0" fontId="15" fillId="0" borderId="22" xfId="2674" applyFont="1" applyBorder="1" applyAlignment="1">
      <alignment horizontal="left" indent="2"/>
    </xf>
    <xf numFmtId="167" fontId="15" fillId="0" borderId="22" xfId="2674" applyNumberFormat="1" applyFont="1" applyBorder="1"/>
    <xf numFmtId="0" fontId="118" fillId="2" borderId="0" xfId="2674" applyFont="1" applyFill="1" applyAlignment="1">
      <alignment vertical="center"/>
    </xf>
    <xf numFmtId="2" fontId="114" fillId="0" borderId="0" xfId="2674" applyNumberFormat="1" applyFont="1" applyBorder="1" applyAlignment="1">
      <alignment vertical="center"/>
    </xf>
    <xf numFmtId="2" fontId="114" fillId="0" borderId="22" xfId="2674" applyNumberFormat="1" applyFont="1" applyBorder="1" applyAlignment="1">
      <alignment vertical="center"/>
    </xf>
    <xf numFmtId="0" fontId="114" fillId="0" borderId="0" xfId="2674" applyFont="1" applyBorder="1" applyAlignment="1">
      <alignment vertical="center"/>
    </xf>
    <xf numFmtId="166" fontId="119" fillId="0" borderId="22" xfId="2674" applyNumberFormat="1" applyFont="1" applyBorder="1" applyAlignment="1">
      <alignment vertical="center"/>
    </xf>
    <xf numFmtId="0" fontId="119" fillId="0" borderId="22" xfId="2674" applyFont="1" applyBorder="1" applyAlignment="1">
      <alignment horizontal="left" vertical="center" indent="1"/>
    </xf>
    <xf numFmtId="166" fontId="256" fillId="0" borderId="0" xfId="2674" applyNumberFormat="1" applyFont="1" applyBorder="1" applyAlignment="1">
      <alignment vertical="center"/>
    </xf>
    <xf numFmtId="0" fontId="256" fillId="0" borderId="0" xfId="2674" applyFont="1" applyBorder="1" applyAlignment="1">
      <alignment horizontal="left" vertical="center" indent="1"/>
    </xf>
    <xf numFmtId="166" fontId="119" fillId="0" borderId="0" xfId="2674" applyNumberFormat="1" applyFont="1" applyBorder="1" applyAlignment="1">
      <alignment vertical="center"/>
    </xf>
    <xf numFmtId="3" fontId="113" fillId="0" borderId="0" xfId="2674" applyNumberFormat="1" applyFont="1" applyAlignment="1">
      <alignment vertical="center"/>
    </xf>
    <xf numFmtId="0" fontId="113" fillId="0" borderId="0" xfId="2674" applyFont="1" applyAlignment="1">
      <alignment horizontal="left" vertical="center" indent="1"/>
    </xf>
    <xf numFmtId="3" fontId="113" fillId="0" borderId="0" xfId="2674" applyNumberFormat="1" applyFont="1" applyFill="1" applyBorder="1" applyAlignment="1">
      <alignment vertical="center"/>
    </xf>
    <xf numFmtId="0" fontId="295" fillId="0" borderId="0" xfId="2674" applyFont="1"/>
    <xf numFmtId="0" fontId="113" fillId="0" borderId="23" xfId="2674" applyFont="1" applyBorder="1" applyAlignment="1">
      <alignment vertical="center"/>
    </xf>
    <xf numFmtId="0" fontId="256" fillId="0" borderId="0" xfId="2674" applyFont="1"/>
    <xf numFmtId="167" fontId="296" fillId="0" borderId="0" xfId="2674" applyNumberFormat="1" applyFont="1" applyAlignment="1">
      <alignment horizontal="right" vertical="center"/>
    </xf>
    <xf numFmtId="167" fontId="256" fillId="0" borderId="0" xfId="2674" applyNumberFormat="1" applyFont="1"/>
    <xf numFmtId="167" fontId="256" fillId="0" borderId="22" xfId="2674" applyNumberFormat="1" applyFont="1" applyBorder="1"/>
    <xf numFmtId="0" fontId="256" fillId="0" borderId="22" xfId="2674" applyFont="1" applyBorder="1"/>
    <xf numFmtId="167" fontId="297" fillId="0" borderId="0" xfId="2674" applyNumberFormat="1" applyFont="1"/>
    <xf numFmtId="0" fontId="297" fillId="0" borderId="0" xfId="2674" applyFont="1"/>
    <xf numFmtId="0" fontId="292" fillId="2" borderId="0" xfId="2674" applyFont="1" applyFill="1" applyAlignment="1">
      <alignment horizontal="center" vertical="center"/>
    </xf>
    <xf numFmtId="0" fontId="298" fillId="0" borderId="0" xfId="2674" applyFont="1"/>
    <xf numFmtId="4" fontId="113" fillId="0" borderId="0" xfId="2674" applyNumberFormat="1" applyFont="1"/>
    <xf numFmtId="2" fontId="113" fillId="0" borderId="22" xfId="2674" applyNumberFormat="1" applyFont="1" applyBorder="1" applyAlignment="1">
      <alignment horizontal="center"/>
    </xf>
    <xf numFmtId="4" fontId="113" fillId="0" borderId="22" xfId="2674" applyNumberFormat="1" applyFont="1" applyBorder="1" applyAlignment="1">
      <alignment horizontal="center"/>
    </xf>
    <xf numFmtId="3" fontId="113" fillId="0" borderId="22" xfId="2674" applyNumberFormat="1" applyFont="1" applyFill="1" applyBorder="1" applyAlignment="1">
      <alignment horizontal="center"/>
    </xf>
    <xf numFmtId="2" fontId="113" fillId="0" borderId="0" xfId="2674" applyNumberFormat="1" applyFont="1" applyAlignment="1">
      <alignment horizontal="center"/>
    </xf>
    <xf numFmtId="4" fontId="113" fillId="0" borderId="0" xfId="2674" applyNumberFormat="1" applyFont="1" applyAlignment="1">
      <alignment horizontal="center"/>
    </xf>
    <xf numFmtId="3" fontId="113" fillId="0" borderId="0" xfId="2674" applyNumberFormat="1" applyFont="1" applyFill="1" applyAlignment="1">
      <alignment horizontal="center"/>
    </xf>
    <xf numFmtId="0" fontId="113" fillId="0" borderId="0" xfId="2674" applyFont="1" applyAlignment="1">
      <alignment horizontal="center"/>
    </xf>
    <xf numFmtId="4" fontId="119" fillId="0" borderId="0" xfId="2674" applyNumberFormat="1" applyFont="1" applyAlignment="1">
      <alignment horizontal="center"/>
    </xf>
    <xf numFmtId="3" fontId="119" fillId="0" borderId="0" xfId="2674" applyNumberFormat="1" applyFont="1" applyAlignment="1">
      <alignment horizontal="center"/>
    </xf>
    <xf numFmtId="0" fontId="119" fillId="0" borderId="0" xfId="2674" applyFont="1"/>
    <xf numFmtId="0" fontId="112" fillId="2" borderId="0" xfId="2674" applyFont="1" applyFill="1"/>
    <xf numFmtId="0" fontId="118" fillId="2" borderId="0" xfId="2674" applyFont="1" applyFill="1" applyAlignment="1">
      <alignment horizontal="center"/>
    </xf>
    <xf numFmtId="0" fontId="118" fillId="2" borderId="0" xfId="2674" applyFont="1" applyFill="1"/>
    <xf numFmtId="0" fontId="297" fillId="0" borderId="22" xfId="2674" applyFont="1" applyBorder="1"/>
    <xf numFmtId="167" fontId="297" fillId="0" borderId="0" xfId="2674" applyNumberFormat="1" applyFont="1" applyAlignment="1"/>
    <xf numFmtId="167" fontId="256" fillId="0" borderId="0" xfId="2674" applyNumberFormat="1" applyFont="1" applyAlignment="1"/>
    <xf numFmtId="167" fontId="256" fillId="0" borderId="0" xfId="2674" applyNumberFormat="1" applyFont="1" applyFill="1" applyAlignment="1"/>
    <xf numFmtId="0" fontId="292" fillId="2" borderId="0" xfId="2674" applyFont="1" applyFill="1" applyAlignment="1"/>
    <xf numFmtId="214" fontId="256" fillId="0" borderId="0" xfId="2674" applyNumberFormat="1" applyFont="1"/>
    <xf numFmtId="0" fontId="110" fillId="0" borderId="0" xfId="2674" applyFont="1"/>
    <xf numFmtId="167" fontId="109" fillId="0" borderId="22" xfId="2674" applyNumberFormat="1" applyFont="1" applyFill="1" applyBorder="1"/>
    <xf numFmtId="0" fontId="109" fillId="0" borderId="22" xfId="2674" applyFont="1" applyBorder="1"/>
    <xf numFmtId="3" fontId="110" fillId="0" borderId="0" xfId="2674" applyNumberFormat="1" applyFont="1" applyFill="1" applyBorder="1"/>
    <xf numFmtId="0" fontId="110" fillId="0" borderId="0" xfId="2674" applyFont="1" applyBorder="1"/>
    <xf numFmtId="167" fontId="110" fillId="0" borderId="0" xfId="2674" applyNumberFormat="1" applyFont="1"/>
    <xf numFmtId="3" fontId="110" fillId="0" borderId="0" xfId="2674" applyNumberFormat="1" applyFont="1"/>
    <xf numFmtId="3" fontId="110" fillId="0" borderId="0" xfId="2674" applyNumberFormat="1" applyFont="1" applyFill="1"/>
    <xf numFmtId="0" fontId="111" fillId="2" borderId="0" xfId="2674" applyFont="1" applyFill="1"/>
    <xf numFmtId="166" fontId="110" fillId="0" borderId="0" xfId="2674" applyNumberFormat="1" applyFont="1"/>
    <xf numFmtId="167" fontId="113" fillId="0" borderId="0" xfId="2674" applyNumberFormat="1" applyFont="1" applyBorder="1"/>
    <xf numFmtId="0" fontId="113" fillId="0" borderId="0" xfId="2674" applyFont="1" applyBorder="1"/>
    <xf numFmtId="167" fontId="113" fillId="0" borderId="0" xfId="2674" applyNumberFormat="1" applyFont="1"/>
    <xf numFmtId="0" fontId="110" fillId="2" borderId="0" xfId="2674" applyFont="1" applyFill="1"/>
    <xf numFmtId="0" fontId="117" fillId="0" borderId="0" xfId="2674" applyFont="1" applyBorder="1" applyAlignment="1">
      <alignment vertical="center" wrapText="1"/>
    </xf>
    <xf numFmtId="0" fontId="1" fillId="0" borderId="0" xfId="2674" applyBorder="1"/>
    <xf numFmtId="0" fontId="113" fillId="0" borderId="0" xfId="2674" applyFont="1" applyAlignment="1">
      <alignment horizontal="center" vertical="center"/>
    </xf>
    <xf numFmtId="166" fontId="113" fillId="0" borderId="74" xfId="2674" applyNumberFormat="1" applyFont="1" applyBorder="1" applyAlignment="1">
      <alignment horizontal="center"/>
    </xf>
    <xf numFmtId="166" fontId="113" fillId="0" borderId="22" xfId="2674" applyNumberFormat="1" applyFont="1" applyBorder="1" applyAlignment="1">
      <alignment horizontal="center"/>
    </xf>
    <xf numFmtId="0" fontId="113" fillId="0" borderId="22" xfId="2674" applyFont="1" applyBorder="1" applyAlignment="1">
      <alignment horizontal="center"/>
    </xf>
    <xf numFmtId="166" fontId="119" fillId="0" borderId="60" xfId="2674" applyNumberFormat="1" applyFont="1" applyBorder="1" applyAlignment="1">
      <alignment horizontal="center"/>
    </xf>
    <xf numFmtId="166" fontId="113" fillId="0" borderId="0" xfId="2674" applyNumberFormat="1" applyFont="1" applyBorder="1" applyAlignment="1">
      <alignment horizontal="center"/>
    </xf>
    <xf numFmtId="166" fontId="113" fillId="0" borderId="0" xfId="2674" applyNumberFormat="1" applyFont="1" applyAlignment="1">
      <alignment horizontal="center"/>
    </xf>
    <xf numFmtId="0" fontId="118" fillId="2" borderId="0" xfId="2674" applyFont="1" applyFill="1" applyAlignment="1">
      <alignment horizontal="center" vertical="center" wrapText="1"/>
    </xf>
    <xf numFmtId="0" fontId="118" fillId="2" borderId="0" xfId="2674" applyFont="1" applyFill="1" applyAlignment="1">
      <alignment horizontal="center" vertical="center"/>
    </xf>
    <xf numFmtId="0" fontId="113" fillId="0" borderId="0" xfId="2674" applyFont="1" applyBorder="1" applyAlignment="1">
      <alignment horizontal="left"/>
    </xf>
    <xf numFmtId="4" fontId="1" fillId="0" borderId="0" xfId="2674" applyNumberFormat="1"/>
    <xf numFmtId="4" fontId="113" fillId="0" borderId="0" xfId="2674" applyNumberFormat="1" applyFont="1" applyBorder="1" applyAlignment="1">
      <alignment vertical="center"/>
    </xf>
    <xf numFmtId="4" fontId="113" fillId="0" borderId="22" xfId="2674" applyNumberFormat="1" applyFont="1" applyFill="1" applyBorder="1" applyAlignment="1">
      <alignment vertical="center"/>
    </xf>
    <xf numFmtId="0" fontId="113" fillId="0" borderId="22" xfId="2674" applyFont="1" applyFill="1" applyBorder="1" applyAlignment="1">
      <alignment horizontal="left"/>
    </xf>
    <xf numFmtId="167" fontId="113" fillId="0" borderId="0" xfId="2674" applyNumberFormat="1" applyFont="1" applyFill="1" applyBorder="1" applyAlignment="1">
      <alignment vertical="center"/>
    </xf>
    <xf numFmtId="0" fontId="113" fillId="0" borderId="0" xfId="2674" applyFont="1" applyFill="1" applyBorder="1" applyAlignment="1">
      <alignment horizontal="left"/>
    </xf>
    <xf numFmtId="4" fontId="113" fillId="0" borderId="0" xfId="2674" applyNumberFormat="1" applyFont="1" applyFill="1" applyBorder="1" applyAlignment="1">
      <alignment vertical="center"/>
    </xf>
    <xf numFmtId="0" fontId="119" fillId="0" borderId="0" xfId="2674" applyFont="1" applyBorder="1" applyAlignment="1">
      <alignment horizontal="left"/>
    </xf>
    <xf numFmtId="0" fontId="110" fillId="0" borderId="0" xfId="2674" applyFont="1" applyAlignment="1">
      <alignment vertical="center"/>
    </xf>
    <xf numFmtId="0" fontId="107" fillId="0" borderId="0" xfId="2674" applyFont="1" applyAlignment="1">
      <alignment vertical="center"/>
    </xf>
    <xf numFmtId="49" fontId="118" fillId="2" borderId="0" xfId="2674" applyNumberFormat="1" applyFont="1" applyFill="1" applyAlignment="1">
      <alignment horizontal="center" vertical="center"/>
    </xf>
    <xf numFmtId="0" fontId="3" fillId="0" borderId="0" xfId="2677"/>
    <xf numFmtId="0" fontId="113" fillId="0" borderId="0" xfId="2677" applyFont="1"/>
    <xf numFmtId="3" fontId="113" fillId="0" borderId="0" xfId="2677" applyNumberFormat="1" applyFont="1"/>
    <xf numFmtId="0" fontId="113" fillId="0" borderId="0" xfId="2677" applyFont="1" applyBorder="1"/>
    <xf numFmtId="167" fontId="113" fillId="0" borderId="22" xfId="2677" applyNumberFormat="1" applyFont="1" applyBorder="1" applyAlignment="1">
      <alignment horizontal="center" vertical="center"/>
    </xf>
    <xf numFmtId="0" fontId="113" fillId="0" borderId="22" xfId="2677" applyFont="1" applyBorder="1" applyAlignment="1">
      <alignment horizontal="left" vertical="center" indent="2"/>
    </xf>
    <xf numFmtId="167" fontId="113" fillId="0" borderId="0" xfId="2677" applyNumberFormat="1" applyFont="1" applyBorder="1" applyAlignment="1">
      <alignment horizontal="center" vertical="center"/>
    </xf>
    <xf numFmtId="167" fontId="113" fillId="0" borderId="0" xfId="2677" applyNumberFormat="1" applyFont="1" applyAlignment="1">
      <alignment horizontal="center" vertical="center"/>
    </xf>
    <xf numFmtId="0" fontId="113" fillId="0" borderId="0" xfId="2677" applyFont="1" applyAlignment="1">
      <alignment horizontal="left" vertical="center" indent="2"/>
    </xf>
    <xf numFmtId="167" fontId="3" fillId="0" borderId="0" xfId="2677" applyNumberFormat="1"/>
    <xf numFmtId="167" fontId="113" fillId="0" borderId="0" xfId="2677" applyNumberFormat="1" applyFont="1" applyBorder="1"/>
    <xf numFmtId="167" fontId="13" fillId="0" borderId="0" xfId="2677" applyNumberFormat="1" applyFont="1" applyAlignment="1">
      <alignment horizontal="center" vertical="center"/>
    </xf>
    <xf numFmtId="0" fontId="13" fillId="0" borderId="0" xfId="2677" applyFont="1" applyAlignment="1">
      <alignment vertical="center"/>
    </xf>
    <xf numFmtId="0" fontId="113" fillId="0" borderId="0" xfId="2677" applyFont="1" applyAlignment="1">
      <alignment vertical="center"/>
    </xf>
    <xf numFmtId="167" fontId="119" fillId="0" borderId="0" xfId="2677" applyNumberFormat="1" applyFont="1" applyAlignment="1">
      <alignment horizontal="center" vertical="center"/>
    </xf>
    <xf numFmtId="0" fontId="119" fillId="0" borderId="0" xfId="2677" applyFont="1" applyAlignment="1">
      <alignment vertical="center"/>
    </xf>
    <xf numFmtId="167" fontId="119" fillId="0" borderId="0" xfId="2677" applyNumberFormat="1" applyFont="1" applyBorder="1" applyAlignment="1">
      <alignment horizontal="center" vertical="center"/>
    </xf>
    <xf numFmtId="0" fontId="118" fillId="2" borderId="0" xfId="2677" applyFont="1" applyFill="1" applyAlignment="1">
      <alignment horizontal="center" vertical="center"/>
    </xf>
    <xf numFmtId="0" fontId="118" fillId="2" borderId="0" xfId="2677" applyFont="1" applyFill="1"/>
    <xf numFmtId="167" fontId="124" fillId="0" borderId="0" xfId="2667" applyNumberFormat="1" applyFont="1" applyFill="1" applyBorder="1" applyAlignment="1">
      <alignment horizontal="right" vertical="center" wrapText="1" indent="1"/>
    </xf>
    <xf numFmtId="11" fontId="124" fillId="0" borderId="0" xfId="2667" applyNumberFormat="1" applyFont="1" applyFill="1" applyBorder="1" applyAlignment="1">
      <alignment horizontal="left" vertical="center" indent="1"/>
    </xf>
    <xf numFmtId="11" fontId="123" fillId="0" borderId="0" xfId="2667" applyNumberFormat="1" applyFont="1" applyFill="1" applyBorder="1" applyAlignment="1">
      <alignment horizontal="left" vertical="center"/>
    </xf>
    <xf numFmtId="167" fontId="124" fillId="0" borderId="22" xfId="2667" applyNumberFormat="1" applyFont="1" applyFill="1" applyBorder="1" applyAlignment="1">
      <alignment horizontal="right" vertical="center" wrapText="1" indent="1"/>
    </xf>
    <xf numFmtId="11" fontId="124" fillId="0" borderId="22" xfId="2667" applyNumberFormat="1" applyFont="1" applyBorder="1" applyAlignment="1">
      <alignment horizontal="left" vertical="center" indent="1"/>
    </xf>
    <xf numFmtId="11" fontId="124" fillId="0" borderId="0" xfId="2667" applyNumberFormat="1" applyFont="1" applyBorder="1" applyAlignment="1">
      <alignment horizontal="left" vertical="center" indent="1"/>
    </xf>
    <xf numFmtId="0" fontId="119" fillId="0" borderId="0" xfId="2674" applyFont="1" applyFill="1"/>
    <xf numFmtId="0" fontId="113" fillId="0" borderId="0" xfId="2674" applyFont="1" applyFill="1"/>
    <xf numFmtId="0" fontId="117" fillId="0" borderId="0" xfId="2674" applyFont="1" applyFill="1"/>
    <xf numFmtId="167" fontId="113" fillId="0" borderId="22" xfId="2674" applyNumberFormat="1" applyFont="1" applyFill="1" applyBorder="1"/>
    <xf numFmtId="0" fontId="113" fillId="0" borderId="22" xfId="2674" applyFont="1" applyFill="1" applyBorder="1"/>
    <xf numFmtId="167" fontId="113" fillId="0" borderId="0" xfId="2674" applyNumberFormat="1" applyFont="1" applyFill="1"/>
    <xf numFmtId="167" fontId="119" fillId="0" borderId="0" xfId="2674" applyNumberFormat="1" applyFont="1" applyFill="1"/>
    <xf numFmtId="0" fontId="1" fillId="2" borderId="0" xfId="2674" applyFill="1"/>
    <xf numFmtId="166" fontId="1" fillId="0" borderId="0" xfId="2674" applyNumberFormat="1"/>
    <xf numFmtId="215" fontId="113" fillId="0" borderId="0" xfId="2674" applyNumberFormat="1" applyFont="1" applyFill="1"/>
    <xf numFmtId="11" fontId="113" fillId="0" borderId="0" xfId="2674" applyNumberFormat="1" applyFont="1" applyFill="1"/>
    <xf numFmtId="0" fontId="122" fillId="0" borderId="0" xfId="2667" applyFont="1" applyFill="1" applyAlignment="1">
      <alignment horizontal="right" vertical="center" wrapText="1" indent="1"/>
    </xf>
    <xf numFmtId="0" fontId="299" fillId="0" borderId="0" xfId="2674" applyFont="1" applyAlignment="1">
      <alignment vertical="center"/>
    </xf>
    <xf numFmtId="0" fontId="117" fillId="0" borderId="0" xfId="2674" applyFont="1" applyAlignment="1">
      <alignment horizontal="right" vertical="top" wrapText="1"/>
    </xf>
    <xf numFmtId="0" fontId="124" fillId="0" borderId="96" xfId="2674" applyFont="1" applyFill="1" applyBorder="1" applyAlignment="1">
      <alignment horizontal="center" vertical="center" wrapText="1"/>
    </xf>
    <xf numFmtId="0" fontId="124" fillId="0" borderId="50" xfId="2674" applyFont="1" applyBorder="1" applyAlignment="1">
      <alignment horizontal="center" vertical="center" wrapText="1"/>
    </xf>
    <xf numFmtId="0" fontId="113" fillId="0" borderId="50" xfId="2674" applyFont="1" applyBorder="1" applyAlignment="1">
      <alignment horizontal="center" vertical="center" wrapText="1"/>
    </xf>
    <xf numFmtId="0" fontId="113" fillId="0" borderId="0" xfId="2674" applyFont="1" applyBorder="1" applyAlignment="1">
      <alignment horizontal="left" vertical="center" wrapText="1"/>
    </xf>
    <xf numFmtId="0" fontId="124" fillId="0" borderId="21" xfId="2674" applyFont="1" applyFill="1" applyBorder="1" applyAlignment="1">
      <alignment horizontal="center" vertical="center" wrapText="1"/>
    </xf>
    <xf numFmtId="0" fontId="124" fillId="0" borderId="97" xfId="2674" applyFont="1" applyBorder="1" applyAlignment="1">
      <alignment horizontal="center" vertical="center" wrapText="1"/>
    </xf>
    <xf numFmtId="0" fontId="113" fillId="0" borderId="97" xfId="2674" applyFont="1" applyBorder="1" applyAlignment="1">
      <alignment horizontal="center" vertical="center" wrapText="1"/>
    </xf>
    <xf numFmtId="0" fontId="113" fillId="0" borderId="95" xfId="2674" applyFont="1" applyBorder="1" applyAlignment="1">
      <alignment horizontal="left" vertical="center" wrapText="1"/>
    </xf>
    <xf numFmtId="0" fontId="124" fillId="0" borderId="95" xfId="2674" applyFont="1" applyBorder="1" applyAlignment="1">
      <alignment horizontal="center" vertical="center" wrapText="1"/>
    </xf>
    <xf numFmtId="0" fontId="113" fillId="0" borderId="95" xfId="2674" applyFont="1" applyBorder="1" applyAlignment="1">
      <alignment horizontal="center" vertical="center" wrapText="1"/>
    </xf>
    <xf numFmtId="0" fontId="113" fillId="0" borderId="97" xfId="2674" applyFont="1" applyBorder="1" applyAlignment="1">
      <alignment horizontal="left" vertical="center" wrapText="1"/>
    </xf>
    <xf numFmtId="3" fontId="276" fillId="0" borderId="0" xfId="2674" applyNumberFormat="1" applyFont="1"/>
    <xf numFmtId="0" fontId="276" fillId="0" borderId="0" xfId="2674" applyFont="1"/>
    <xf numFmtId="0" fontId="1" fillId="0" borderId="0" xfId="2674" applyAlignment="1">
      <alignment horizontal="right"/>
    </xf>
    <xf numFmtId="0" fontId="122" fillId="2" borderId="0" xfId="2674" applyFont="1" applyFill="1" applyBorder="1" applyAlignment="1">
      <alignment vertical="center" wrapText="1"/>
    </xf>
    <xf numFmtId="1" fontId="113" fillId="0" borderId="96" xfId="2676" applyNumberFormat="1" applyFont="1" applyFill="1" applyBorder="1" applyAlignment="1">
      <alignment horizontal="center" vertical="center" wrapText="1"/>
    </xf>
    <xf numFmtId="1" fontId="113" fillId="0" borderId="97" xfId="2676" applyNumberFormat="1" applyFont="1" applyFill="1" applyBorder="1" applyAlignment="1">
      <alignment horizontal="center" vertical="center" wrapText="1"/>
    </xf>
    <xf numFmtId="0" fontId="113" fillId="0" borderId="97" xfId="2676" applyFont="1" applyBorder="1" applyAlignment="1">
      <alignment horizontal="center" vertical="center" wrapText="1"/>
    </xf>
    <xf numFmtId="0" fontId="113" fillId="0" borderId="96" xfId="2676" applyFont="1" applyFill="1" applyBorder="1" applyAlignment="1">
      <alignment horizontal="center" vertical="center" wrapText="1"/>
    </xf>
    <xf numFmtId="0" fontId="113" fillId="0" borderId="97" xfId="2676" applyFont="1" applyFill="1" applyBorder="1" applyAlignment="1">
      <alignment horizontal="center" vertical="center" wrapText="1"/>
    </xf>
    <xf numFmtId="0" fontId="113" fillId="0" borderId="50" xfId="2676" applyFont="1" applyBorder="1" applyAlignment="1">
      <alignment horizontal="center" vertical="center" wrapText="1"/>
    </xf>
    <xf numFmtId="0" fontId="113" fillId="0" borderId="0" xfId="2674" applyFont="1" applyBorder="1" applyAlignment="1">
      <alignment vertical="center" wrapText="1"/>
    </xf>
    <xf numFmtId="1" fontId="113" fillId="0" borderId="50" xfId="2676" applyNumberFormat="1" applyFont="1" applyFill="1" applyBorder="1" applyAlignment="1">
      <alignment horizontal="center" vertical="center" wrapText="1"/>
    </xf>
    <xf numFmtId="1" fontId="113" fillId="0" borderId="94" xfId="2676" applyNumberFormat="1" applyFont="1" applyFill="1" applyBorder="1" applyAlignment="1">
      <alignment horizontal="center" vertical="center" wrapText="1"/>
    </xf>
    <xf numFmtId="0" fontId="113" fillId="0" borderId="95" xfId="2674" applyFont="1" applyBorder="1" applyAlignment="1">
      <alignment vertical="center" wrapText="1"/>
    </xf>
    <xf numFmtId="1" fontId="113" fillId="0" borderId="97" xfId="2674" applyNumberFormat="1" applyFont="1" applyFill="1" applyBorder="1" applyAlignment="1">
      <alignment horizontal="center" vertical="center" wrapText="1"/>
    </xf>
    <xf numFmtId="1" fontId="113" fillId="0" borderId="97" xfId="2674" applyNumberFormat="1" applyFont="1" applyBorder="1" applyAlignment="1">
      <alignment horizontal="center" vertical="center" wrapText="1"/>
    </xf>
    <xf numFmtId="0" fontId="113" fillId="0" borderId="50" xfId="2676" applyFont="1" applyBorder="1" applyAlignment="1">
      <alignment vertical="center" wrapText="1"/>
    </xf>
    <xf numFmtId="1" fontId="113" fillId="0" borderId="96" xfId="2676" applyNumberFormat="1" applyFont="1" applyBorder="1" applyAlignment="1">
      <alignment horizontal="center" vertical="center" wrapText="1"/>
    </xf>
    <xf numFmtId="3" fontId="113" fillId="0" borderId="96" xfId="2676" applyNumberFormat="1" applyFont="1" applyFill="1" applyBorder="1" applyAlignment="1">
      <alignment horizontal="center" vertical="center" wrapText="1"/>
    </xf>
    <xf numFmtId="0" fontId="113" fillId="0" borderId="96" xfId="2676" applyFont="1" applyBorder="1" applyAlignment="1">
      <alignment horizontal="center" vertical="center" wrapText="1"/>
    </xf>
    <xf numFmtId="0" fontId="124" fillId="0" borderId="0" xfId="2674" applyFont="1" applyAlignment="1">
      <alignment wrapText="1"/>
    </xf>
    <xf numFmtId="0" fontId="113" fillId="0" borderId="97" xfId="2676" applyFont="1" applyBorder="1" applyAlignment="1">
      <alignment vertical="center" wrapText="1"/>
    </xf>
    <xf numFmtId="0" fontId="113" fillId="0" borderId="97" xfId="2674" applyFont="1" applyFill="1" applyBorder="1" applyAlignment="1">
      <alignment horizontal="center" vertical="center" wrapText="1"/>
    </xf>
    <xf numFmtId="0" fontId="113" fillId="0" borderId="69" xfId="2674" applyFont="1" applyFill="1" applyBorder="1" applyAlignment="1">
      <alignment horizontal="center" vertical="center" wrapText="1"/>
    </xf>
    <xf numFmtId="0" fontId="113" fillId="0" borderId="78" xfId="2674" applyFont="1" applyFill="1" applyBorder="1" applyAlignment="1">
      <alignment horizontal="center" vertical="center" wrapText="1"/>
    </xf>
    <xf numFmtId="0" fontId="113" fillId="0" borderId="78" xfId="2674" applyFont="1" applyBorder="1" applyAlignment="1">
      <alignment vertical="center" wrapText="1"/>
    </xf>
    <xf numFmtId="3" fontId="113" fillId="0" borderId="77" xfId="2674" applyNumberFormat="1" applyFont="1" applyFill="1" applyBorder="1" applyAlignment="1">
      <alignment horizontal="center" vertical="center" wrapText="1"/>
    </xf>
    <xf numFmtId="0" fontId="113" fillId="0" borderId="77" xfId="2674" applyFont="1" applyFill="1" applyBorder="1" applyAlignment="1">
      <alignment horizontal="center" vertical="center" wrapText="1"/>
    </xf>
    <xf numFmtId="1" fontId="113" fillId="0" borderId="94" xfId="2674" applyNumberFormat="1" applyFont="1" applyFill="1" applyBorder="1" applyAlignment="1">
      <alignment horizontal="center" vertical="center" wrapText="1"/>
    </xf>
    <xf numFmtId="0" fontId="113" fillId="0" borderId="94" xfId="2674" applyFont="1" applyBorder="1" applyAlignment="1">
      <alignment horizontal="center" vertical="center" wrapText="1"/>
    </xf>
    <xf numFmtId="0" fontId="113" fillId="0" borderId="54" xfId="2674" applyFont="1" applyBorder="1" applyAlignment="1">
      <alignment vertical="center" wrapText="1"/>
    </xf>
    <xf numFmtId="0" fontId="113" fillId="0" borderId="21" xfId="2674" applyFont="1" applyFill="1" applyBorder="1" applyAlignment="1">
      <alignment horizontal="center" vertical="center" wrapText="1"/>
    </xf>
    <xf numFmtId="1" fontId="113" fillId="0" borderId="78" xfId="2674" applyNumberFormat="1" applyFont="1" applyFill="1" applyBorder="1" applyAlignment="1">
      <alignment horizontal="center" vertical="center" wrapText="1"/>
    </xf>
    <xf numFmtId="1" fontId="113" fillId="0" borderId="77" xfId="2674" applyNumberFormat="1" applyFont="1" applyBorder="1" applyAlignment="1">
      <alignment horizontal="center" vertical="center" wrapText="1"/>
    </xf>
    <xf numFmtId="0" fontId="113" fillId="0" borderId="65" xfId="2674" applyFont="1" applyBorder="1" applyAlignment="1">
      <alignment horizontal="left" vertical="center" wrapText="1" indent="1"/>
    </xf>
    <xf numFmtId="1" fontId="113" fillId="0" borderId="77" xfId="2674" applyNumberFormat="1" applyFont="1" applyFill="1" applyBorder="1" applyAlignment="1">
      <alignment horizontal="center" vertical="center" wrapText="1"/>
    </xf>
    <xf numFmtId="1" fontId="113" fillId="0" borderId="94" xfId="2674" applyNumberFormat="1" applyFont="1" applyBorder="1" applyAlignment="1">
      <alignment horizontal="center" vertical="center" wrapText="1"/>
    </xf>
    <xf numFmtId="0" fontId="113" fillId="0" borderId="65" xfId="2674" applyFont="1" applyBorder="1" applyAlignment="1">
      <alignment vertical="center" wrapText="1"/>
    </xf>
    <xf numFmtId="49" fontId="122" fillId="2" borderId="0" xfId="2674" applyNumberFormat="1" applyFont="1" applyFill="1" applyAlignment="1">
      <alignment horizontal="center" vertical="center"/>
    </xf>
    <xf numFmtId="49" fontId="122" fillId="2" borderId="0" xfId="2674" applyNumberFormat="1" applyFont="1" applyFill="1" applyBorder="1" applyAlignment="1">
      <alignment horizontal="center" vertical="center"/>
    </xf>
    <xf numFmtId="0" fontId="122" fillId="2" borderId="101" xfId="2674" applyFont="1" applyFill="1" applyBorder="1" applyAlignment="1">
      <alignment vertical="center"/>
    </xf>
    <xf numFmtId="0" fontId="13" fillId="0" borderId="22" xfId="2674" applyFont="1" applyBorder="1" applyAlignment="1">
      <alignment horizontal="center" vertical="center" wrapText="1"/>
    </xf>
    <xf numFmtId="0" fontId="13" fillId="0" borderId="22" xfId="2674" applyFont="1" applyBorder="1" applyAlignment="1">
      <alignment horizontal="justify" vertical="center" wrapText="1"/>
    </xf>
    <xf numFmtId="0" fontId="119" fillId="0" borderId="0" xfId="2674" applyFont="1" applyAlignment="1">
      <alignment horizontal="center" vertical="center" wrapText="1"/>
    </xf>
    <xf numFmtId="0" fontId="119" fillId="0" borderId="0" xfId="2674" applyFont="1" applyAlignment="1">
      <alignment horizontal="justify" vertical="center" wrapText="1"/>
    </xf>
    <xf numFmtId="0" fontId="300" fillId="0" borderId="22" xfId="2674" applyFont="1" applyBorder="1" applyAlignment="1">
      <alignment horizontal="center" vertical="center" wrapText="1"/>
    </xf>
    <xf numFmtId="0" fontId="114" fillId="0" borderId="22" xfId="2674" applyFont="1" applyBorder="1" applyAlignment="1">
      <alignment horizontal="center" vertical="center" wrapText="1"/>
    </xf>
    <xf numFmtId="0" fontId="301" fillId="0" borderId="22" xfId="2674" applyFont="1" applyBorder="1" applyAlignment="1">
      <alignment horizontal="center" vertical="center" wrapText="1"/>
    </xf>
    <xf numFmtId="0" fontId="113" fillId="0" borderId="22" xfId="2674" applyFont="1" applyBorder="1" applyAlignment="1">
      <alignment horizontal="center" vertical="center" wrapText="1"/>
    </xf>
    <xf numFmtId="0" fontId="113" fillId="0" borderId="22" xfId="2674" applyFont="1" applyBorder="1" applyAlignment="1">
      <alignment horizontal="justify" vertical="center" wrapText="1"/>
    </xf>
    <xf numFmtId="0" fontId="114" fillId="0" borderId="0" xfId="2674" applyFont="1" applyAlignment="1">
      <alignment horizontal="center" vertical="center" wrapText="1"/>
    </xf>
    <xf numFmtId="0" fontId="113" fillId="0" borderId="0" xfId="2674" applyFont="1" applyAlignment="1">
      <alignment horizontal="center" vertical="center" wrapText="1"/>
    </xf>
    <xf numFmtId="0" fontId="113" fillId="0" borderId="0" xfId="2674" applyFont="1" applyAlignment="1">
      <alignment horizontal="justify" vertical="center" wrapText="1"/>
    </xf>
    <xf numFmtId="0" fontId="119" fillId="0" borderId="0" xfId="2674" applyFont="1" applyBorder="1" applyAlignment="1">
      <alignment horizontal="center" vertical="center" wrapText="1"/>
    </xf>
    <xf numFmtId="0" fontId="13" fillId="0" borderId="0" xfId="2674" applyFont="1" applyBorder="1" applyAlignment="1">
      <alignment horizontal="center" vertical="center" wrapText="1"/>
    </xf>
    <xf numFmtId="0" fontId="13" fillId="0" borderId="0" xfId="2674" applyFont="1" applyBorder="1" applyAlignment="1">
      <alignment vertical="center" wrapText="1"/>
    </xf>
    <xf numFmtId="0" fontId="177" fillId="0" borderId="22" xfId="2674" applyFont="1" applyBorder="1" applyAlignment="1">
      <alignment horizontal="center" vertical="center" wrapText="1"/>
    </xf>
    <xf numFmtId="0" fontId="177" fillId="0" borderId="0" xfId="2674" applyFont="1" applyAlignment="1">
      <alignment horizontal="center" vertical="center" wrapText="1"/>
    </xf>
    <xf numFmtId="0" fontId="119" fillId="0" borderId="22" xfId="2674" applyFont="1" applyBorder="1" applyAlignment="1">
      <alignment horizontal="center" vertical="center" wrapText="1"/>
    </xf>
    <xf numFmtId="0" fontId="121" fillId="2" borderId="0" xfId="2674" applyFont="1" applyFill="1" applyBorder="1" applyAlignment="1">
      <alignment horizontal="justify" vertical="center" wrapText="1"/>
    </xf>
    <xf numFmtId="0" fontId="302" fillId="0" borderId="0" xfId="2678"/>
    <xf numFmtId="49" fontId="1" fillId="0" borderId="0" xfId="2674" applyNumberFormat="1"/>
    <xf numFmtId="216" fontId="256" fillId="0" borderId="74" xfId="2674" applyNumberFormat="1" applyFont="1" applyFill="1" applyBorder="1"/>
    <xf numFmtId="216" fontId="256" fillId="0" borderId="69" xfId="2674" applyNumberFormat="1" applyFont="1" applyFill="1" applyBorder="1"/>
    <xf numFmtId="216" fontId="303" fillId="0" borderId="78" xfId="2674" applyNumberFormat="1" applyFont="1" applyFill="1" applyBorder="1"/>
    <xf numFmtId="216" fontId="304" fillId="0" borderId="78" xfId="2674" applyNumberFormat="1" applyFont="1" applyFill="1" applyBorder="1"/>
    <xf numFmtId="216" fontId="304" fillId="0" borderId="74" xfId="2674" applyNumberFormat="1" applyFont="1" applyFill="1" applyBorder="1"/>
    <xf numFmtId="216" fontId="304" fillId="0" borderId="69" xfId="2674" applyNumberFormat="1" applyFont="1" applyFill="1" applyBorder="1"/>
    <xf numFmtId="217" fontId="304" fillId="0" borderId="78" xfId="2674" applyNumberFormat="1" applyFont="1" applyFill="1" applyBorder="1"/>
    <xf numFmtId="216" fontId="256" fillId="0" borderId="65" xfId="2674" applyNumberFormat="1" applyFont="1" applyFill="1" applyBorder="1"/>
    <xf numFmtId="216" fontId="256" fillId="0" borderId="60" xfId="2674" applyNumberFormat="1" applyFont="1" applyFill="1" applyBorder="1"/>
    <xf numFmtId="216" fontId="303" fillId="0" borderId="77" xfId="2674" applyNumberFormat="1" applyFont="1" applyFill="1" applyBorder="1"/>
    <xf numFmtId="216" fontId="304" fillId="0" borderId="77" xfId="2674" applyNumberFormat="1" applyFont="1" applyFill="1" applyBorder="1"/>
    <xf numFmtId="216" fontId="304" fillId="0" borderId="65" xfId="2674" applyNumberFormat="1" applyFont="1" applyFill="1" applyBorder="1"/>
    <xf numFmtId="216" fontId="304" fillId="0" borderId="60" xfId="2674" applyNumberFormat="1" applyFont="1" applyFill="1" applyBorder="1"/>
    <xf numFmtId="217" fontId="304" fillId="0" borderId="77" xfId="2674" applyNumberFormat="1" applyFont="1" applyFill="1" applyBorder="1"/>
    <xf numFmtId="217" fontId="304" fillId="0" borderId="94" xfId="2674" applyNumberFormat="1" applyFont="1" applyFill="1" applyBorder="1"/>
    <xf numFmtId="218" fontId="305" fillId="2" borderId="0" xfId="2674" quotePrefix="1" applyNumberFormat="1" applyFont="1" applyFill="1" applyBorder="1" applyAlignment="1">
      <alignment horizontal="center" vertical="center" wrapText="1"/>
    </xf>
    <xf numFmtId="218" fontId="305" fillId="2" borderId="0" xfId="2674" applyNumberFormat="1" applyFont="1" applyFill="1" applyBorder="1" applyAlignment="1">
      <alignment horizontal="center" vertical="center" wrapText="1"/>
    </xf>
    <xf numFmtId="218" fontId="305" fillId="2" borderId="102" xfId="2674" applyNumberFormat="1" applyFont="1" applyFill="1" applyBorder="1" applyAlignment="1">
      <alignment horizontal="center" vertical="center" wrapText="1"/>
    </xf>
    <xf numFmtId="218" fontId="305" fillId="2" borderId="103" xfId="2674" applyNumberFormat="1" applyFont="1" applyFill="1" applyBorder="1" applyAlignment="1">
      <alignment horizontal="center" vertical="center" wrapText="1"/>
    </xf>
    <xf numFmtId="218" fontId="305" fillId="2" borderId="80" xfId="2674" applyNumberFormat="1" applyFont="1" applyFill="1" applyBorder="1" applyAlignment="1">
      <alignment horizontal="center" vertical="center"/>
    </xf>
    <xf numFmtId="218" fontId="305" fillId="2" borderId="0" xfId="2674" applyNumberFormat="1" applyFont="1" applyFill="1" applyBorder="1" applyAlignment="1">
      <alignment horizontal="center" vertical="center"/>
    </xf>
    <xf numFmtId="218" fontId="305" fillId="2" borderId="80" xfId="2674" applyNumberFormat="1" applyFont="1" applyFill="1" applyBorder="1" applyAlignment="1">
      <alignment horizontal="center" vertical="center" wrapText="1"/>
    </xf>
    <xf numFmtId="218" fontId="305" fillId="2" borderId="104" xfId="2674" applyNumberFormat="1" applyFont="1" applyFill="1" applyBorder="1" applyAlignment="1">
      <alignment horizontal="center" vertical="center" wrapText="1"/>
    </xf>
    <xf numFmtId="0" fontId="1" fillId="0" borderId="0" xfId="2674" applyAlignment="1">
      <alignment horizontal="center"/>
    </xf>
    <xf numFmtId="218" fontId="305" fillId="2" borderId="105" xfId="2674" applyNumberFormat="1" applyFont="1" applyFill="1" applyBorder="1" applyAlignment="1">
      <alignment horizontal="center"/>
    </xf>
    <xf numFmtId="218" fontId="305" fillId="2" borderId="106" xfId="2674" applyNumberFormat="1" applyFont="1" applyFill="1" applyBorder="1" applyAlignment="1">
      <alignment horizontal="center"/>
    </xf>
    <xf numFmtId="218" fontId="305" fillId="2" borderId="48" xfId="2674" applyNumberFormat="1" applyFont="1" applyFill="1" applyBorder="1" applyAlignment="1">
      <alignment horizontal="center"/>
    </xf>
    <xf numFmtId="218" fontId="305" fillId="2" borderId="107" xfId="2674" applyNumberFormat="1" applyFont="1" applyFill="1" applyBorder="1" applyAlignment="1">
      <alignment horizontal="center"/>
    </xf>
    <xf numFmtId="218" fontId="306" fillId="2" borderId="108" xfId="2674" applyNumberFormat="1" applyFont="1" applyFill="1" applyBorder="1" applyAlignment="1">
      <alignment horizontal="center" vertical="center" wrapText="1"/>
    </xf>
    <xf numFmtId="218" fontId="306" fillId="2" borderId="81" xfId="2674" applyNumberFormat="1" applyFont="1" applyFill="1" applyBorder="1" applyAlignment="1">
      <alignment horizontal="center" vertical="center" wrapText="1"/>
    </xf>
    <xf numFmtId="218" fontId="306" fillId="2" borderId="109" xfId="2674" applyNumberFormat="1" applyFont="1" applyFill="1" applyBorder="1" applyAlignment="1">
      <alignment horizontal="center" vertical="center" wrapText="1"/>
    </xf>
    <xf numFmtId="1" fontId="297" fillId="0" borderId="22" xfId="2674" applyNumberFormat="1" applyFont="1" applyBorder="1"/>
    <xf numFmtId="1" fontId="256" fillId="0" borderId="0" xfId="2674" applyNumberFormat="1" applyFont="1"/>
    <xf numFmtId="3" fontId="256" fillId="0" borderId="0" xfId="2674" applyNumberFormat="1" applyFont="1"/>
    <xf numFmtId="0" fontId="292" fillId="2" borderId="0" xfId="2674" applyFont="1" applyFill="1"/>
    <xf numFmtId="0" fontId="1" fillId="0" borderId="0" xfId="2676"/>
    <xf numFmtId="0" fontId="113" fillId="0" borderId="0" xfId="2676" applyFont="1"/>
    <xf numFmtId="3" fontId="113" fillId="0" borderId="0" xfId="2676" applyNumberFormat="1" applyFont="1"/>
    <xf numFmtId="0" fontId="117" fillId="0" borderId="23" xfId="2676" applyFont="1" applyBorder="1" applyAlignment="1">
      <alignment horizontal="right" vertical="center"/>
    </xf>
    <xf numFmtId="0" fontId="117" fillId="0" borderId="23" xfId="2676" applyFont="1" applyBorder="1" applyAlignment="1"/>
    <xf numFmtId="0" fontId="117" fillId="0" borderId="0" xfId="2676" applyFont="1" applyAlignment="1">
      <alignment vertical="center"/>
    </xf>
    <xf numFmtId="2" fontId="113" fillId="0" borderId="22" xfId="2676" applyNumberFormat="1" applyFont="1" applyBorder="1" applyAlignment="1">
      <alignment vertical="center"/>
    </xf>
    <xf numFmtId="0" fontId="113" fillId="0" borderId="22" xfId="2676" applyFont="1" applyBorder="1"/>
    <xf numFmtId="208" fontId="113" fillId="0" borderId="0" xfId="2676" applyNumberFormat="1" applyFont="1"/>
    <xf numFmtId="211" fontId="113" fillId="0" borderId="0" xfId="2679" applyNumberFormat="1" applyFont="1" applyAlignment="1">
      <alignment vertical="center"/>
    </xf>
    <xf numFmtId="211" fontId="113" fillId="0" borderId="0" xfId="2679" applyNumberFormat="1" applyFont="1" applyAlignment="1">
      <alignment horizontal="right" vertical="center"/>
    </xf>
    <xf numFmtId="0" fontId="122" fillId="2" borderId="0" xfId="2676" applyFont="1" applyFill="1" applyAlignment="1">
      <alignment horizontal="right" vertical="center"/>
    </xf>
    <xf numFmtId="0" fontId="122" fillId="2" borderId="0" xfId="2676" applyFont="1" applyFill="1" applyAlignment="1">
      <alignment horizontal="center" vertical="center"/>
    </xf>
    <xf numFmtId="207" fontId="1" fillId="0" borderId="0" xfId="2674" applyNumberFormat="1"/>
    <xf numFmtId="0" fontId="117" fillId="0" borderId="0" xfId="2676" applyFont="1" applyBorder="1"/>
    <xf numFmtId="3" fontId="119" fillId="0" borderId="22" xfId="2676" applyNumberFormat="1" applyFont="1" applyBorder="1"/>
    <xf numFmtId="0" fontId="119" fillId="0" borderId="22" xfId="2676" applyFont="1" applyBorder="1"/>
    <xf numFmtId="3" fontId="119" fillId="0" borderId="0" xfId="2676" applyNumberFormat="1" applyFont="1"/>
    <xf numFmtId="0" fontId="119" fillId="0" borderId="0" xfId="2676" applyFont="1"/>
    <xf numFmtId="0" fontId="13" fillId="0" borderId="0" xfId="2676" applyFont="1"/>
    <xf numFmtId="3" fontId="177" fillId="0" borderId="0" xfId="2676" applyNumberFormat="1" applyFont="1" applyBorder="1" applyAlignment="1">
      <alignment horizontal="right"/>
    </xf>
    <xf numFmtId="0" fontId="296" fillId="0" borderId="0" xfId="2676" applyFont="1" applyBorder="1" applyAlignment="1">
      <alignment horizontal="right"/>
    </xf>
    <xf numFmtId="3" fontId="113" fillId="0" borderId="21" xfId="2676" applyNumberFormat="1" applyFont="1" applyBorder="1"/>
    <xf numFmtId="0" fontId="113" fillId="0" borderId="21" xfId="2676" applyFont="1" applyBorder="1"/>
    <xf numFmtId="49" fontId="122" fillId="2" borderId="0" xfId="2676" applyNumberFormat="1" applyFont="1" applyFill="1" applyBorder="1" applyAlignment="1">
      <alignment horizontal="center" vertical="center" wrapText="1"/>
    </xf>
    <xf numFmtId="49" fontId="122" fillId="2" borderId="23" xfId="2676" applyNumberFormat="1" applyFont="1" applyFill="1" applyBorder="1" applyAlignment="1">
      <alignment horizontal="center" vertical="center" wrapText="1"/>
    </xf>
    <xf numFmtId="49" fontId="122" fillId="2" borderId="54" xfId="2676" applyNumberFormat="1" applyFont="1" applyFill="1" applyBorder="1" applyAlignment="1">
      <alignment horizontal="center" vertical="center" wrapText="1"/>
    </xf>
    <xf numFmtId="49" fontId="122" fillId="2" borderId="50" xfId="2676" applyNumberFormat="1" applyFont="1" applyFill="1" applyBorder="1" applyAlignment="1">
      <alignment horizontal="center" vertical="center" wrapText="1"/>
    </xf>
    <xf numFmtId="0" fontId="122" fillId="2" borderId="50" xfId="2676" applyFont="1" applyFill="1" applyBorder="1" applyAlignment="1">
      <alignment vertical="center"/>
    </xf>
    <xf numFmtId="0" fontId="107" fillId="0" borderId="0" xfId="2676" applyFont="1" applyBorder="1" applyAlignment="1">
      <alignment horizontal="left" vertical="center"/>
    </xf>
    <xf numFmtId="207" fontId="113" fillId="0" borderId="0" xfId="2676" applyNumberFormat="1" applyFont="1" applyAlignment="1">
      <alignment vertical="center"/>
    </xf>
    <xf numFmtId="3" fontId="119" fillId="0" borderId="22" xfId="2676" applyNumberFormat="1" applyFont="1" applyBorder="1" applyAlignment="1">
      <alignment vertical="center"/>
    </xf>
    <xf numFmtId="0" fontId="119" fillId="0" borderId="22" xfId="2676" applyFont="1" applyBorder="1" applyAlignment="1">
      <alignment vertical="center"/>
    </xf>
    <xf numFmtId="3" fontId="113" fillId="0" borderId="22" xfId="2676" applyNumberFormat="1" applyFont="1" applyBorder="1" applyAlignment="1">
      <alignment vertical="center"/>
    </xf>
    <xf numFmtId="0" fontId="113" fillId="0" borderId="22" xfId="2676" applyFont="1" applyBorder="1" applyAlignment="1">
      <alignment vertical="center"/>
    </xf>
    <xf numFmtId="3" fontId="113" fillId="0" borderId="0" xfId="2676" applyNumberFormat="1" applyFont="1" applyBorder="1" applyAlignment="1">
      <alignment vertical="center"/>
    </xf>
    <xf numFmtId="0" fontId="113" fillId="0" borderId="0" xfId="2676" applyFont="1" applyAlignment="1">
      <alignment vertical="center"/>
    </xf>
    <xf numFmtId="3" fontId="119" fillId="0" borderId="0" xfId="2676" applyNumberFormat="1" applyFont="1" applyAlignment="1">
      <alignment vertical="center"/>
    </xf>
    <xf numFmtId="207" fontId="1" fillId="0" borderId="0" xfId="2676" applyNumberFormat="1"/>
    <xf numFmtId="0" fontId="113" fillId="0" borderId="0" xfId="2676" applyFont="1" applyBorder="1" applyAlignment="1">
      <alignment vertical="center"/>
    </xf>
    <xf numFmtId="3" fontId="113" fillId="0" borderId="22" xfId="2676" applyNumberFormat="1" applyFont="1" applyFill="1" applyBorder="1" applyAlignment="1">
      <alignment vertical="center"/>
    </xf>
    <xf numFmtId="214" fontId="1" fillId="0" borderId="0" xfId="2676" applyNumberFormat="1"/>
    <xf numFmtId="203" fontId="113" fillId="0" borderId="0" xfId="2674" applyNumberFormat="1" applyFont="1"/>
    <xf numFmtId="207" fontId="113" fillId="0" borderId="0" xfId="2674" applyNumberFormat="1" applyFont="1"/>
    <xf numFmtId="3" fontId="113" fillId="0" borderId="22" xfId="2674" applyNumberFormat="1" applyFont="1" applyBorder="1"/>
    <xf numFmtId="3" fontId="113" fillId="0" borderId="0" xfId="2674" applyNumberFormat="1" applyFont="1" applyBorder="1"/>
    <xf numFmtId="0" fontId="118" fillId="2" borderId="0" xfId="2674" applyFont="1" applyFill="1" applyAlignment="1">
      <alignment horizontal="right" vertical="center"/>
    </xf>
    <xf numFmtId="0" fontId="118" fillId="2" borderId="0" xfId="2674" applyFont="1" applyFill="1" applyAlignment="1">
      <alignment horizontal="left" vertical="center"/>
    </xf>
    <xf numFmtId="214" fontId="113" fillId="0" borderId="0" xfId="2674" applyNumberFormat="1" applyFont="1"/>
    <xf numFmtId="3" fontId="113" fillId="0" borderId="0" xfId="2674" applyNumberFormat="1" applyFont="1" applyFill="1"/>
    <xf numFmtId="167" fontId="113" fillId="0" borderId="21" xfId="2674" applyNumberFormat="1" applyFont="1" applyBorder="1" applyAlignment="1">
      <alignment vertical="center"/>
    </xf>
    <xf numFmtId="167" fontId="113" fillId="0" borderId="21" xfId="2674" applyNumberFormat="1" applyFont="1" applyBorder="1"/>
    <xf numFmtId="3" fontId="113" fillId="0" borderId="21" xfId="2674" applyNumberFormat="1" applyFont="1" applyBorder="1"/>
    <xf numFmtId="0" fontId="113" fillId="0" borderId="21" xfId="2674" applyFont="1" applyBorder="1"/>
    <xf numFmtId="167" fontId="113" fillId="0" borderId="22" xfId="2674" applyNumberFormat="1" applyFont="1" applyBorder="1" applyAlignment="1">
      <alignment horizontal="right"/>
    </xf>
    <xf numFmtId="167" fontId="113" fillId="0" borderId="0" xfId="2674" applyNumberFormat="1" applyFont="1" applyFill="1" applyBorder="1"/>
    <xf numFmtId="167" fontId="113" fillId="0" borderId="0" xfId="2674" applyNumberFormat="1" applyFont="1" applyBorder="1" applyAlignment="1">
      <alignment horizontal="right"/>
    </xf>
    <xf numFmtId="167" fontId="113" fillId="0" borderId="22" xfId="2674" applyNumberFormat="1" applyFont="1" applyFill="1" applyBorder="1" applyAlignment="1">
      <alignment vertical="center"/>
    </xf>
    <xf numFmtId="167" fontId="113" fillId="0" borderId="22" xfId="2674" applyNumberFormat="1" applyFont="1" applyBorder="1" applyAlignment="1">
      <alignment vertical="center"/>
    </xf>
    <xf numFmtId="3" fontId="113" fillId="0" borderId="22" xfId="2674" applyNumberFormat="1" applyFont="1" applyFill="1" applyBorder="1"/>
    <xf numFmtId="3" fontId="113" fillId="0" borderId="23" xfId="2674" applyNumberFormat="1" applyFont="1" applyBorder="1"/>
    <xf numFmtId="0" fontId="113" fillId="0" borderId="23" xfId="2674" applyFont="1" applyBorder="1"/>
    <xf numFmtId="3" fontId="113" fillId="0" borderId="22" xfId="2674" applyNumberFormat="1" applyFont="1" applyFill="1" applyBorder="1" applyAlignment="1">
      <alignment horizontal="right"/>
    </xf>
    <xf numFmtId="3" fontId="113" fillId="0" borderId="0" xfId="2674" applyNumberFormat="1" applyFont="1" applyFill="1" applyBorder="1" applyAlignment="1">
      <alignment horizontal="right"/>
    </xf>
    <xf numFmtId="3" fontId="113" fillId="0" borderId="0" xfId="2674" applyNumberFormat="1" applyFont="1" applyFill="1" applyBorder="1"/>
    <xf numFmtId="0" fontId="166" fillId="2" borderId="0" xfId="2674" applyFont="1" applyFill="1"/>
    <xf numFmtId="3" fontId="117" fillId="0" borderId="0" xfId="2674" applyNumberFormat="1" applyFont="1"/>
    <xf numFmtId="3" fontId="119" fillId="0" borderId="22" xfId="2674" applyNumberFormat="1" applyFont="1" applyBorder="1" applyAlignment="1">
      <alignment vertical="center"/>
    </xf>
    <xf numFmtId="0" fontId="1" fillId="0" borderId="21" xfId="2674" applyBorder="1"/>
    <xf numFmtId="203" fontId="1" fillId="0" borderId="0" xfId="2674" applyNumberFormat="1"/>
    <xf numFmtId="167" fontId="1" fillId="0" borderId="0" xfId="2674" applyNumberFormat="1"/>
    <xf numFmtId="0" fontId="1" fillId="0" borderId="22" xfId="2674" applyBorder="1"/>
    <xf numFmtId="0" fontId="119" fillId="0" borderId="0" xfId="2674" applyFont="1" applyBorder="1"/>
    <xf numFmtId="3" fontId="119" fillId="0" borderId="22" xfId="2674" applyNumberFormat="1" applyFont="1" applyFill="1" applyBorder="1"/>
    <xf numFmtId="3" fontId="119" fillId="0" borderId="22" xfId="2674" applyNumberFormat="1" applyFont="1" applyBorder="1"/>
    <xf numFmtId="0" fontId="119" fillId="0" borderId="22" xfId="2674" applyFont="1" applyBorder="1"/>
    <xf numFmtId="0" fontId="273" fillId="0" borderId="23" xfId="2674" applyFont="1" applyBorder="1" applyAlignment="1">
      <alignment horizontal="right" vertical="center"/>
    </xf>
    <xf numFmtId="0" fontId="113" fillId="0" borderId="0" xfId="2674" applyFont="1" applyAlignment="1">
      <alignment horizontal="left" vertical="center"/>
    </xf>
    <xf numFmtId="4" fontId="119" fillId="0" borderId="22" xfId="2674" applyNumberFormat="1" applyFont="1" applyBorder="1" applyAlignment="1">
      <alignment horizontal="center" vertical="center"/>
    </xf>
    <xf numFmtId="3" fontId="119" fillId="0" borderId="22" xfId="2674" applyNumberFormat="1" applyFont="1" applyBorder="1" applyAlignment="1">
      <alignment horizontal="center" vertical="center"/>
    </xf>
    <xf numFmtId="0" fontId="119" fillId="0" borderId="22" xfId="2674" applyFont="1" applyBorder="1" applyAlignment="1">
      <alignment horizontal="center" vertical="center"/>
    </xf>
    <xf numFmtId="0" fontId="119" fillId="0" borderId="22" xfId="2674" applyFont="1" applyBorder="1" applyAlignment="1">
      <alignment horizontal="left" vertical="center"/>
    </xf>
    <xf numFmtId="4" fontId="113" fillId="0" borderId="0" xfId="2674" applyNumberFormat="1" applyFont="1" applyAlignment="1">
      <alignment horizontal="center" vertical="center"/>
    </xf>
    <xf numFmtId="3" fontId="113" fillId="0" borderId="0" xfId="2674" applyNumberFormat="1" applyFont="1" applyAlignment="1">
      <alignment horizontal="center" vertical="center"/>
    </xf>
    <xf numFmtId="4" fontId="119" fillId="0" borderId="0" xfId="2674" applyNumberFormat="1" applyFont="1" applyAlignment="1">
      <alignment horizontal="center" vertical="center"/>
    </xf>
    <xf numFmtId="3" fontId="119" fillId="0" borderId="0" xfId="2674" applyNumberFormat="1" applyFont="1" applyAlignment="1">
      <alignment horizontal="center" vertical="center"/>
    </xf>
    <xf numFmtId="0" fontId="119" fillId="0" borderId="0" xfId="2674" applyFont="1" applyAlignment="1">
      <alignment horizontal="center" vertical="center"/>
    </xf>
    <xf numFmtId="0" fontId="119" fillId="0" borderId="0" xfId="2674" applyFont="1" applyAlignment="1">
      <alignment horizontal="left" vertical="center"/>
    </xf>
    <xf numFmtId="0" fontId="118" fillId="2" borderId="0" xfId="2680" applyFont="1" applyFill="1" applyBorder="1" applyAlignment="1">
      <alignment horizontal="center" vertical="center"/>
    </xf>
    <xf numFmtId="0" fontId="111" fillId="2" borderId="0" xfId="2680" applyFont="1" applyFill="1" applyBorder="1" applyAlignment="1">
      <alignment horizontal="left" vertical="center"/>
    </xf>
    <xf numFmtId="0" fontId="1" fillId="0" borderId="0" xfId="2674" applyAlignment="1">
      <alignment vertical="center"/>
    </xf>
    <xf numFmtId="0" fontId="273" fillId="0" borderId="0" xfId="2674" applyFont="1" applyAlignment="1">
      <alignment vertical="center"/>
    </xf>
    <xf numFmtId="2" fontId="119" fillId="0" borderId="22" xfId="2674" applyNumberFormat="1" applyFont="1" applyFill="1" applyBorder="1" applyAlignment="1">
      <alignment horizontal="center" vertical="center"/>
    </xf>
    <xf numFmtId="0" fontId="277" fillId="0" borderId="22" xfId="2674" applyFont="1" applyFill="1" applyBorder="1" applyAlignment="1">
      <alignment vertical="center"/>
    </xf>
    <xf numFmtId="0" fontId="119" fillId="0" borderId="22" xfId="2674" applyFont="1" applyFill="1" applyBorder="1" applyAlignment="1">
      <alignment vertical="center"/>
    </xf>
    <xf numFmtId="2" fontId="113" fillId="0" borderId="0" xfId="2674" applyNumberFormat="1" applyFont="1" applyAlignment="1">
      <alignment horizontal="center" vertical="center"/>
    </xf>
    <xf numFmtId="0" fontId="113" fillId="0" borderId="0" xfId="2674" applyFont="1" applyFill="1" applyBorder="1" applyAlignment="1">
      <alignment vertical="center"/>
    </xf>
    <xf numFmtId="0" fontId="113" fillId="0" borderId="0" xfId="2674" applyFont="1" applyFill="1" applyBorder="1"/>
    <xf numFmtId="0" fontId="14" fillId="0" borderId="0" xfId="2674" applyFont="1" applyFill="1" applyBorder="1"/>
    <xf numFmtId="0" fontId="118" fillId="2" borderId="0" xfId="2680" applyFont="1" applyFill="1" applyBorder="1" applyAlignment="1">
      <alignment horizontal="right" vertical="center"/>
    </xf>
    <xf numFmtId="0" fontId="111" fillId="2" borderId="0" xfId="2680" applyFont="1" applyFill="1" applyBorder="1" applyAlignment="1">
      <alignment horizontal="right" vertical="center"/>
    </xf>
    <xf numFmtId="0" fontId="273" fillId="0" borderId="0" xfId="2674" applyFont="1" applyBorder="1" applyAlignment="1">
      <alignment vertical="center"/>
    </xf>
    <xf numFmtId="2" fontId="119" fillId="0" borderId="0" xfId="2674" applyNumberFormat="1" applyFont="1" applyFill="1"/>
    <xf numFmtId="3" fontId="114" fillId="0" borderId="21" xfId="2674" applyNumberFormat="1" applyFont="1" applyBorder="1"/>
    <xf numFmtId="0" fontId="313" fillId="0" borderId="21" xfId="2674" applyFont="1" applyFill="1" applyBorder="1" applyAlignment="1">
      <alignment vertical="center"/>
    </xf>
    <xf numFmtId="0" fontId="114" fillId="0" borderId="21" xfId="2674" applyFont="1" applyFill="1" applyBorder="1" applyAlignment="1">
      <alignment vertical="center"/>
    </xf>
    <xf numFmtId="0" fontId="315" fillId="0" borderId="0" xfId="2674" applyFont="1" applyAlignment="1">
      <alignment vertical="center"/>
    </xf>
    <xf numFmtId="0" fontId="315" fillId="0" borderId="0" xfId="2674" applyFont="1"/>
    <xf numFmtId="4" fontId="316" fillId="0" borderId="21" xfId="2674" applyNumberFormat="1" applyFont="1" applyBorder="1" applyAlignment="1">
      <alignment horizontal="center" vertical="center"/>
    </xf>
    <xf numFmtId="0" fontId="316" fillId="0" borderId="21" xfId="2674" applyFont="1" applyBorder="1" applyAlignment="1">
      <alignment horizontal="justify" vertical="center"/>
    </xf>
    <xf numFmtId="4" fontId="317" fillId="0" borderId="22" xfId="2674" applyNumberFormat="1" applyFont="1" applyBorder="1" applyAlignment="1">
      <alignment horizontal="center" vertical="center"/>
    </xf>
    <xf numFmtId="0" fontId="317" fillId="0" borderId="22" xfId="2674" applyFont="1" applyBorder="1" applyAlignment="1">
      <alignment horizontal="justify" vertical="center"/>
    </xf>
    <xf numFmtId="2" fontId="317" fillId="0" borderId="0" xfId="2674" applyNumberFormat="1" applyFont="1" applyAlignment="1">
      <alignment horizontal="center" vertical="center"/>
    </xf>
    <xf numFmtId="0" fontId="317" fillId="0" borderId="0" xfId="2674" applyFont="1" applyAlignment="1">
      <alignment horizontal="justify" vertical="center"/>
    </xf>
    <xf numFmtId="4" fontId="316" fillId="0" borderId="0" xfId="2674" applyNumberFormat="1" applyFont="1" applyAlignment="1">
      <alignment horizontal="center" vertical="center"/>
    </xf>
    <xf numFmtId="0" fontId="316" fillId="0" borderId="0" xfId="2674" applyFont="1" applyAlignment="1">
      <alignment horizontal="justify" vertical="center"/>
    </xf>
    <xf numFmtId="0" fontId="318" fillId="2" borderId="0" xfId="2674" applyFont="1" applyFill="1" applyAlignment="1">
      <alignment horizontal="center" vertical="center"/>
    </xf>
    <xf numFmtId="0" fontId="319" fillId="2" borderId="0" xfId="2674" applyFont="1" applyFill="1" applyAlignment="1">
      <alignment horizontal="right" vertical="center"/>
    </xf>
    <xf numFmtId="3" fontId="114" fillId="0" borderId="21" xfId="2674" applyNumberFormat="1" applyFont="1" applyBorder="1" applyAlignment="1">
      <alignment horizontal="center"/>
    </xf>
    <xf numFmtId="3" fontId="316" fillId="0" borderId="21" xfId="2674" applyNumberFormat="1" applyFont="1" applyBorder="1" applyAlignment="1">
      <alignment horizontal="center" vertical="center"/>
    </xf>
    <xf numFmtId="3" fontId="317" fillId="0" borderId="22" xfId="2674" applyNumberFormat="1" applyFont="1" applyBorder="1" applyAlignment="1">
      <alignment horizontal="center" vertical="center"/>
    </xf>
    <xf numFmtId="3" fontId="317" fillId="0" borderId="0" xfId="2674" applyNumberFormat="1" applyFont="1" applyAlignment="1">
      <alignment horizontal="center" vertical="center"/>
    </xf>
    <xf numFmtId="3" fontId="316" fillId="0" borderId="0" xfId="2674" applyNumberFormat="1" applyFont="1" applyAlignment="1">
      <alignment horizontal="center" vertical="center"/>
    </xf>
    <xf numFmtId="0" fontId="296" fillId="0" borderId="0" xfId="2674" applyFont="1" applyFill="1" applyBorder="1" applyAlignment="1">
      <alignment horizontal="left" vertical="center"/>
    </xf>
    <xf numFmtId="0" fontId="273" fillId="0" borderId="0" xfId="2674" applyFont="1" applyFill="1" applyBorder="1" applyAlignment="1">
      <alignment horizontal="left" vertical="center"/>
    </xf>
    <xf numFmtId="167" fontId="119" fillId="0" borderId="69" xfId="2674" applyNumberFormat="1" applyFont="1" applyBorder="1" applyAlignment="1">
      <alignment horizontal="right" vertical="center"/>
    </xf>
    <xf numFmtId="167" fontId="119" fillId="0" borderId="22" xfId="2674" applyNumberFormat="1" applyFont="1" applyBorder="1" applyAlignment="1">
      <alignment vertical="center"/>
    </xf>
    <xf numFmtId="0" fontId="113" fillId="0" borderId="22" xfId="2674" applyFont="1" applyBorder="1" applyAlignment="1">
      <alignment horizontal="center" vertical="center"/>
    </xf>
    <xf numFmtId="167" fontId="119" fillId="0" borderId="69" xfId="2674" applyNumberFormat="1" applyFont="1" applyBorder="1" applyAlignment="1">
      <alignment vertical="center"/>
    </xf>
    <xf numFmtId="167" fontId="113" fillId="0" borderId="60" xfId="2674" applyNumberFormat="1" applyFont="1" applyBorder="1" applyAlignment="1">
      <alignment horizontal="right" vertical="center"/>
    </xf>
    <xf numFmtId="167" fontId="113" fillId="0" borderId="0" xfId="2674" applyNumberFormat="1" applyFont="1" applyBorder="1" applyAlignment="1">
      <alignment horizontal="right" vertical="center"/>
    </xf>
    <xf numFmtId="0" fontId="113" fillId="0" borderId="0" xfId="2674" applyFont="1" applyBorder="1" applyAlignment="1">
      <alignment horizontal="left" vertical="center" indent="1"/>
    </xf>
    <xf numFmtId="167" fontId="113" fillId="0" borderId="60" xfId="2674" applyNumberFormat="1" applyFont="1" applyBorder="1" applyAlignment="1">
      <alignment vertical="center"/>
    </xf>
    <xf numFmtId="0" fontId="113" fillId="0" borderId="0" xfId="2674" applyFont="1" applyFill="1" applyBorder="1" applyAlignment="1">
      <alignment horizontal="left" vertical="center" indent="1"/>
    </xf>
    <xf numFmtId="167" fontId="119" fillId="0" borderId="60" xfId="2674" applyNumberFormat="1" applyFont="1" applyBorder="1" applyAlignment="1">
      <alignment vertical="center"/>
    </xf>
    <xf numFmtId="167" fontId="119" fillId="0" borderId="0" xfId="2674" applyNumberFormat="1" applyFont="1" applyBorder="1" applyAlignment="1">
      <alignment vertical="center"/>
    </xf>
    <xf numFmtId="0" fontId="119" fillId="0" borderId="0" xfId="2674" applyFont="1" applyBorder="1" applyAlignment="1">
      <alignment horizontal="left" vertical="center"/>
    </xf>
    <xf numFmtId="167" fontId="273" fillId="0" borderId="0" xfId="2674" applyNumberFormat="1" applyFont="1" applyBorder="1" applyAlignment="1">
      <alignment horizontal="right"/>
    </xf>
    <xf numFmtId="3" fontId="114" fillId="0" borderId="0" xfId="2674" applyNumberFormat="1" applyFont="1"/>
    <xf numFmtId="3" fontId="119" fillId="0" borderId="22" xfId="2674" applyNumberFormat="1" applyFont="1" applyBorder="1" applyAlignment="1">
      <alignment horizontal="right" vertical="center"/>
    </xf>
    <xf numFmtId="3" fontId="119" fillId="0" borderId="22" xfId="2674" applyNumberFormat="1" applyFont="1" applyFill="1" applyBorder="1" applyAlignment="1">
      <alignment vertical="center"/>
    </xf>
    <xf numFmtId="3" fontId="113" fillId="0" borderId="0" xfId="2674" applyNumberFormat="1" applyFont="1" applyBorder="1" applyAlignment="1">
      <alignment horizontal="right" vertical="center"/>
    </xf>
    <xf numFmtId="3" fontId="113" fillId="0" borderId="0" xfId="2674" applyNumberFormat="1" applyFont="1" applyFill="1" applyBorder="1" applyAlignment="1">
      <alignment horizontal="right" vertical="center"/>
    </xf>
    <xf numFmtId="3" fontId="119" fillId="0" borderId="0" xfId="2674" applyNumberFormat="1" applyFont="1" applyBorder="1" applyAlignment="1">
      <alignment vertical="center"/>
    </xf>
    <xf numFmtId="3" fontId="119" fillId="0" borderId="0" xfId="2674" applyNumberFormat="1" applyFont="1" applyFill="1" applyBorder="1" applyAlignment="1">
      <alignment vertical="center"/>
    </xf>
    <xf numFmtId="167" fontId="297" fillId="0" borderId="0" xfId="2674" applyNumberFormat="1" applyFont="1" applyFill="1" applyBorder="1"/>
    <xf numFmtId="0" fontId="256" fillId="0" borderId="0" xfId="2674" applyFont="1" applyBorder="1"/>
    <xf numFmtId="167" fontId="297" fillId="0" borderId="22" xfId="2674" applyNumberFormat="1" applyFont="1" applyBorder="1"/>
    <xf numFmtId="0" fontId="292" fillId="0" borderId="0" xfId="2674" applyFont="1" applyFill="1" applyBorder="1" applyAlignment="1">
      <alignment horizontal="center" vertical="center"/>
    </xf>
    <xf numFmtId="0" fontId="124" fillId="0" borderId="0" xfId="2674" applyFont="1" applyAlignment="1">
      <alignment horizontal="left" vertical="center"/>
    </xf>
    <xf numFmtId="167" fontId="297" fillId="0" borderId="0" xfId="2674" applyNumberFormat="1" applyFont="1" applyBorder="1"/>
    <xf numFmtId="0" fontId="298" fillId="0" borderId="0" xfId="2674" applyFont="1" applyBorder="1"/>
    <xf numFmtId="0" fontId="117" fillId="0" borderId="0" xfId="2677" applyFont="1"/>
    <xf numFmtId="3" fontId="114" fillId="0" borderId="22" xfId="2677" applyNumberFormat="1" applyFont="1" applyBorder="1" applyAlignment="1">
      <alignment vertical="center"/>
    </xf>
    <xf numFmtId="0" fontId="114" fillId="0" borderId="22" xfId="2677" applyFont="1" applyBorder="1" applyAlignment="1">
      <alignment vertical="center"/>
    </xf>
    <xf numFmtId="167" fontId="119" fillId="0" borderId="22" xfId="2677" applyNumberFormat="1" applyFont="1" applyBorder="1" applyAlignment="1">
      <alignment vertical="center"/>
    </xf>
    <xf numFmtId="0" fontId="119" fillId="0" borderId="22" xfId="2677" applyFont="1" applyBorder="1" applyAlignment="1">
      <alignment horizontal="left" vertical="center" indent="1"/>
    </xf>
    <xf numFmtId="3" fontId="119" fillId="0" borderId="0" xfId="2677" applyNumberFormat="1" applyFont="1" applyBorder="1" applyAlignment="1">
      <alignment vertical="center"/>
    </xf>
    <xf numFmtId="0" fontId="119" fillId="0" borderId="0" xfId="2677" applyFont="1" applyBorder="1" applyAlignment="1">
      <alignment vertical="center"/>
    </xf>
    <xf numFmtId="3" fontId="113" fillId="0" borderId="0" xfId="2677" applyNumberFormat="1" applyFont="1" applyAlignment="1">
      <alignment horizontal="right" vertical="center"/>
    </xf>
    <xf numFmtId="0" fontId="113" fillId="0" borderId="0" xfId="2677" applyFont="1" applyFill="1" applyBorder="1" applyAlignment="1">
      <alignment horizontal="left" vertical="center" indent="1"/>
    </xf>
    <xf numFmtId="3" fontId="113" fillId="0" borderId="0" xfId="2677" applyNumberFormat="1" applyFont="1" applyFill="1" applyAlignment="1">
      <alignment horizontal="right" vertical="center"/>
    </xf>
    <xf numFmtId="0" fontId="113" fillId="0" borderId="0" xfId="2677" applyFont="1" applyFill="1" applyBorder="1" applyAlignment="1">
      <alignment horizontal="left" vertical="center"/>
    </xf>
    <xf numFmtId="3" fontId="113" fillId="0" borderId="0" xfId="2677" applyNumberFormat="1" applyFont="1" applyBorder="1" applyAlignment="1">
      <alignment horizontal="right" vertical="center"/>
    </xf>
    <xf numFmtId="3" fontId="14" fillId="0" borderId="0" xfId="2677" applyNumberFormat="1" applyFont="1" applyFill="1" applyBorder="1" applyAlignment="1">
      <alignment horizontal="right" vertical="center"/>
    </xf>
    <xf numFmtId="0" fontId="124" fillId="0" borderId="0" xfId="2677" applyFont="1"/>
    <xf numFmtId="0" fontId="14" fillId="0" borderId="0" xfId="2677" applyFont="1" applyFill="1" applyBorder="1" applyAlignment="1">
      <alignment horizontal="left" vertical="center" indent="1"/>
    </xf>
    <xf numFmtId="3" fontId="113" fillId="0" borderId="0" xfId="2677" applyNumberFormat="1" applyFont="1" applyAlignment="1">
      <alignment vertical="center"/>
    </xf>
    <xf numFmtId="0" fontId="14" fillId="0" borderId="0" xfId="2677" applyFont="1" applyFill="1" applyBorder="1"/>
    <xf numFmtId="0" fontId="113" fillId="0" borderId="0" xfId="2677" applyFont="1" applyAlignment="1">
      <alignment horizontal="left" vertical="center" indent="1"/>
    </xf>
    <xf numFmtId="0" fontId="118" fillId="2" borderId="0" xfId="2677" applyFont="1" applyFill="1" applyAlignment="1">
      <alignment horizontal="right" vertical="center"/>
    </xf>
    <xf numFmtId="167" fontId="113" fillId="0" borderId="0" xfId="2677" applyNumberFormat="1" applyFont="1"/>
    <xf numFmtId="167" fontId="113" fillId="0" borderId="22" xfId="2677" applyNumberFormat="1" applyFont="1" applyBorder="1"/>
    <xf numFmtId="0" fontId="113" fillId="0" borderId="22" xfId="2677" applyFont="1" applyFill="1" applyBorder="1" applyAlignment="1">
      <alignment horizontal="left" vertical="center"/>
    </xf>
    <xf numFmtId="3" fontId="113" fillId="0" borderId="22" xfId="2677" applyNumberFormat="1" applyFont="1" applyBorder="1" applyAlignment="1">
      <alignment horizontal="center" vertical="center"/>
    </xf>
    <xf numFmtId="3" fontId="113" fillId="0" borderId="0" xfId="2677" applyNumberFormat="1" applyFont="1" applyAlignment="1">
      <alignment horizontal="center" vertical="center"/>
    </xf>
    <xf numFmtId="167" fontId="13" fillId="0" borderId="0" xfId="2677" applyNumberFormat="1" applyFont="1" applyBorder="1" applyAlignment="1">
      <alignment horizontal="center" vertical="center"/>
    </xf>
    <xf numFmtId="3" fontId="13" fillId="0" borderId="0" xfId="2677" applyNumberFormat="1" applyFont="1" applyAlignment="1">
      <alignment horizontal="center" vertical="center"/>
    </xf>
    <xf numFmtId="3" fontId="119" fillId="0" borderId="0" xfId="2677" applyNumberFormat="1" applyFont="1" applyAlignment="1">
      <alignment horizontal="center" vertical="center"/>
    </xf>
    <xf numFmtId="3" fontId="1" fillId="0" borderId="0" xfId="2674" applyNumberFormat="1" applyFill="1"/>
    <xf numFmtId="3" fontId="119" fillId="0" borderId="0" xfId="2674" applyNumberFormat="1" applyFont="1" applyFill="1" applyBorder="1" applyAlignment="1">
      <alignment horizontal="center" vertical="center"/>
    </xf>
    <xf numFmtId="4" fontId="113" fillId="0" borderId="0" xfId="2674" applyNumberFormat="1" applyFont="1" applyFill="1" applyBorder="1" applyAlignment="1">
      <alignment horizontal="center" vertical="center"/>
    </xf>
    <xf numFmtId="0" fontId="1" fillId="0" borderId="0" xfId="2674" applyFill="1" applyAlignment="1">
      <alignment horizontal="center"/>
    </xf>
    <xf numFmtId="0" fontId="117" fillId="0" borderId="0" xfId="2674" applyFont="1" applyFill="1" applyBorder="1" applyAlignment="1">
      <alignment horizontal="left" vertical="center" wrapText="1"/>
    </xf>
    <xf numFmtId="0" fontId="320" fillId="0" borderId="0" xfId="2674" applyFont="1"/>
    <xf numFmtId="0" fontId="117" fillId="0" borderId="0" xfId="2674" applyFont="1" applyFill="1" applyBorder="1" applyAlignment="1">
      <alignment horizontal="left"/>
    </xf>
    <xf numFmtId="3" fontId="113" fillId="0" borderId="22" xfId="2674" applyNumberFormat="1" applyFont="1" applyBorder="1" applyAlignment="1">
      <alignment horizontal="center" vertical="center"/>
    </xf>
    <xf numFmtId="0" fontId="113" fillId="0" borderId="22" xfId="2674" applyFont="1" applyBorder="1" applyAlignment="1">
      <alignment horizontal="left"/>
    </xf>
    <xf numFmtId="3" fontId="119" fillId="88" borderId="0" xfId="2674" applyNumberFormat="1" applyFont="1" applyFill="1" applyBorder="1" applyAlignment="1">
      <alignment horizontal="center" vertical="center"/>
    </xf>
    <xf numFmtId="0" fontId="119" fillId="88" borderId="0" xfId="2674" applyFont="1" applyFill="1" applyBorder="1" applyAlignment="1">
      <alignment horizontal="left"/>
    </xf>
    <xf numFmtId="3" fontId="113" fillId="0" borderId="0" xfId="2674" applyNumberFormat="1" applyFont="1" applyBorder="1" applyAlignment="1">
      <alignment horizontal="center" vertical="center"/>
    </xf>
    <xf numFmtId="3" fontId="113" fillId="88" borderId="0" xfId="2674" applyNumberFormat="1" applyFont="1" applyFill="1" applyBorder="1" applyAlignment="1">
      <alignment horizontal="center" vertical="center"/>
    </xf>
    <xf numFmtId="0" fontId="113" fillId="88" borderId="0" xfId="2674" applyFont="1" applyFill="1" applyBorder="1" applyAlignment="1">
      <alignment horizontal="left"/>
    </xf>
    <xf numFmtId="0" fontId="119" fillId="0" borderId="22" xfId="2674" applyFont="1" applyBorder="1" applyAlignment="1">
      <alignment horizontal="left"/>
    </xf>
    <xf numFmtId="0" fontId="113" fillId="0" borderId="0" xfId="2674" applyFont="1" applyFill="1" applyBorder="1" applyAlignment="1">
      <alignment horizontal="left" indent="1"/>
    </xf>
    <xf numFmtId="0" fontId="113" fillId="0" borderId="0" xfId="2674" applyFont="1" applyBorder="1" applyAlignment="1">
      <alignment horizontal="left" indent="1"/>
    </xf>
    <xf numFmtId="3" fontId="119" fillId="0" borderId="0" xfId="2674" applyNumberFormat="1" applyFont="1" applyBorder="1" applyAlignment="1">
      <alignment horizontal="center" vertical="center"/>
    </xf>
    <xf numFmtId="0" fontId="107" fillId="0" borderId="0" xfId="2674" applyFont="1" applyAlignment="1">
      <alignment horizontal="left" vertical="center"/>
    </xf>
    <xf numFmtId="3" fontId="124" fillId="0" borderId="0" xfId="2667" applyNumberFormat="1" applyFont="1" applyFill="1" applyBorder="1" applyAlignment="1">
      <alignment horizontal="right" vertical="center" wrapText="1" indent="1"/>
    </xf>
    <xf numFmtId="0" fontId="14" fillId="0" borderId="0" xfId="2667" applyFont="1" applyFill="1" applyBorder="1" applyAlignment="1">
      <alignment horizontal="left" vertical="center" indent="1"/>
    </xf>
    <xf numFmtId="167" fontId="13" fillId="0" borderId="0" xfId="2674" applyNumberFormat="1" applyFont="1" applyAlignment="1">
      <alignment horizontal="center" vertical="center"/>
    </xf>
    <xf numFmtId="167" fontId="13" fillId="0" borderId="22" xfId="2674" applyNumberFormat="1" applyFont="1" applyBorder="1" applyAlignment="1">
      <alignment horizontal="center" vertical="center"/>
    </xf>
    <xf numFmtId="0" fontId="13" fillId="0" borderId="22" xfId="2667" applyFont="1" applyFill="1" applyBorder="1" applyAlignment="1">
      <alignment horizontal="left" vertical="center"/>
    </xf>
    <xf numFmtId="3" fontId="13" fillId="0" borderId="0" xfId="2674" applyNumberFormat="1" applyFont="1"/>
    <xf numFmtId="3" fontId="13" fillId="0" borderId="22" xfId="2674" applyNumberFormat="1" applyFont="1" applyBorder="1"/>
    <xf numFmtId="167" fontId="124" fillId="0" borderId="22" xfId="2667" applyNumberFormat="1" applyFont="1" applyFill="1" applyBorder="1" applyAlignment="1">
      <alignment horizontal="center" vertical="center" wrapText="1"/>
    </xf>
    <xf numFmtId="0" fontId="124" fillId="0" borderId="22" xfId="2667" applyFont="1" applyBorder="1" applyAlignment="1">
      <alignment horizontal="left" vertical="center" indent="1"/>
    </xf>
    <xf numFmtId="3" fontId="124" fillId="0" borderId="22" xfId="2667" applyNumberFormat="1" applyFont="1" applyFill="1" applyBorder="1" applyAlignment="1">
      <alignment horizontal="right" vertical="center" wrapText="1" indent="1"/>
    </xf>
    <xf numFmtId="167" fontId="124" fillId="0" borderId="0" xfId="2667" applyNumberFormat="1" applyFont="1" applyFill="1" applyBorder="1" applyAlignment="1">
      <alignment horizontal="center" vertical="center" wrapText="1"/>
    </xf>
    <xf numFmtId="0" fontId="124" fillId="0" borderId="0" xfId="2667" applyFont="1" applyFill="1" applyBorder="1" applyAlignment="1">
      <alignment horizontal="left" vertical="center" indent="1"/>
    </xf>
    <xf numFmtId="167" fontId="123" fillId="0" borderId="23" xfId="2667" applyNumberFormat="1" applyFont="1" applyFill="1" applyBorder="1" applyAlignment="1">
      <alignment horizontal="center" vertical="center" wrapText="1"/>
    </xf>
    <xf numFmtId="0" fontId="123" fillId="0" borderId="23" xfId="2667" applyFont="1" applyFill="1" applyBorder="1" applyAlignment="1">
      <alignment horizontal="left" vertical="center"/>
    </xf>
    <xf numFmtId="3" fontId="123" fillId="0" borderId="23" xfId="2667" applyNumberFormat="1" applyFont="1" applyFill="1" applyBorder="1" applyAlignment="1">
      <alignment horizontal="right" vertical="center" wrapText="1" indent="1"/>
    </xf>
    <xf numFmtId="215" fontId="14" fillId="0" borderId="0" xfId="2667" applyNumberFormat="1" applyFont="1" applyFill="1" applyBorder="1" applyAlignment="1">
      <alignment horizontal="left" vertical="center" indent="1"/>
    </xf>
    <xf numFmtId="0" fontId="14" fillId="0" borderId="0" xfId="2667" applyFont="1" applyFill="1" applyBorder="1" applyAlignment="1">
      <alignment horizontal="left" vertical="center" indent="2"/>
    </xf>
    <xf numFmtId="11" fontId="123" fillId="0" borderId="23" xfId="2667" applyNumberFormat="1" applyFont="1" applyBorder="1" applyAlignment="1">
      <alignment vertical="center"/>
    </xf>
    <xf numFmtId="219" fontId="124" fillId="0" borderId="0" xfId="2667" applyNumberFormat="1" applyFont="1" applyFill="1" applyBorder="1" applyAlignment="1">
      <alignment horizontal="left" vertical="center" indent="2"/>
    </xf>
    <xf numFmtId="11" fontId="124" fillId="0" borderId="0" xfId="2667" applyNumberFormat="1" applyFont="1" applyFill="1" applyBorder="1" applyAlignment="1">
      <alignment horizontal="left" vertical="center" indent="2"/>
    </xf>
    <xf numFmtId="167" fontId="14" fillId="0" borderId="0" xfId="2667" applyNumberFormat="1" applyFont="1" applyFill="1" applyBorder="1" applyAlignment="1">
      <alignment horizontal="center" vertical="center" wrapText="1"/>
    </xf>
    <xf numFmtId="215" fontId="14" fillId="0" borderId="0" xfId="2667" applyNumberFormat="1" applyFont="1" applyFill="1" applyBorder="1" applyAlignment="1">
      <alignment horizontal="left" vertical="center" indent="3"/>
    </xf>
    <xf numFmtId="3" fontId="14" fillId="0" borderId="0" xfId="2667" applyNumberFormat="1" applyFont="1" applyFill="1" applyBorder="1" applyAlignment="1">
      <alignment horizontal="right" vertical="center" wrapText="1" indent="1"/>
    </xf>
    <xf numFmtId="215" fontId="14" fillId="0" borderId="0" xfId="2667" applyNumberFormat="1" applyFont="1" applyBorder="1" applyAlignment="1">
      <alignment horizontal="left" vertical="center" indent="3"/>
    </xf>
    <xf numFmtId="215" fontId="124" fillId="0" borderId="0" xfId="2667" applyNumberFormat="1" applyFont="1" applyBorder="1" applyAlignment="1">
      <alignment horizontal="left" vertical="center" indent="2"/>
    </xf>
    <xf numFmtId="0" fontId="124" fillId="0" borderId="0" xfId="2667" applyFont="1" applyBorder="1" applyAlignment="1">
      <alignment horizontal="left" vertical="center" indent="1"/>
    </xf>
    <xf numFmtId="0" fontId="123" fillId="0" borderId="23" xfId="2667" applyFont="1" applyBorder="1" applyAlignment="1">
      <alignment vertical="center"/>
    </xf>
    <xf numFmtId="167" fontId="13" fillId="0" borderId="0" xfId="2667" applyNumberFormat="1" applyFont="1" applyFill="1" applyAlignment="1">
      <alignment horizontal="center" vertical="center"/>
    </xf>
    <xf numFmtId="0" fontId="13" fillId="0" borderId="0" xfId="2667" applyFont="1" applyAlignment="1">
      <alignment vertical="center"/>
    </xf>
    <xf numFmtId="3" fontId="13" fillId="0" borderId="0" xfId="2667" applyNumberFormat="1" applyFont="1" applyFill="1" applyAlignment="1">
      <alignment horizontal="right" vertical="center" indent="1"/>
    </xf>
    <xf numFmtId="0" fontId="122" fillId="2" borderId="0" xfId="2667" applyFont="1" applyFill="1" applyAlignment="1">
      <alignment horizontal="center" vertical="center" wrapText="1"/>
    </xf>
    <xf numFmtId="0" fontId="107" fillId="0" borderId="0" xfId="2667" applyFont="1" applyFill="1" applyAlignment="1">
      <alignment horizontal="center" vertical="center"/>
    </xf>
    <xf numFmtId="3" fontId="1" fillId="0" borderId="0" xfId="2674" applyNumberFormat="1" applyAlignment="1">
      <alignment horizontal="center"/>
    </xf>
    <xf numFmtId="167" fontId="123" fillId="0" borderId="21" xfId="2667" applyNumberFormat="1" applyFont="1" applyFill="1" applyBorder="1" applyAlignment="1">
      <alignment horizontal="center" vertical="center" wrapText="1"/>
    </xf>
    <xf numFmtId="0" fontId="119" fillId="0" borderId="21" xfId="2674" applyFont="1" applyBorder="1" applyAlignment="1">
      <alignment vertical="center"/>
    </xf>
    <xf numFmtId="3" fontId="123" fillId="0" borderId="21" xfId="2667" applyNumberFormat="1" applyFont="1" applyFill="1" applyBorder="1" applyAlignment="1">
      <alignment horizontal="right" vertical="center" wrapText="1" indent="1"/>
    </xf>
    <xf numFmtId="167" fontId="123" fillId="0" borderId="22" xfId="2667" applyNumberFormat="1" applyFont="1" applyFill="1" applyBorder="1" applyAlignment="1">
      <alignment horizontal="center" vertical="center" wrapText="1"/>
    </xf>
    <xf numFmtId="0" fontId="119" fillId="0" borderId="22" xfId="2674" applyFont="1" applyBorder="1" applyAlignment="1">
      <alignment vertical="center"/>
    </xf>
    <xf numFmtId="3" fontId="123" fillId="0" borderId="22" xfId="2667" applyNumberFormat="1" applyFont="1" applyFill="1" applyBorder="1" applyAlignment="1">
      <alignment horizontal="right" vertical="center" wrapText="1" indent="1"/>
    </xf>
    <xf numFmtId="167" fontId="123" fillId="0" borderId="0" xfId="2667" applyNumberFormat="1" applyFont="1" applyFill="1" applyBorder="1" applyAlignment="1">
      <alignment horizontal="center" vertical="center" wrapText="1"/>
    </xf>
    <xf numFmtId="0" fontId="119" fillId="0" borderId="0" xfId="2674" applyFont="1" applyBorder="1" applyAlignment="1">
      <alignment vertical="center"/>
    </xf>
    <xf numFmtId="3" fontId="123" fillId="0" borderId="0" xfId="2667" applyNumberFormat="1" applyFont="1" applyFill="1" applyBorder="1" applyAlignment="1">
      <alignment horizontal="right" vertical="center" wrapText="1" indent="1"/>
    </xf>
    <xf numFmtId="0" fontId="13" fillId="0" borderId="22" xfId="2667" applyFont="1" applyBorder="1" applyAlignment="1">
      <alignment vertical="center"/>
    </xf>
    <xf numFmtId="4" fontId="124" fillId="0" borderId="22" xfId="2667" applyNumberFormat="1" applyFont="1" applyFill="1" applyBorder="1" applyAlignment="1">
      <alignment horizontal="right" vertical="center" wrapText="1" indent="1"/>
    </xf>
    <xf numFmtId="4" fontId="124" fillId="0" borderId="0" xfId="2667" applyNumberFormat="1" applyFont="1" applyFill="1" applyBorder="1" applyAlignment="1">
      <alignment horizontal="right" vertical="center" wrapText="1" indent="1"/>
    </xf>
    <xf numFmtId="4" fontId="123" fillId="0" borderId="23" xfId="2667" applyNumberFormat="1" applyFont="1" applyFill="1" applyBorder="1" applyAlignment="1">
      <alignment horizontal="right" vertical="center" wrapText="1" indent="1"/>
    </xf>
    <xf numFmtId="4" fontId="14" fillId="0" borderId="0" xfId="2667" applyNumberFormat="1" applyFont="1" applyFill="1" applyBorder="1" applyAlignment="1">
      <alignment horizontal="right" vertical="center" wrapText="1" indent="1"/>
    </xf>
    <xf numFmtId="3" fontId="124" fillId="0" borderId="0" xfId="2667" quotePrefix="1" applyNumberFormat="1" applyFont="1" applyFill="1" applyBorder="1" applyAlignment="1">
      <alignment horizontal="right" vertical="center" wrapText="1" indent="1"/>
    </xf>
    <xf numFmtId="4" fontId="13" fillId="0" borderId="0" xfId="2667" applyNumberFormat="1" applyFont="1" applyFill="1" applyAlignment="1">
      <alignment horizontal="right" vertical="center" indent="1"/>
    </xf>
    <xf numFmtId="4" fontId="13" fillId="0" borderId="0" xfId="2667" applyNumberFormat="1" applyFont="1" applyFill="1" applyBorder="1" applyAlignment="1">
      <alignment horizontal="right" vertical="center" wrapText="1" indent="1"/>
    </xf>
    <xf numFmtId="4" fontId="123" fillId="0" borderId="22" xfId="2667" applyNumberFormat="1" applyFont="1" applyFill="1" applyBorder="1" applyAlignment="1">
      <alignment horizontal="right" vertical="center" wrapText="1" indent="1"/>
    </xf>
    <xf numFmtId="4" fontId="123" fillId="0" borderId="0" xfId="2667" applyNumberFormat="1" applyFont="1" applyFill="1" applyBorder="1" applyAlignment="1">
      <alignment horizontal="right" vertical="center" wrapText="1" indent="1"/>
    </xf>
    <xf numFmtId="0" fontId="110" fillId="0" borderId="0" xfId="2674" applyFont="1" applyFill="1" applyBorder="1"/>
    <xf numFmtId="4" fontId="113" fillId="0" borderId="74" xfId="2674" applyNumberFormat="1" applyFont="1" applyBorder="1"/>
    <xf numFmtId="4" fontId="113" fillId="0" borderId="22" xfId="2674" applyNumberFormat="1" applyFont="1" applyBorder="1"/>
    <xf numFmtId="4" fontId="113" fillId="0" borderId="69" xfId="2674" applyNumberFormat="1" applyFont="1" applyBorder="1"/>
    <xf numFmtId="4" fontId="113" fillId="0" borderId="78" xfId="2674" applyNumberFormat="1" applyFont="1" applyBorder="1"/>
    <xf numFmtId="0" fontId="113" fillId="0" borderId="74" xfId="2674" applyFont="1" applyBorder="1"/>
    <xf numFmtId="0" fontId="113" fillId="0" borderId="69" xfId="2674" applyFont="1" applyBorder="1"/>
    <xf numFmtId="4" fontId="113" fillId="0" borderId="65" xfId="2674" applyNumberFormat="1" applyFont="1" applyBorder="1"/>
    <xf numFmtId="4" fontId="113" fillId="0" borderId="0" xfId="2674" applyNumberFormat="1" applyFont="1" applyBorder="1"/>
    <xf numFmtId="4" fontId="113" fillId="0" borderId="60" xfId="2674" applyNumberFormat="1" applyFont="1" applyBorder="1"/>
    <xf numFmtId="4" fontId="113" fillId="0" borderId="77" xfId="2674" applyNumberFormat="1" applyFont="1" applyBorder="1"/>
    <xf numFmtId="0" fontId="113" fillId="0" borderId="65" xfId="2674" applyFont="1" applyBorder="1"/>
    <xf numFmtId="0" fontId="113" fillId="0" borderId="60" xfId="2674" applyFont="1" applyBorder="1"/>
    <xf numFmtId="4" fontId="119" fillId="0" borderId="65" xfId="2674" applyNumberFormat="1" applyFont="1" applyBorder="1"/>
    <xf numFmtId="4" fontId="119" fillId="0" borderId="0" xfId="2674" applyNumberFormat="1" applyFont="1" applyBorder="1"/>
    <xf numFmtId="4" fontId="119" fillId="0" borderId="60" xfId="2674" applyNumberFormat="1" applyFont="1" applyBorder="1"/>
    <xf numFmtId="4" fontId="119" fillId="0" borderId="77" xfId="2674" applyNumberFormat="1" applyFont="1" applyBorder="1"/>
    <xf numFmtId="0" fontId="119" fillId="0" borderId="65" xfId="2674" applyFont="1" applyBorder="1"/>
    <xf numFmtId="0" fontId="119" fillId="0" borderId="60" xfId="2674" applyFont="1" applyBorder="1"/>
    <xf numFmtId="4" fontId="119" fillId="0" borderId="54" xfId="2674" applyNumberFormat="1" applyFont="1" applyBorder="1"/>
    <xf numFmtId="4" fontId="119" fillId="0" borderId="23" xfId="2674" applyNumberFormat="1" applyFont="1" applyBorder="1"/>
    <xf numFmtId="4" fontId="119" fillId="0" borderId="50" xfId="2674" applyNumberFormat="1" applyFont="1" applyBorder="1"/>
    <xf numFmtId="4" fontId="119" fillId="0" borderId="94" xfId="2674" applyNumberFormat="1" applyFont="1" applyBorder="1"/>
    <xf numFmtId="0" fontId="119" fillId="0" borderId="54" xfId="2674" applyFont="1" applyBorder="1"/>
    <xf numFmtId="0" fontId="119" fillId="0" borderId="50" xfId="2674" applyFont="1" applyBorder="1"/>
    <xf numFmtId="207" fontId="110" fillId="0" borderId="0" xfId="2674" applyNumberFormat="1" applyFont="1" applyBorder="1"/>
    <xf numFmtId="0" fontId="111" fillId="2" borderId="80" xfId="2674" applyFont="1" applyFill="1" applyBorder="1" applyAlignment="1">
      <alignment horizontal="center" vertical="center" wrapText="1"/>
    </xf>
    <xf numFmtId="0" fontId="111" fillId="2" borderId="0" xfId="2674" applyFont="1" applyFill="1" applyBorder="1" applyAlignment="1">
      <alignment horizontal="center" vertical="center" wrapText="1"/>
    </xf>
    <xf numFmtId="0" fontId="111" fillId="2" borderId="0" xfId="2674" applyFont="1" applyFill="1" applyBorder="1" applyAlignment="1">
      <alignment vertical="center"/>
    </xf>
    <xf numFmtId="0" fontId="111" fillId="2" borderId="79" xfId="2674" applyFont="1" applyFill="1" applyBorder="1" applyAlignment="1">
      <alignment horizontal="center" vertical="center"/>
    </xf>
    <xf numFmtId="167" fontId="307" fillId="0" borderId="74" xfId="2674" applyNumberFormat="1" applyFont="1" applyBorder="1"/>
    <xf numFmtId="167" fontId="307" fillId="0" borderId="22" xfId="2674" applyNumberFormat="1" applyFont="1" applyBorder="1"/>
    <xf numFmtId="167" fontId="307" fillId="0" borderId="78" xfId="2674" applyNumberFormat="1" applyFont="1" applyBorder="1"/>
    <xf numFmtId="167" fontId="307" fillId="0" borderId="69" xfId="2674" applyNumberFormat="1" applyFont="1" applyBorder="1"/>
    <xf numFmtId="167" fontId="307" fillId="0" borderId="77" xfId="2674" applyNumberFormat="1" applyFont="1" applyBorder="1"/>
    <xf numFmtId="0" fontId="307" fillId="0" borderId="22" xfId="2674" applyFont="1" applyBorder="1"/>
    <xf numFmtId="167" fontId="317" fillId="0" borderId="77" xfId="2674" applyNumberFormat="1" applyFont="1" applyFill="1" applyBorder="1" applyAlignment="1">
      <alignment horizontal="right" vertical="center"/>
    </xf>
    <xf numFmtId="167" fontId="317" fillId="0" borderId="0" xfId="2674" applyNumberFormat="1" applyFont="1" applyFill="1" applyBorder="1" applyAlignment="1">
      <alignment horizontal="right" vertical="center"/>
    </xf>
    <xf numFmtId="167" fontId="317" fillId="0" borderId="60" xfId="2674" applyNumberFormat="1" applyFont="1" applyFill="1" applyBorder="1" applyAlignment="1">
      <alignment horizontal="right" vertical="center"/>
    </xf>
    <xf numFmtId="167" fontId="256" fillId="0" borderId="65" xfId="2674" applyNumberFormat="1" applyFont="1" applyBorder="1"/>
    <xf numFmtId="167" fontId="256" fillId="0" borderId="77" xfId="2674" applyNumberFormat="1" applyFont="1" applyBorder="1"/>
    <xf numFmtId="167" fontId="256" fillId="0" borderId="0" xfId="2674" applyNumberFormat="1" applyFont="1" applyBorder="1"/>
    <xf numFmtId="167" fontId="256" fillId="0" borderId="60" xfId="2674" applyNumberFormat="1" applyFont="1" applyBorder="1"/>
    <xf numFmtId="3" fontId="298" fillId="0" borderId="0" xfId="2674" applyNumberFormat="1" applyFont="1"/>
    <xf numFmtId="0" fontId="298" fillId="0" borderId="0" xfId="2674" applyFont="1" applyFill="1" applyBorder="1"/>
    <xf numFmtId="167" fontId="307" fillId="0" borderId="114" xfId="2674" applyNumberFormat="1" applyFont="1" applyBorder="1"/>
    <xf numFmtId="167" fontId="307" fillId="0" borderId="0" xfId="2674" applyNumberFormat="1" applyFont="1"/>
    <xf numFmtId="167" fontId="307" fillId="0" borderId="65" xfId="2674" applyNumberFormat="1" applyFont="1" applyBorder="1"/>
    <xf numFmtId="167" fontId="307" fillId="0" borderId="0" xfId="2674" applyNumberFormat="1" applyFont="1" applyBorder="1"/>
    <xf numFmtId="167" fontId="307" fillId="0" borderId="60" xfId="2674" applyNumberFormat="1" applyFont="1" applyBorder="1"/>
    <xf numFmtId="0" fontId="307" fillId="0" borderId="0" xfId="2674" applyFont="1"/>
    <xf numFmtId="0" fontId="290" fillId="2" borderId="0" xfId="2674" applyFont="1" applyFill="1" applyBorder="1"/>
    <xf numFmtId="4" fontId="110" fillId="0" borderId="0" xfId="2674" applyNumberFormat="1" applyFont="1"/>
    <xf numFmtId="166" fontId="13" fillId="0" borderId="0" xfId="2674" applyNumberFormat="1" applyFont="1" applyFill="1" applyBorder="1" applyAlignment="1">
      <alignment vertical="center"/>
    </xf>
    <xf numFmtId="166" fontId="13" fillId="41" borderId="95" xfId="2674" applyNumberFormat="1" applyFont="1" applyFill="1" applyBorder="1" applyAlignment="1">
      <alignment vertical="center"/>
    </xf>
    <xf numFmtId="166" fontId="13" fillId="41" borderId="21" xfId="2674" applyNumberFormat="1" applyFont="1" applyFill="1" applyBorder="1" applyAlignment="1">
      <alignment vertical="center"/>
    </xf>
    <xf numFmtId="166" fontId="13" fillId="41" borderId="96" xfId="2674" applyNumberFormat="1" applyFont="1" applyFill="1" applyBorder="1" applyAlignment="1">
      <alignment vertical="center"/>
    </xf>
    <xf numFmtId="166" fontId="13" fillId="41" borderId="97" xfId="2674" applyNumberFormat="1" applyFont="1" applyFill="1" applyBorder="1" applyAlignment="1">
      <alignment vertical="center"/>
    </xf>
    <xf numFmtId="0" fontId="13" fillId="41" borderId="21" xfId="2674" applyFont="1" applyFill="1" applyBorder="1" applyAlignment="1">
      <alignment vertical="center"/>
    </xf>
    <xf numFmtId="166" fontId="13" fillId="41" borderId="74" xfId="2674" applyNumberFormat="1" applyFont="1" applyFill="1" applyBorder="1" applyAlignment="1">
      <alignment vertical="center"/>
    </xf>
    <xf numFmtId="166" fontId="13" fillId="41" borderId="22" xfId="2674" applyNumberFormat="1" applyFont="1" applyFill="1" applyBorder="1" applyAlignment="1">
      <alignment vertical="center"/>
    </xf>
    <xf numFmtId="166" fontId="13" fillId="41" borderId="69" xfId="2674" applyNumberFormat="1" applyFont="1" applyFill="1" applyBorder="1" applyAlignment="1">
      <alignment vertical="center"/>
    </xf>
    <xf numFmtId="166" fontId="13" fillId="41" borderId="78" xfId="2674" applyNumberFormat="1" applyFont="1" applyFill="1" applyBorder="1" applyAlignment="1">
      <alignment vertical="center"/>
    </xf>
    <xf numFmtId="0" fontId="13" fillId="41" borderId="22" xfId="2674" applyFont="1" applyFill="1" applyBorder="1" applyAlignment="1">
      <alignment vertical="center"/>
    </xf>
    <xf numFmtId="166" fontId="13" fillId="41" borderId="65" xfId="2674" applyNumberFormat="1" applyFont="1" applyFill="1" applyBorder="1" applyAlignment="1">
      <alignment vertical="center"/>
    </xf>
    <xf numFmtId="166" fontId="13" fillId="41" borderId="0" xfId="2674" applyNumberFormat="1" applyFont="1" applyFill="1" applyBorder="1" applyAlignment="1">
      <alignment vertical="center"/>
    </xf>
    <xf numFmtId="166" fontId="13" fillId="41" borderId="60" xfId="2674" applyNumberFormat="1" applyFont="1" applyFill="1" applyBorder="1" applyAlignment="1">
      <alignment vertical="center"/>
    </xf>
    <xf numFmtId="166" fontId="13" fillId="41" borderId="77" xfId="2674" applyNumberFormat="1" applyFont="1" applyFill="1" applyBorder="1" applyAlignment="1">
      <alignment vertical="center"/>
    </xf>
    <xf numFmtId="0" fontId="13" fillId="41" borderId="0" xfId="2674" applyFont="1" applyFill="1" applyBorder="1" applyAlignment="1">
      <alignment vertical="center"/>
    </xf>
    <xf numFmtId="166" fontId="113" fillId="0" borderId="74" xfId="2674" applyNumberFormat="1" applyFont="1" applyBorder="1" applyAlignment="1">
      <alignment vertical="center"/>
    </xf>
    <xf numFmtId="166" fontId="113" fillId="0" borderId="22" xfId="2674" applyNumberFormat="1" applyFont="1" applyBorder="1" applyAlignment="1">
      <alignment vertical="center"/>
    </xf>
    <xf numFmtId="166" fontId="113" fillId="0" borderId="69" xfId="2674" applyNumberFormat="1" applyFont="1" applyBorder="1" applyAlignment="1">
      <alignment vertical="center"/>
    </xf>
    <xf numFmtId="166" fontId="113" fillId="0" borderId="78" xfId="2674" applyNumberFormat="1" applyFont="1" applyBorder="1" applyAlignment="1">
      <alignment vertical="center"/>
    </xf>
    <xf numFmtId="166" fontId="113" fillId="0" borderId="0" xfId="2674" applyNumberFormat="1" applyFont="1" applyFill="1" applyBorder="1" applyAlignment="1">
      <alignment vertical="center"/>
    </xf>
    <xf numFmtId="0" fontId="113" fillId="0" borderId="22" xfId="2674" applyFont="1" applyBorder="1" applyAlignment="1">
      <alignment vertical="center"/>
    </xf>
    <xf numFmtId="0" fontId="113" fillId="0" borderId="22" xfId="2674" applyFont="1" applyFill="1" applyBorder="1" applyAlignment="1">
      <alignment vertical="center"/>
    </xf>
    <xf numFmtId="166" fontId="113" fillId="0" borderId="65" xfId="2674" applyNumberFormat="1" applyFont="1" applyFill="1" applyBorder="1" applyAlignment="1">
      <alignment vertical="center"/>
    </xf>
    <xf numFmtId="166" fontId="113" fillId="0" borderId="60" xfId="2674" applyNumberFormat="1" applyFont="1" applyFill="1" applyBorder="1" applyAlignment="1">
      <alignment vertical="center"/>
    </xf>
    <xf numFmtId="166" fontId="113" fillId="0" borderId="77" xfId="2674" applyNumberFormat="1" applyFont="1" applyFill="1" applyBorder="1" applyAlignment="1">
      <alignment vertical="center"/>
    </xf>
    <xf numFmtId="166" fontId="321" fillId="0" borderId="0" xfId="2674" applyNumberFormat="1" applyFont="1" applyFill="1" applyBorder="1"/>
    <xf numFmtId="166" fontId="119" fillId="0" borderId="65" xfId="2674" applyNumberFormat="1" applyFont="1" applyFill="1" applyBorder="1" applyAlignment="1">
      <alignment vertical="center"/>
    </xf>
    <xf numFmtId="166" fontId="119" fillId="0" borderId="0" xfId="2674" applyNumberFormat="1" applyFont="1" applyFill="1" applyBorder="1" applyAlignment="1">
      <alignment vertical="center"/>
    </xf>
    <xf numFmtId="166" fontId="119" fillId="0" borderId="60" xfId="2674" applyNumberFormat="1" applyFont="1" applyFill="1" applyBorder="1" applyAlignment="1">
      <alignment vertical="center"/>
    </xf>
    <xf numFmtId="166" fontId="119" fillId="0" borderId="77" xfId="2674" applyNumberFormat="1" applyFont="1" applyFill="1" applyBorder="1" applyAlignment="1">
      <alignment vertical="center"/>
    </xf>
    <xf numFmtId="0" fontId="119" fillId="0" borderId="0" xfId="2674" applyFont="1" applyFill="1" applyBorder="1" applyAlignment="1">
      <alignment vertical="center"/>
    </xf>
    <xf numFmtId="166" fontId="13" fillId="0" borderId="65" xfId="2674" applyNumberFormat="1" applyFont="1" applyFill="1" applyBorder="1" applyAlignment="1">
      <alignment vertical="center"/>
    </xf>
    <xf numFmtId="166" fontId="13" fillId="0" borderId="60" xfId="2674" applyNumberFormat="1" applyFont="1" applyFill="1" applyBorder="1" applyAlignment="1">
      <alignment vertical="center"/>
    </xf>
    <xf numFmtId="166" fontId="13" fillId="0" borderId="77" xfId="2674" applyNumberFormat="1" applyFont="1" applyFill="1" applyBorder="1" applyAlignment="1">
      <alignment vertical="center"/>
    </xf>
    <xf numFmtId="0" fontId="13" fillId="0" borderId="0" xfId="2674" applyFont="1" applyFill="1" applyBorder="1" applyAlignment="1">
      <alignment vertical="center"/>
    </xf>
    <xf numFmtId="166" fontId="113" fillId="0" borderId="74" xfId="2674" applyNumberFormat="1" applyFont="1" applyFill="1" applyBorder="1" applyAlignment="1">
      <alignment vertical="center"/>
    </xf>
    <xf numFmtId="166" fontId="113" fillId="0" borderId="22" xfId="2674" applyNumberFormat="1" applyFont="1" applyFill="1" applyBorder="1" applyAlignment="1">
      <alignment vertical="center"/>
    </xf>
    <xf numFmtId="166" fontId="113" fillId="0" borderId="69" xfId="2674" applyNumberFormat="1" applyFont="1" applyFill="1" applyBorder="1" applyAlignment="1">
      <alignment vertical="center"/>
    </xf>
    <xf numFmtId="166" fontId="113" fillId="0" borderId="78" xfId="2674" applyNumberFormat="1" applyFont="1" applyFill="1" applyBorder="1" applyAlignment="1">
      <alignment vertical="center"/>
    </xf>
    <xf numFmtId="166" fontId="113" fillId="0" borderId="65" xfId="2674" applyNumberFormat="1" applyFont="1" applyBorder="1" applyAlignment="1">
      <alignment vertical="center"/>
    </xf>
    <xf numFmtId="166" fontId="113" fillId="0" borderId="0" xfId="2674" applyNumberFormat="1" applyFont="1" applyBorder="1" applyAlignment="1">
      <alignment vertical="center"/>
    </xf>
    <xf numFmtId="166" fontId="113" fillId="0" borderId="60" xfId="2674" applyNumberFormat="1" applyFont="1" applyBorder="1" applyAlignment="1">
      <alignment vertical="center"/>
    </xf>
    <xf numFmtId="166" fontId="113" fillId="0" borderId="77" xfId="2674" applyNumberFormat="1" applyFont="1" applyBorder="1" applyAlignment="1">
      <alignment vertical="center"/>
    </xf>
    <xf numFmtId="166" fontId="119" fillId="0" borderId="65" xfId="2674" applyNumberFormat="1" applyFont="1" applyBorder="1" applyAlignment="1">
      <alignment vertical="center"/>
    </xf>
    <xf numFmtId="166" fontId="119" fillId="0" borderId="60" xfId="2674" applyNumberFormat="1" applyFont="1" applyBorder="1" applyAlignment="1">
      <alignment vertical="center"/>
    </xf>
    <xf numFmtId="166" fontId="119" fillId="0" borderId="77" xfId="2674" applyNumberFormat="1" applyFont="1" applyBorder="1" applyAlignment="1">
      <alignment vertical="center"/>
    </xf>
    <xf numFmtId="166" fontId="13" fillId="41" borderId="54" xfId="2674" applyNumberFormat="1" applyFont="1" applyFill="1" applyBorder="1" applyAlignment="1">
      <alignment vertical="center"/>
    </xf>
    <xf numFmtId="166" fontId="13" fillId="41" borderId="23" xfId="2674" applyNumberFormat="1" applyFont="1" applyFill="1" applyBorder="1" applyAlignment="1">
      <alignment vertical="center"/>
    </xf>
    <xf numFmtId="166" fontId="13" fillId="41" borderId="50" xfId="2674" applyNumberFormat="1" applyFont="1" applyFill="1" applyBorder="1" applyAlignment="1">
      <alignment vertical="center"/>
    </xf>
    <xf numFmtId="166" fontId="13" fillId="41" borderId="94" xfId="2674" applyNumberFormat="1" applyFont="1" applyFill="1" applyBorder="1" applyAlignment="1">
      <alignment vertical="center"/>
    </xf>
    <xf numFmtId="3" fontId="113" fillId="0" borderId="74" xfId="2674" applyNumberFormat="1" applyFont="1" applyFill="1" applyBorder="1"/>
    <xf numFmtId="3" fontId="113" fillId="0" borderId="69" xfId="2674" applyNumberFormat="1" applyFont="1" applyFill="1" applyBorder="1"/>
    <xf numFmtId="3" fontId="113" fillId="0" borderId="78" xfId="2674" applyNumberFormat="1" applyFont="1" applyFill="1" applyBorder="1"/>
    <xf numFmtId="3" fontId="113" fillId="0" borderId="74" xfId="2674" applyNumberFormat="1" applyFont="1" applyBorder="1"/>
    <xf numFmtId="3" fontId="113" fillId="0" borderId="69" xfId="2674" applyNumberFormat="1" applyFont="1" applyBorder="1"/>
    <xf numFmtId="3" fontId="113" fillId="0" borderId="78" xfId="2674" applyNumberFormat="1" applyFont="1" applyBorder="1"/>
    <xf numFmtId="3" fontId="113" fillId="0" borderId="65" xfId="2674" applyNumberFormat="1" applyFont="1" applyFill="1" applyBorder="1"/>
    <xf numFmtId="3" fontId="113" fillId="0" borderId="60" xfId="2674" applyNumberFormat="1" applyFont="1" applyFill="1" applyBorder="1"/>
    <xf numFmtId="3" fontId="113" fillId="0" borderId="77" xfId="2674" applyNumberFormat="1" applyFont="1" applyFill="1" applyBorder="1"/>
    <xf numFmtId="3" fontId="113" fillId="0" borderId="65" xfId="2674" applyNumberFormat="1" applyFont="1" applyBorder="1"/>
    <xf numFmtId="3" fontId="113" fillId="0" borderId="60" xfId="2674" applyNumberFormat="1" applyFont="1" applyBorder="1"/>
    <xf numFmtId="3" fontId="113" fillId="0" borderId="77" xfId="2674" applyNumberFormat="1" applyFont="1" applyBorder="1"/>
    <xf numFmtId="0" fontId="109" fillId="0" borderId="0" xfId="2674" applyFont="1"/>
    <xf numFmtId="0" fontId="109" fillId="0" borderId="0" xfId="2674" applyFont="1" applyFill="1" applyBorder="1"/>
    <xf numFmtId="3" fontId="119" fillId="0" borderId="65" xfId="2674" applyNumberFormat="1" applyFont="1" applyBorder="1"/>
    <xf numFmtId="3" fontId="119" fillId="0" borderId="0" xfId="2674" applyNumberFormat="1" applyFont="1" applyBorder="1"/>
    <xf numFmtId="3" fontId="119" fillId="0" borderId="60" xfId="2674" applyNumberFormat="1" applyFont="1" applyBorder="1"/>
    <xf numFmtId="3" fontId="119" fillId="0" borderId="77" xfId="2674" applyNumberFormat="1" applyFont="1" applyBorder="1"/>
    <xf numFmtId="0" fontId="113" fillId="0" borderId="77" xfId="2674" applyFont="1" applyBorder="1"/>
    <xf numFmtId="1" fontId="113" fillId="0" borderId="77" xfId="2674" applyNumberFormat="1" applyFont="1" applyBorder="1"/>
    <xf numFmtId="3" fontId="119" fillId="0" borderId="77" xfId="2674" applyNumberFormat="1" applyFont="1" applyFill="1" applyBorder="1"/>
    <xf numFmtId="0" fontId="113" fillId="0" borderId="77" xfId="2674" applyFont="1" applyFill="1" applyBorder="1"/>
    <xf numFmtId="1" fontId="113" fillId="0" borderId="65" xfId="2674" applyNumberFormat="1" applyFont="1" applyBorder="1"/>
    <xf numFmtId="1" fontId="113" fillId="0" borderId="0" xfId="2674" applyNumberFormat="1" applyFont="1" applyBorder="1"/>
    <xf numFmtId="1" fontId="113" fillId="0" borderId="60" xfId="2674" applyNumberFormat="1" applyFont="1" applyBorder="1"/>
    <xf numFmtId="167" fontId="113" fillId="0" borderId="54" xfId="2674" applyNumberFormat="1" applyFont="1" applyFill="1" applyBorder="1"/>
    <xf numFmtId="167" fontId="113" fillId="0" borderId="23" xfId="2674" applyNumberFormat="1" applyFont="1" applyFill="1" applyBorder="1"/>
    <xf numFmtId="167" fontId="113" fillId="0" borderId="50" xfId="2674" applyNumberFormat="1" applyFont="1" applyFill="1" applyBorder="1"/>
    <xf numFmtId="167" fontId="113" fillId="0" borderId="94" xfId="2674" applyNumberFormat="1" applyFont="1" applyFill="1" applyBorder="1"/>
    <xf numFmtId="4" fontId="113" fillId="0" borderId="54" xfId="2674" applyNumberFormat="1" applyFont="1" applyBorder="1"/>
    <xf numFmtId="4" fontId="113" fillId="0" borderId="50" xfId="2674" applyNumberFormat="1" applyFont="1" applyBorder="1"/>
    <xf numFmtId="0" fontId="113" fillId="0" borderId="54" xfId="2674" applyFont="1" applyBorder="1"/>
    <xf numFmtId="0" fontId="113" fillId="0" borderId="94" xfId="2674" applyFont="1" applyBorder="1"/>
    <xf numFmtId="2" fontId="113" fillId="0" borderId="23" xfId="2674" applyNumberFormat="1" applyFont="1" applyBorder="1"/>
    <xf numFmtId="2" fontId="113" fillId="0" borderId="50" xfId="2674" applyNumberFormat="1" applyFont="1" applyBorder="1"/>
    <xf numFmtId="2" fontId="113" fillId="0" borderId="94" xfId="2674" applyNumberFormat="1" applyFont="1" applyBorder="1"/>
    <xf numFmtId="0" fontId="113" fillId="0" borderId="50" xfId="2674" applyFont="1" applyBorder="1"/>
    <xf numFmtId="214" fontId="110" fillId="0" borderId="0" xfId="2674" applyNumberFormat="1" applyFont="1"/>
    <xf numFmtId="1" fontId="113" fillId="0" borderId="78" xfId="2674" applyNumberFormat="1" applyFont="1" applyBorder="1"/>
    <xf numFmtId="2" fontId="113" fillId="0" borderId="22" xfId="2674" applyNumberFormat="1" applyFont="1" applyBorder="1"/>
    <xf numFmtId="2" fontId="113" fillId="0" borderId="69" xfId="2674" applyNumberFormat="1" applyFont="1" applyBorder="1"/>
    <xf numFmtId="2" fontId="113" fillId="0" borderId="78" xfId="2674" applyNumberFormat="1" applyFont="1" applyBorder="1"/>
    <xf numFmtId="2" fontId="113" fillId="0" borderId="0" xfId="2674" applyNumberFormat="1" applyFont="1" applyBorder="1"/>
    <xf numFmtId="2" fontId="113" fillId="0" borderId="60" xfId="2674" applyNumberFormat="1" applyFont="1" applyBorder="1"/>
    <xf numFmtId="2" fontId="113" fillId="0" borderId="77" xfId="2674" applyNumberFormat="1" applyFont="1" applyBorder="1"/>
    <xf numFmtId="4" fontId="109" fillId="0" borderId="0" xfId="2674" applyNumberFormat="1" applyFont="1"/>
    <xf numFmtId="0" fontId="119" fillId="0" borderId="77" xfId="2674" applyFont="1" applyBorder="1"/>
    <xf numFmtId="2" fontId="119" fillId="0" borderId="65" xfId="2674" applyNumberFormat="1" applyFont="1" applyFill="1" applyBorder="1"/>
    <xf numFmtId="2" fontId="119" fillId="0" borderId="0" xfId="2674" applyNumberFormat="1" applyFont="1" applyBorder="1"/>
    <xf numFmtId="2" fontId="119" fillId="0" borderId="60" xfId="2674" applyNumberFormat="1" applyFont="1" applyBorder="1"/>
    <xf numFmtId="2" fontId="113" fillId="0" borderId="65" xfId="2674" applyNumberFormat="1" applyFont="1" applyFill="1" applyBorder="1"/>
    <xf numFmtId="2" fontId="113" fillId="0" borderId="65" xfId="2674" applyNumberFormat="1" applyFont="1" applyBorder="1"/>
    <xf numFmtId="2" fontId="110" fillId="0" borderId="0" xfId="2674" applyNumberFormat="1" applyFont="1"/>
    <xf numFmtId="3" fontId="113" fillId="0" borderId="54" xfId="2674" applyNumberFormat="1" applyFont="1" applyBorder="1"/>
    <xf numFmtId="3" fontId="113" fillId="0" borderId="50" xfId="2674" applyNumberFormat="1" applyFont="1" applyBorder="1"/>
    <xf numFmtId="3" fontId="113" fillId="0" borderId="94" xfId="2674" applyNumberFormat="1" applyFont="1" applyBorder="1"/>
    <xf numFmtId="3" fontId="298" fillId="0" borderId="0" xfId="2674" applyNumberFormat="1" applyFont="1" applyBorder="1"/>
    <xf numFmtId="3" fontId="307" fillId="0" borderId="74" xfId="2674" applyNumberFormat="1" applyFont="1" applyBorder="1"/>
    <xf numFmtId="3" fontId="307" fillId="0" borderId="22" xfId="2674" applyNumberFormat="1" applyFont="1" applyBorder="1"/>
    <xf numFmtId="3" fontId="307" fillId="0" borderId="78" xfId="2674" applyNumberFormat="1" applyFont="1" applyBorder="1"/>
    <xf numFmtId="3" fontId="307" fillId="0" borderId="69" xfId="2674" applyNumberFormat="1" applyFont="1" applyBorder="1"/>
    <xf numFmtId="3" fontId="307" fillId="0" borderId="77" xfId="2674" applyNumberFormat="1" applyFont="1" applyBorder="1"/>
    <xf numFmtId="3" fontId="317" fillId="0" borderId="77" xfId="2674" applyNumberFormat="1" applyFont="1" applyFill="1" applyBorder="1" applyAlignment="1">
      <alignment horizontal="right" vertical="center"/>
    </xf>
    <xf numFmtId="3" fontId="317" fillId="0" borderId="0" xfId="2674" applyNumberFormat="1" applyFont="1" applyFill="1" applyBorder="1" applyAlignment="1">
      <alignment horizontal="right" vertical="center"/>
    </xf>
    <xf numFmtId="3" fontId="317" fillId="0" borderId="60" xfId="2674" applyNumberFormat="1" applyFont="1" applyFill="1" applyBorder="1" applyAlignment="1">
      <alignment horizontal="right" vertical="center"/>
    </xf>
    <xf numFmtId="3" fontId="256" fillId="0" borderId="65" xfId="2674" applyNumberFormat="1" applyFont="1" applyBorder="1"/>
    <xf numFmtId="3" fontId="256" fillId="0" borderId="77" xfId="2674" applyNumberFormat="1" applyFont="1" applyBorder="1"/>
    <xf numFmtId="3" fontId="307" fillId="0" borderId="114" xfId="2674" applyNumberFormat="1" applyFont="1" applyBorder="1"/>
    <xf numFmtId="3" fontId="307" fillId="0" borderId="0" xfId="2674" applyNumberFormat="1" applyFont="1"/>
    <xf numFmtId="3" fontId="307" fillId="0" borderId="65" xfId="2674" applyNumberFormat="1" applyFont="1" applyBorder="1"/>
    <xf numFmtId="4" fontId="307" fillId="0" borderId="77" xfId="2674" applyNumberFormat="1" applyFont="1" applyBorder="1"/>
    <xf numFmtId="3" fontId="14" fillId="41" borderId="95" xfId="2674" applyNumberFormat="1" applyFont="1" applyFill="1" applyBorder="1" applyAlignment="1">
      <alignment horizontal="right" vertical="center"/>
    </xf>
    <xf numFmtId="3" fontId="14" fillId="41" borderId="96" xfId="2674" applyNumberFormat="1" applyFont="1" applyFill="1" applyBorder="1" applyAlignment="1">
      <alignment horizontal="right" vertical="center"/>
    </xf>
    <xf numFmtId="3" fontId="14" fillId="41" borderId="21" xfId="2674" applyNumberFormat="1" applyFont="1" applyFill="1" applyBorder="1" applyAlignment="1">
      <alignment horizontal="right" vertical="center"/>
    </xf>
    <xf numFmtId="3" fontId="14" fillId="0" borderId="0" xfId="2674" applyNumberFormat="1" applyFont="1" applyFill="1" applyBorder="1"/>
    <xf numFmtId="3" fontId="14" fillId="41" borderId="97" xfId="2674" applyNumberFormat="1" applyFont="1" applyFill="1" applyBorder="1" applyAlignment="1">
      <alignment horizontal="right" vertical="center"/>
    </xf>
    <xf numFmtId="3" fontId="124" fillId="0" borderId="96" xfId="2674" applyNumberFormat="1" applyFont="1" applyFill="1" applyBorder="1" applyAlignment="1">
      <alignment horizontal="right" vertical="center"/>
    </xf>
    <xf numFmtId="3" fontId="14" fillId="0" borderId="0" xfId="2674" applyNumberFormat="1" applyFont="1" applyBorder="1"/>
    <xf numFmtId="3" fontId="14" fillId="41" borderId="74" xfId="2674" applyNumberFormat="1" applyFont="1" applyFill="1" applyBorder="1" applyAlignment="1">
      <alignment horizontal="right" vertical="center"/>
    </xf>
    <xf numFmtId="3" fontId="14" fillId="41" borderId="22" xfId="2674" applyNumberFormat="1" applyFont="1" applyFill="1" applyBorder="1" applyAlignment="1">
      <alignment horizontal="right" vertical="center"/>
    </xf>
    <xf numFmtId="3" fontId="14" fillId="41" borderId="69" xfId="2674" applyNumberFormat="1" applyFont="1" applyFill="1" applyBorder="1" applyAlignment="1">
      <alignment horizontal="right" vertical="center"/>
    </xf>
    <xf numFmtId="0" fontId="14" fillId="41" borderId="21" xfId="2674" applyFont="1" applyFill="1" applyBorder="1" applyAlignment="1">
      <alignment horizontal="center" vertical="center"/>
    </xf>
    <xf numFmtId="0" fontId="14" fillId="41" borderId="21" xfId="2674" applyFont="1" applyFill="1" applyBorder="1" applyAlignment="1">
      <alignment vertical="center"/>
    </xf>
    <xf numFmtId="167" fontId="13" fillId="41" borderId="95" xfId="2674" applyNumberFormat="1" applyFont="1" applyFill="1" applyBorder="1" applyAlignment="1">
      <alignment horizontal="right" vertical="center"/>
    </xf>
    <xf numFmtId="3" fontId="13" fillId="41" borderId="96" xfId="2674" applyNumberFormat="1" applyFont="1" applyFill="1" applyBorder="1" applyAlignment="1">
      <alignment horizontal="right" vertical="center"/>
    </xf>
    <xf numFmtId="3" fontId="13" fillId="41" borderId="21" xfId="2674" applyNumberFormat="1" applyFont="1" applyFill="1" applyBorder="1" applyAlignment="1">
      <alignment horizontal="right" vertical="center"/>
    </xf>
    <xf numFmtId="3" fontId="13" fillId="41" borderId="97" xfId="2674" applyNumberFormat="1" applyFont="1" applyFill="1" applyBorder="1" applyAlignment="1">
      <alignment horizontal="right" vertical="center"/>
    </xf>
    <xf numFmtId="3" fontId="13" fillId="41" borderId="77" xfId="2674" applyNumberFormat="1" applyFont="1" applyFill="1" applyBorder="1" applyAlignment="1">
      <alignment horizontal="right" vertical="center"/>
    </xf>
    <xf numFmtId="3" fontId="13" fillId="41" borderId="95" xfId="2674" applyNumberFormat="1" applyFont="1" applyFill="1" applyBorder="1" applyAlignment="1">
      <alignment horizontal="right" vertical="center"/>
    </xf>
    <xf numFmtId="3" fontId="13" fillId="41" borderId="74" xfId="2674" applyNumberFormat="1" applyFont="1" applyFill="1" applyBorder="1" applyAlignment="1">
      <alignment horizontal="right" vertical="center"/>
    </xf>
    <xf numFmtId="3" fontId="13" fillId="41" borderId="22" xfId="2674" applyNumberFormat="1" applyFont="1" applyFill="1" applyBorder="1" applyAlignment="1">
      <alignment horizontal="right" vertical="center"/>
    </xf>
    <xf numFmtId="3" fontId="13" fillId="41" borderId="69" xfId="2674" applyNumberFormat="1" applyFont="1" applyFill="1" applyBorder="1" applyAlignment="1">
      <alignment horizontal="right" vertical="center"/>
    </xf>
    <xf numFmtId="0" fontId="13" fillId="41" borderId="21" xfId="2674" applyFont="1" applyFill="1" applyBorder="1" applyAlignment="1">
      <alignment horizontal="center" vertical="center"/>
    </xf>
    <xf numFmtId="4" fontId="13" fillId="41" borderId="74" xfId="2674" applyNumberFormat="1" applyFont="1" applyFill="1" applyBorder="1" applyAlignment="1">
      <alignment horizontal="right" vertical="center"/>
    </xf>
    <xf numFmtId="4" fontId="13" fillId="41" borderId="69" xfId="2674" applyNumberFormat="1" applyFont="1" applyFill="1" applyBorder="1" applyAlignment="1">
      <alignment horizontal="right" vertical="center"/>
    </xf>
    <xf numFmtId="4" fontId="13" fillId="41" borderId="22" xfId="2674" applyNumberFormat="1" applyFont="1" applyFill="1" applyBorder="1" applyAlignment="1">
      <alignment horizontal="right" vertical="center"/>
    </xf>
    <xf numFmtId="4" fontId="13" fillId="41" borderId="78" xfId="2674" applyNumberFormat="1" applyFont="1" applyFill="1" applyBorder="1" applyAlignment="1">
      <alignment horizontal="right" vertical="center"/>
    </xf>
    <xf numFmtId="0" fontId="13" fillId="41" borderId="22" xfId="2674" applyFont="1" applyFill="1" applyBorder="1" applyAlignment="1">
      <alignment horizontal="center" vertical="center"/>
    </xf>
    <xf numFmtId="167" fontId="13" fillId="41" borderId="65" xfId="2674" applyNumberFormat="1" applyFont="1" applyFill="1" applyBorder="1" applyAlignment="1">
      <alignment horizontal="right" vertical="center"/>
    </xf>
    <xf numFmtId="3" fontId="13" fillId="41" borderId="60" xfId="2674" applyNumberFormat="1" applyFont="1" applyFill="1" applyBorder="1" applyAlignment="1">
      <alignment horizontal="right" vertical="center"/>
    </xf>
    <xf numFmtId="3" fontId="13" fillId="41" borderId="0" xfId="2674" applyNumberFormat="1" applyFont="1" applyFill="1" applyBorder="1" applyAlignment="1">
      <alignment horizontal="right" vertical="center"/>
    </xf>
    <xf numFmtId="3" fontId="13" fillId="41" borderId="65" xfId="2674" applyNumberFormat="1" applyFont="1" applyFill="1" applyBorder="1" applyAlignment="1">
      <alignment horizontal="right" vertical="center"/>
    </xf>
    <xf numFmtId="0" fontId="13" fillId="41" borderId="0" xfId="2674" applyFont="1" applyFill="1" applyBorder="1" applyAlignment="1">
      <alignment horizontal="center" vertical="center"/>
    </xf>
    <xf numFmtId="167" fontId="124" fillId="0" borderId="74" xfId="2674" applyNumberFormat="1" applyFont="1" applyFill="1" applyBorder="1" applyAlignment="1">
      <alignment horizontal="right" vertical="center"/>
    </xf>
    <xf numFmtId="3" fontId="124" fillId="0" borderId="69" xfId="2674" applyNumberFormat="1" applyFont="1" applyFill="1" applyBorder="1" applyAlignment="1">
      <alignment horizontal="right" vertical="center"/>
    </xf>
    <xf numFmtId="3" fontId="124" fillId="0" borderId="22" xfId="2674" applyNumberFormat="1" applyFont="1" applyFill="1" applyBorder="1" applyAlignment="1">
      <alignment horizontal="right" vertical="center"/>
    </xf>
    <xf numFmtId="3" fontId="124" fillId="0" borderId="78" xfId="2674" applyNumberFormat="1" applyFont="1" applyFill="1" applyBorder="1" applyAlignment="1">
      <alignment horizontal="right" vertical="center"/>
    </xf>
    <xf numFmtId="3" fontId="124" fillId="0" borderId="74" xfId="2674" applyNumberFormat="1" applyFont="1" applyFill="1" applyBorder="1" applyAlignment="1">
      <alignment horizontal="right" vertical="center"/>
    </xf>
    <xf numFmtId="0" fontId="113" fillId="0" borderId="22" xfId="2674" applyFont="1" applyFill="1" applyBorder="1" applyAlignment="1">
      <alignment horizontal="center" vertical="center"/>
    </xf>
    <xf numFmtId="0" fontId="110" fillId="0" borderId="0" xfId="2674" applyFont="1" applyFill="1"/>
    <xf numFmtId="167" fontId="14" fillId="0" borderId="65" xfId="2674" applyNumberFormat="1" applyFont="1" applyFill="1" applyBorder="1" applyAlignment="1">
      <alignment horizontal="right" vertical="center"/>
    </xf>
    <xf numFmtId="3" fontId="14" fillId="0" borderId="60" xfId="2674" applyNumberFormat="1" applyFont="1" applyFill="1" applyBorder="1" applyAlignment="1">
      <alignment horizontal="right" vertical="center"/>
    </xf>
    <xf numFmtId="3" fontId="14" fillId="0" borderId="0" xfId="2674" applyNumberFormat="1" applyFont="1" applyFill="1" applyBorder="1" applyAlignment="1">
      <alignment horizontal="right" vertical="center"/>
    </xf>
    <xf numFmtId="3" fontId="124" fillId="0" borderId="77" xfId="2674" applyNumberFormat="1" applyFont="1" applyFill="1" applyBorder="1" applyAlignment="1">
      <alignment horizontal="right" vertical="center"/>
    </xf>
    <xf numFmtId="3" fontId="124" fillId="0" borderId="0" xfId="2674" applyNumberFormat="1" applyFont="1" applyFill="1" applyBorder="1" applyAlignment="1">
      <alignment horizontal="right" vertical="center"/>
    </xf>
    <xf numFmtId="3" fontId="124" fillId="0" borderId="60" xfId="2674" applyNumberFormat="1" applyFont="1" applyFill="1" applyBorder="1" applyAlignment="1">
      <alignment horizontal="right" vertical="center"/>
    </xf>
    <xf numFmtId="3" fontId="124" fillId="0" borderId="65" xfId="2674" applyNumberFormat="1" applyFont="1" applyFill="1" applyBorder="1" applyAlignment="1">
      <alignment horizontal="right" vertical="center"/>
    </xf>
    <xf numFmtId="3" fontId="124" fillId="0" borderId="65" xfId="2674" applyNumberFormat="1" applyFont="1" applyFill="1" applyBorder="1" applyAlignment="1">
      <alignment horizontal="right" vertical="center" wrapText="1"/>
    </xf>
    <xf numFmtId="3" fontId="124" fillId="0" borderId="0" xfId="2674" applyNumberFormat="1" applyFont="1" applyFill="1" applyBorder="1" applyAlignment="1">
      <alignment horizontal="right" vertical="center" wrapText="1"/>
    </xf>
    <xf numFmtId="3" fontId="124" fillId="0" borderId="60" xfId="2674" applyNumberFormat="1" applyFont="1" applyFill="1" applyBorder="1" applyAlignment="1">
      <alignment horizontal="right" vertical="center" wrapText="1"/>
    </xf>
    <xf numFmtId="3" fontId="124" fillId="0" borderId="77" xfId="2674" applyNumberFormat="1" applyFont="1" applyFill="1" applyBorder="1" applyAlignment="1">
      <alignment horizontal="right" vertical="center" wrapText="1"/>
    </xf>
    <xf numFmtId="167" fontId="124" fillId="0" borderId="65" xfId="2674" applyNumberFormat="1" applyFont="1" applyFill="1" applyBorder="1" applyAlignment="1">
      <alignment horizontal="right" vertical="center"/>
    </xf>
    <xf numFmtId="3" fontId="14" fillId="0" borderId="65" xfId="2674" applyNumberFormat="1" applyFont="1" applyFill="1" applyBorder="1" applyAlignment="1">
      <alignment horizontal="right" vertical="center"/>
    </xf>
    <xf numFmtId="0" fontId="113" fillId="0" borderId="60" xfId="2674" applyFont="1" applyFill="1" applyBorder="1"/>
    <xf numFmtId="0" fontId="119" fillId="0" borderId="0" xfId="2674" applyFont="1" applyFill="1" applyBorder="1" applyAlignment="1">
      <alignment horizontal="center" vertical="center"/>
    </xf>
    <xf numFmtId="0" fontId="109" fillId="0" borderId="0" xfId="2674" applyFont="1" applyFill="1"/>
    <xf numFmtId="167" fontId="123" fillId="0" borderId="65" xfId="2674" applyNumberFormat="1" applyFont="1" applyFill="1" applyBorder="1" applyAlignment="1">
      <alignment horizontal="right" vertical="center"/>
    </xf>
    <xf numFmtId="3" fontId="123" fillId="0" borderId="60" xfId="2674" applyNumberFormat="1" applyFont="1" applyFill="1" applyBorder="1" applyAlignment="1">
      <alignment horizontal="right" vertical="center"/>
    </xf>
    <xf numFmtId="3" fontId="123" fillId="0" borderId="0" xfId="2674" applyNumberFormat="1" applyFont="1" applyFill="1" applyBorder="1" applyAlignment="1">
      <alignment horizontal="right" vertical="center"/>
    </xf>
    <xf numFmtId="3" fontId="119" fillId="0" borderId="0" xfId="2674" applyNumberFormat="1" applyFont="1" applyFill="1" applyBorder="1"/>
    <xf numFmtId="3" fontId="123" fillId="0" borderId="77" xfId="2674" applyNumberFormat="1" applyFont="1" applyFill="1" applyBorder="1" applyAlignment="1">
      <alignment horizontal="right" vertical="center"/>
    </xf>
    <xf numFmtId="3" fontId="123" fillId="0" borderId="65" xfId="2674" applyNumberFormat="1" applyFont="1" applyFill="1" applyBorder="1" applyAlignment="1">
      <alignment horizontal="right" vertical="center"/>
    </xf>
    <xf numFmtId="3" fontId="123" fillId="0" borderId="65" xfId="2674" applyNumberFormat="1" applyFont="1" applyFill="1" applyBorder="1" applyAlignment="1">
      <alignment horizontal="right" vertical="center" wrapText="1"/>
    </xf>
    <xf numFmtId="3" fontId="123" fillId="0" borderId="0" xfId="2674" applyNumberFormat="1" applyFont="1" applyFill="1" applyBorder="1" applyAlignment="1">
      <alignment horizontal="right" vertical="center" wrapText="1"/>
    </xf>
    <xf numFmtId="3" fontId="123" fillId="0" borderId="60" xfId="2674" applyNumberFormat="1" applyFont="1" applyFill="1" applyBorder="1" applyAlignment="1">
      <alignment horizontal="right" vertical="center" wrapText="1"/>
    </xf>
    <xf numFmtId="167" fontId="109" fillId="0" borderId="0" xfId="2674" applyNumberFormat="1" applyFont="1" applyFill="1"/>
    <xf numFmtId="0" fontId="110" fillId="88" borderId="0" xfId="2674" applyFont="1" applyFill="1"/>
    <xf numFmtId="3" fontId="14" fillId="0" borderId="65" xfId="2674" applyNumberFormat="1" applyFont="1" applyFill="1" applyBorder="1" applyAlignment="1">
      <alignment horizontal="right" vertical="center" wrapText="1"/>
    </xf>
    <xf numFmtId="3" fontId="14" fillId="0" borderId="0" xfId="2674" applyNumberFormat="1" applyFont="1" applyFill="1" applyBorder="1" applyAlignment="1">
      <alignment horizontal="right" vertical="center" wrapText="1"/>
    </xf>
    <xf numFmtId="0" fontId="119" fillId="0" borderId="60" xfId="2674" applyFont="1" applyFill="1" applyBorder="1"/>
    <xf numFmtId="207" fontId="113" fillId="0" borderId="0" xfId="2674" applyNumberFormat="1" applyFont="1" applyFill="1" applyBorder="1"/>
    <xf numFmtId="207" fontId="109" fillId="0" borderId="0" xfId="2674" applyNumberFormat="1" applyFont="1" applyFill="1"/>
    <xf numFmtId="3" fontId="119" fillId="0" borderId="65" xfId="2674" applyNumberFormat="1" applyFont="1" applyFill="1" applyBorder="1" applyAlignment="1">
      <alignment horizontal="right"/>
    </xf>
    <xf numFmtId="3" fontId="119" fillId="0" borderId="0" xfId="2674" applyNumberFormat="1" applyFont="1" applyFill="1" applyBorder="1" applyAlignment="1">
      <alignment horizontal="right"/>
    </xf>
    <xf numFmtId="3" fontId="119" fillId="0" borderId="0" xfId="2674" applyNumberFormat="1" applyFont="1" applyFill="1" applyAlignment="1">
      <alignment horizontal="right"/>
    </xf>
    <xf numFmtId="3" fontId="15" fillId="0" borderId="65" xfId="2674" applyNumberFormat="1" applyFont="1" applyFill="1" applyBorder="1" applyAlignment="1"/>
    <xf numFmtId="207" fontId="110" fillId="0" borderId="0" xfId="2674" applyNumberFormat="1" applyFont="1" applyFill="1"/>
    <xf numFmtId="167" fontId="13" fillId="0" borderId="65" xfId="2674" applyNumberFormat="1" applyFont="1" applyFill="1" applyBorder="1" applyAlignment="1">
      <alignment horizontal="right" vertical="center"/>
    </xf>
    <xf numFmtId="3" fontId="13" fillId="0" borderId="60" xfId="2674" applyNumberFormat="1" applyFont="1" applyFill="1" applyBorder="1" applyAlignment="1">
      <alignment horizontal="right" vertical="center"/>
    </xf>
    <xf numFmtId="3" fontId="13" fillId="0" borderId="0" xfId="2674" applyNumberFormat="1" applyFont="1" applyFill="1" applyBorder="1" applyAlignment="1">
      <alignment horizontal="right" vertical="center"/>
    </xf>
    <xf numFmtId="3" fontId="13" fillId="0" borderId="77" xfId="2674" applyNumberFormat="1" applyFont="1" applyFill="1" applyBorder="1" applyAlignment="1">
      <alignment horizontal="right" vertical="center"/>
    </xf>
    <xf numFmtId="3" fontId="13" fillId="0" borderId="65" xfId="2674" applyNumberFormat="1" applyFont="1" applyFill="1" applyBorder="1" applyAlignment="1">
      <alignment horizontal="right" vertical="center"/>
    </xf>
    <xf numFmtId="0" fontId="13" fillId="0" borderId="0" xfId="2674" applyFont="1" applyFill="1" applyBorder="1" applyAlignment="1">
      <alignment horizontal="center" vertical="center"/>
    </xf>
    <xf numFmtId="0" fontId="119" fillId="0" borderId="22" xfId="2674" applyFont="1" applyFill="1" applyBorder="1" applyAlignment="1">
      <alignment horizontal="center" vertical="center"/>
    </xf>
    <xf numFmtId="167" fontId="109" fillId="0" borderId="0" xfId="2674" applyNumberFormat="1" applyFont="1"/>
    <xf numFmtId="3" fontId="109" fillId="0" borderId="0" xfId="2674" applyNumberFormat="1" applyFont="1" applyFill="1"/>
    <xf numFmtId="167" fontId="110" fillId="0" borderId="0" xfId="2674" applyNumberFormat="1" applyFont="1" applyFill="1"/>
    <xf numFmtId="3" fontId="124" fillId="0" borderId="65" xfId="2674" applyNumberFormat="1" applyFont="1" applyFill="1" applyBorder="1" applyAlignment="1">
      <alignment horizontal="right"/>
    </xf>
    <xf numFmtId="3" fontId="124" fillId="0" borderId="0" xfId="2674" applyNumberFormat="1" applyFont="1" applyFill="1" applyBorder="1" applyAlignment="1">
      <alignment horizontal="right"/>
    </xf>
    <xf numFmtId="3" fontId="124" fillId="0" borderId="60" xfId="2674" applyNumberFormat="1" applyFont="1" applyFill="1" applyBorder="1" applyAlignment="1">
      <alignment horizontal="right"/>
    </xf>
    <xf numFmtId="3" fontId="124" fillId="0" borderId="77" xfId="2674" applyNumberFormat="1" applyFont="1" applyFill="1" applyBorder="1" applyAlignment="1">
      <alignment horizontal="right"/>
    </xf>
    <xf numFmtId="3" fontId="13" fillId="41" borderId="117" xfId="2674" applyNumberFormat="1" applyFont="1" applyFill="1" applyBorder="1" applyAlignment="1">
      <alignment horizontal="right" vertical="center"/>
    </xf>
    <xf numFmtId="3" fontId="13" fillId="41" borderId="118" xfId="2674" applyNumberFormat="1" applyFont="1" applyFill="1" applyBorder="1" applyAlignment="1">
      <alignment horizontal="right" vertical="center"/>
    </xf>
    <xf numFmtId="0" fontId="322" fillId="0" borderId="0" xfId="2674" applyFont="1" applyFill="1" applyBorder="1" applyAlignment="1">
      <alignment horizontal="center" vertical="center" wrapText="1"/>
    </xf>
    <xf numFmtId="0" fontId="126" fillId="0" borderId="0" xfId="2660" applyFont="1" applyBorder="1"/>
    <xf numFmtId="211" fontId="126" fillId="0" borderId="0" xfId="2663" applyNumberFormat="1" applyFont="1" applyBorder="1"/>
    <xf numFmtId="2" fontId="126" fillId="0" borderId="0" xfId="2660" applyNumberFormat="1" applyFont="1" applyBorder="1"/>
    <xf numFmtId="201" fontId="14" fillId="0" borderId="0" xfId="0" applyNumberFormat="1" applyFont="1"/>
    <xf numFmtId="0" fontId="110" fillId="0" borderId="0" xfId="2673" applyFont="1" applyBorder="1"/>
    <xf numFmtId="166" fontId="110" fillId="0" borderId="0" xfId="2673" applyNumberFormat="1" applyFont="1" applyBorder="1"/>
    <xf numFmtId="166" fontId="113" fillId="0" borderId="0" xfId="2674" applyNumberFormat="1" applyFont="1"/>
    <xf numFmtId="3" fontId="126" fillId="0" borderId="0" xfId="2674" applyNumberFormat="1" applyFont="1"/>
    <xf numFmtId="0" fontId="323" fillId="0" borderId="0" xfId="2674" applyFont="1" applyBorder="1" applyAlignment="1">
      <alignment vertical="center"/>
    </xf>
    <xf numFmtId="3" fontId="323" fillId="0" borderId="0" xfId="2674" applyNumberFormat="1" applyFont="1" applyBorder="1" applyAlignment="1">
      <alignment horizontal="right" vertical="center"/>
    </xf>
    <xf numFmtId="0" fontId="1" fillId="0" borderId="0" xfId="2674" applyBorder="1" applyAlignment="1">
      <alignment vertical="center"/>
    </xf>
    <xf numFmtId="0" fontId="323" fillId="0" borderId="0" xfId="2674" applyFont="1" applyBorder="1" applyAlignment="1">
      <alignment horizontal="right" vertical="center"/>
    </xf>
    <xf numFmtId="166" fontId="276" fillId="0" borderId="0" xfId="624" applyNumberFormat="1" applyFont="1"/>
    <xf numFmtId="49" fontId="13" fillId="2" borderId="0" xfId="624" applyNumberFormat="1" applyFont="1" applyFill="1" applyAlignment="1">
      <alignment horizontal="center" vertical="center" wrapText="1"/>
    </xf>
    <xf numFmtId="49" fontId="118" fillId="2" borderId="0" xfId="624" applyNumberFormat="1" applyFont="1" applyFill="1" applyAlignment="1">
      <alignment horizontal="center" vertical="center" wrapText="1"/>
    </xf>
    <xf numFmtId="49" fontId="13" fillId="0" borderId="0" xfId="624" applyNumberFormat="1" applyFont="1" applyFill="1" applyAlignment="1">
      <alignment horizontal="center" vertical="center" wrapText="1"/>
    </xf>
    <xf numFmtId="166" fontId="113" fillId="0" borderId="0" xfId="624" applyNumberFormat="1" applyFont="1" applyAlignment="1">
      <alignment horizontal="center"/>
    </xf>
    <xf numFmtId="166" fontId="113" fillId="0" borderId="0" xfId="624" applyNumberFormat="1" applyFont="1" applyBorder="1" applyAlignment="1">
      <alignment horizontal="center"/>
    </xf>
    <xf numFmtId="0" fontId="115" fillId="0" borderId="0" xfId="2662" applyFont="1" applyFill="1"/>
    <xf numFmtId="0" fontId="115" fillId="0" borderId="0" xfId="2662" applyFont="1"/>
    <xf numFmtId="2" fontId="110" fillId="2" borderId="0" xfId="0" applyNumberFormat="1" applyFont="1" applyFill="1"/>
    <xf numFmtId="0" fontId="324" fillId="2" borderId="0" xfId="0" applyFont="1" applyFill="1"/>
    <xf numFmtId="49" fontId="14" fillId="41" borderId="0" xfId="0" applyNumberFormat="1" applyFont="1" applyFill="1"/>
    <xf numFmtId="0" fontId="124" fillId="41" borderId="0" xfId="0" applyFont="1" applyFill="1" applyAlignment="1">
      <alignment vertical="center"/>
    </xf>
    <xf numFmtId="0" fontId="124" fillId="41" borderId="0" xfId="0" applyFont="1" applyFill="1" applyAlignment="1">
      <alignment horizontal="center" vertical="center"/>
    </xf>
    <xf numFmtId="0" fontId="124" fillId="41" borderId="0" xfId="0" applyFont="1" applyFill="1" applyBorder="1" applyAlignment="1">
      <alignment vertical="center"/>
    </xf>
    <xf numFmtId="0" fontId="124" fillId="41" borderId="0" xfId="0" applyFont="1" applyFill="1" applyBorder="1" applyAlignment="1">
      <alignment horizontal="center" vertical="center"/>
    </xf>
    <xf numFmtId="3" fontId="124" fillId="41" borderId="0" xfId="0" applyNumberFormat="1" applyFont="1" applyFill="1" applyBorder="1" applyAlignment="1">
      <alignment horizontal="center" vertical="center"/>
    </xf>
    <xf numFmtId="3" fontId="124" fillId="41" borderId="0" xfId="0" applyNumberFormat="1" applyFont="1" applyFill="1" applyAlignment="1">
      <alignment horizontal="center" vertical="center"/>
    </xf>
    <xf numFmtId="0" fontId="325" fillId="41" borderId="0" xfId="0" applyFont="1" applyFill="1"/>
    <xf numFmtId="166" fontId="124" fillId="41" borderId="0" xfId="0" applyNumberFormat="1" applyFont="1" applyFill="1" applyBorder="1" applyAlignment="1">
      <alignment horizontal="center" vertical="center"/>
    </xf>
    <xf numFmtId="2" fontId="124" fillId="41" borderId="0" xfId="0" applyNumberFormat="1" applyFont="1" applyFill="1" applyBorder="1" applyAlignment="1">
      <alignment horizontal="center" vertical="center"/>
    </xf>
    <xf numFmtId="166" fontId="124" fillId="41" borderId="0" xfId="0" applyNumberFormat="1" applyFont="1" applyFill="1" applyAlignment="1">
      <alignment horizontal="center" vertical="center"/>
    </xf>
    <xf numFmtId="2" fontId="124" fillId="41" borderId="0" xfId="0" applyNumberFormat="1" applyFont="1" applyFill="1" applyAlignment="1">
      <alignment horizontal="center" vertical="center"/>
    </xf>
    <xf numFmtId="49" fontId="14" fillId="41" borderId="23" xfId="0" applyNumberFormat="1" applyFont="1" applyFill="1" applyBorder="1"/>
    <xf numFmtId="0" fontId="124" fillId="41" borderId="23" xfId="0" applyFont="1" applyFill="1" applyBorder="1" applyAlignment="1">
      <alignment vertical="center"/>
    </xf>
    <xf numFmtId="0" fontId="325" fillId="41" borderId="23" xfId="0" applyFont="1" applyFill="1" applyBorder="1"/>
    <xf numFmtId="9" fontId="124" fillId="41" borderId="23" xfId="0" applyNumberFormat="1" applyFont="1" applyFill="1" applyBorder="1" applyAlignment="1">
      <alignment horizontal="center" vertical="center"/>
    </xf>
    <xf numFmtId="0" fontId="0" fillId="2" borderId="0" xfId="0" applyFill="1" applyAlignment="1">
      <alignment vertical="center"/>
    </xf>
    <xf numFmtId="0" fontId="122" fillId="2" borderId="0" xfId="0" applyNumberFormat="1" applyFont="1" applyFill="1" applyAlignment="1">
      <alignment horizontal="center" vertical="center"/>
    </xf>
    <xf numFmtId="0" fontId="124" fillId="0" borderId="0" xfId="0" applyFont="1"/>
    <xf numFmtId="166" fontId="113" fillId="0" borderId="0" xfId="0" applyNumberFormat="1" applyFont="1" applyAlignment="1">
      <alignment horizontal="center" vertical="center"/>
    </xf>
    <xf numFmtId="212" fontId="107" fillId="0" borderId="0" xfId="2667" applyNumberFormat="1" applyFont="1" applyAlignment="1">
      <alignment vertical="center"/>
    </xf>
    <xf numFmtId="0" fontId="250" fillId="0" borderId="0" xfId="2673" applyFont="1" applyAlignment="1">
      <alignment vertical="center"/>
    </xf>
    <xf numFmtId="0" fontId="113" fillId="0" borderId="0" xfId="2673" applyFont="1" applyAlignment="1">
      <alignment vertical="center"/>
    </xf>
    <xf numFmtId="0" fontId="115" fillId="0" borderId="0" xfId="0" applyFont="1" applyAlignment="1">
      <alignment horizontal="justify" vertical="center"/>
    </xf>
    <xf numFmtId="0" fontId="288" fillId="0" borderId="0" xfId="2673" applyFont="1"/>
    <xf numFmtId="0" fontId="288" fillId="0" borderId="0" xfId="2673" applyFont="1" applyAlignment="1">
      <alignment vertical="center"/>
    </xf>
    <xf numFmtId="0" fontId="107" fillId="80" borderId="0" xfId="2660" applyFont="1" applyFill="1"/>
    <xf numFmtId="0" fontId="107" fillId="0" borderId="0" xfId="2660" applyFont="1" applyAlignment="1"/>
    <xf numFmtId="168" fontId="107" fillId="0" borderId="0" xfId="624" applyFont="1"/>
    <xf numFmtId="166" fontId="124" fillId="0" borderId="22" xfId="0" applyNumberFormat="1" applyFont="1" applyBorder="1" applyAlignment="1">
      <alignment vertical="center"/>
    </xf>
    <xf numFmtId="166" fontId="124" fillId="0" borderId="22" xfId="0" applyNumberFormat="1" applyFont="1" applyBorder="1" applyAlignment="1">
      <alignment horizontal="center" vertical="center"/>
    </xf>
    <xf numFmtId="0" fontId="113" fillId="0" borderId="0" xfId="0" applyFont="1" applyFill="1"/>
    <xf numFmtId="0" fontId="117" fillId="0" borderId="0" xfId="0" applyFont="1" applyAlignment="1">
      <alignment horizontal="left" vertical="center" wrapText="1"/>
    </xf>
    <xf numFmtId="0" fontId="107" fillId="0" borderId="0" xfId="0" applyFont="1" applyAlignment="1">
      <alignment horizontal="left" vertical="center" wrapText="1"/>
    </xf>
    <xf numFmtId="0" fontId="107" fillId="0" borderId="0" xfId="0" applyFont="1" applyFill="1" applyBorder="1" applyAlignment="1">
      <alignment vertical="center" wrapText="1"/>
    </xf>
    <xf numFmtId="0" fontId="128" fillId="0" borderId="23" xfId="0" applyFont="1" applyBorder="1" applyAlignment="1">
      <alignment horizontal="left" vertical="center" wrapText="1"/>
    </xf>
    <xf numFmtId="0" fontId="279" fillId="84" borderId="52" xfId="2670" applyFont="1" applyFill="1" applyBorder="1" applyAlignment="1">
      <alignment horizontal="center" vertical="center"/>
    </xf>
    <xf numFmtId="0" fontId="279" fillId="84" borderId="23" xfId="2670" applyFont="1" applyFill="1" applyBorder="1" applyAlignment="1">
      <alignment horizontal="center" vertical="center"/>
    </xf>
    <xf numFmtId="0" fontId="279" fillId="84" borderId="53" xfId="2670" applyFont="1" applyFill="1" applyBorder="1" applyAlignment="1">
      <alignment horizontal="center" vertical="center"/>
    </xf>
    <xf numFmtId="0" fontId="279" fillId="84" borderId="23" xfId="2670" applyFont="1" applyFill="1" applyBorder="1" applyAlignment="1">
      <alignment horizontal="center" vertical="center" wrapText="1"/>
    </xf>
    <xf numFmtId="0" fontId="279" fillId="84" borderId="54" xfId="2670" applyFont="1" applyFill="1" applyBorder="1" applyAlignment="1">
      <alignment horizontal="center" vertical="center" wrapText="1"/>
    </xf>
    <xf numFmtId="0" fontId="181" fillId="0" borderId="0" xfId="2670" applyFont="1" applyBorder="1" applyAlignment="1">
      <alignment horizontal="right" vertical="center"/>
    </xf>
    <xf numFmtId="0" fontId="117" fillId="0" borderId="0" xfId="0" applyFont="1" applyAlignment="1">
      <alignment horizontal="left" wrapText="1"/>
    </xf>
    <xf numFmtId="0" fontId="117" fillId="0" borderId="0" xfId="2674" applyFont="1" applyBorder="1" applyAlignment="1">
      <alignment horizontal="left" vertical="center" wrapText="1"/>
    </xf>
    <xf numFmtId="0" fontId="107" fillId="0" borderId="22" xfId="2674" applyFont="1" applyBorder="1" applyAlignment="1">
      <alignment horizontal="left" vertical="center"/>
    </xf>
    <xf numFmtId="1" fontId="113" fillId="0" borderId="21" xfId="2676" applyNumberFormat="1" applyFont="1" applyFill="1" applyBorder="1" applyAlignment="1">
      <alignment horizontal="center" vertical="center" wrapText="1"/>
    </xf>
    <xf numFmtId="1" fontId="113" fillId="0" borderId="95" xfId="2676" applyNumberFormat="1" applyFont="1" applyFill="1" applyBorder="1" applyAlignment="1">
      <alignment horizontal="center" vertical="center" wrapText="1"/>
    </xf>
    <xf numFmtId="1" fontId="117" fillId="0" borderId="0" xfId="2674" applyNumberFormat="1" applyFont="1" applyBorder="1" applyAlignment="1">
      <alignment horizontal="right" vertical="center" wrapText="1"/>
    </xf>
    <xf numFmtId="0" fontId="107" fillId="0" borderId="0" xfId="2674" applyFont="1" applyAlignment="1">
      <alignment horizontal="left"/>
    </xf>
    <xf numFmtId="0" fontId="117" fillId="0" borderId="0" xfId="2674" applyFont="1" applyBorder="1" applyAlignment="1">
      <alignment horizontal="right" vertical="center"/>
    </xf>
    <xf numFmtId="0" fontId="107" fillId="0" borderId="0" xfId="2674" applyFont="1" applyAlignment="1">
      <alignment horizontal="left" vertical="center"/>
    </xf>
    <xf numFmtId="0" fontId="117" fillId="0" borderId="23" xfId="2674" applyFont="1" applyBorder="1" applyAlignment="1">
      <alignment horizontal="left" vertical="center" wrapText="1"/>
    </xf>
    <xf numFmtId="0" fontId="117" fillId="0" borderId="23" xfId="2674" applyFont="1" applyBorder="1" applyAlignment="1">
      <alignment horizontal="right" vertical="center"/>
    </xf>
    <xf numFmtId="0" fontId="296" fillId="0" borderId="23" xfId="2674" applyFont="1" applyBorder="1" applyAlignment="1">
      <alignment horizontal="left" vertical="center" wrapText="1"/>
    </xf>
    <xf numFmtId="0" fontId="107" fillId="0" borderId="0" xfId="0" applyFont="1" applyFill="1" applyAlignment="1">
      <alignment vertical="center"/>
    </xf>
    <xf numFmtId="0" fontId="117" fillId="0" borderId="0" xfId="0" applyFont="1" applyBorder="1" applyAlignment="1">
      <alignment horizontal="left" vertical="center" wrapText="1"/>
    </xf>
    <xf numFmtId="0" fontId="107" fillId="0" borderId="0" xfId="0" applyFont="1" applyAlignment="1">
      <alignment vertical="center"/>
    </xf>
    <xf numFmtId="0" fontId="117" fillId="0" borderId="0" xfId="0" applyFont="1" applyBorder="1" applyAlignment="1">
      <alignment vertical="center" wrapText="1"/>
    </xf>
    <xf numFmtId="0" fontId="117" fillId="0" borderId="0" xfId="0" applyFont="1" applyBorder="1" applyAlignment="1">
      <alignment horizontal="right" vertical="center"/>
    </xf>
    <xf numFmtId="0" fontId="107" fillId="0" borderId="0" xfId="0" applyFont="1" applyAlignment="1">
      <alignment horizontal="left" vertical="center"/>
    </xf>
    <xf numFmtId="0" fontId="123" fillId="0" borderId="0" xfId="0" applyFont="1" applyAlignment="1">
      <alignment horizontal="center" vertical="center" wrapText="1"/>
    </xf>
    <xf numFmtId="0" fontId="123" fillId="0" borderId="40" xfId="0" applyFont="1" applyBorder="1" applyAlignment="1">
      <alignment horizontal="center" vertical="center" wrapText="1"/>
    </xf>
    <xf numFmtId="0" fontId="123" fillId="0" borderId="41" xfId="0" applyFont="1" applyBorder="1" applyAlignment="1">
      <alignment horizontal="center" vertical="center" wrapText="1"/>
    </xf>
    <xf numFmtId="0" fontId="279" fillId="84" borderId="76" xfId="2667" applyFont="1" applyFill="1" applyBorder="1" applyAlignment="1">
      <alignment horizontal="center" vertical="center"/>
    </xf>
    <xf numFmtId="0" fontId="279" fillId="84" borderId="0" xfId="2667" applyFont="1" applyFill="1" applyBorder="1" applyAlignment="1">
      <alignment horizontal="center" vertical="center"/>
    </xf>
    <xf numFmtId="0" fontId="279" fillId="84" borderId="80" xfId="2667" applyFont="1" applyFill="1" applyBorder="1" applyAlignment="1">
      <alignment horizontal="center" vertical="center"/>
    </xf>
    <xf numFmtId="0" fontId="279" fillId="84" borderId="0" xfId="2667" applyFont="1" applyFill="1" applyAlignment="1">
      <alignment horizontal="center" vertical="center"/>
    </xf>
    <xf numFmtId="0" fontId="117" fillId="0" borderId="0" xfId="2667" applyFont="1" applyBorder="1" applyAlignment="1">
      <alignment horizontal="center" vertical="center"/>
    </xf>
    <xf numFmtId="0" fontId="288" fillId="0" borderId="0" xfId="2673" applyFont="1" applyAlignment="1">
      <alignment horizontal="left"/>
    </xf>
    <xf numFmtId="0" fontId="118" fillId="85" borderId="81" xfId="2673" applyFont="1" applyFill="1" applyBorder="1" applyAlignment="1">
      <alignment horizontal="center" vertical="center" wrapText="1"/>
    </xf>
    <xf numFmtId="0" fontId="118" fillId="82" borderId="76" xfId="2673" applyFont="1" applyFill="1" applyBorder="1" applyAlignment="1">
      <alignment horizontal="center" vertical="center"/>
    </xf>
    <xf numFmtId="0" fontId="118" fillId="82" borderId="0" xfId="2673" applyFont="1" applyFill="1" applyBorder="1" applyAlignment="1">
      <alignment horizontal="center" vertical="center"/>
    </xf>
    <xf numFmtId="0" fontId="118" fillId="82" borderId="80" xfId="2673" applyFont="1" applyFill="1" applyBorder="1" applyAlignment="1">
      <alignment horizontal="center" vertical="center"/>
    </xf>
    <xf numFmtId="0" fontId="118" fillId="82" borderId="76" xfId="2673" applyFont="1" applyFill="1" applyBorder="1" applyAlignment="1">
      <alignment horizontal="center" vertical="center" wrapText="1"/>
    </xf>
    <xf numFmtId="0" fontId="118" fillId="82" borderId="0" xfId="2673" applyFont="1" applyFill="1" applyBorder="1" applyAlignment="1">
      <alignment horizontal="center" vertical="center" wrapText="1"/>
    </xf>
    <xf numFmtId="0" fontId="118" fillId="82" borderId="80" xfId="2673" applyFont="1" applyFill="1" applyBorder="1" applyAlignment="1">
      <alignment horizontal="center" vertical="center" wrapText="1"/>
    </xf>
    <xf numFmtId="0" fontId="107" fillId="0" borderId="0" xfId="2673" applyFont="1" applyBorder="1" applyAlignment="1">
      <alignment horizontal="left" vertical="center"/>
    </xf>
    <xf numFmtId="0" fontId="122" fillId="84" borderId="87" xfId="2673" applyFont="1" applyFill="1" applyBorder="1" applyAlignment="1">
      <alignment horizontal="center" vertical="center" wrapText="1"/>
    </xf>
    <xf numFmtId="0" fontId="117" fillId="0" borderId="0" xfId="2673" applyFont="1" applyBorder="1" applyAlignment="1">
      <alignment horizontal="right" vertical="center"/>
    </xf>
    <xf numFmtId="0" fontId="107" fillId="0" borderId="22" xfId="2674" applyFont="1" applyBorder="1" applyAlignment="1">
      <alignment vertical="center"/>
    </xf>
    <xf numFmtId="0" fontId="273" fillId="0" borderId="23" xfId="2674" applyFont="1" applyBorder="1" applyAlignment="1">
      <alignment horizontal="left" vertical="center" wrapText="1"/>
    </xf>
    <xf numFmtId="0" fontId="273" fillId="0" borderId="0" xfId="2674" applyFont="1" applyAlignment="1">
      <alignment horizontal="left" vertical="center" wrapText="1"/>
    </xf>
    <xf numFmtId="0" fontId="299" fillId="0" borderId="0" xfId="2674" applyFont="1" applyAlignment="1">
      <alignment horizontal="left" vertical="center" wrapText="1"/>
    </xf>
    <xf numFmtId="0" fontId="107" fillId="0" borderId="0" xfId="2674" applyFont="1" applyAlignment="1">
      <alignment horizontal="justify" vertical="center" wrapText="1"/>
    </xf>
    <xf numFmtId="0" fontId="117" fillId="0" borderId="0" xfId="2674" applyFont="1" applyAlignment="1">
      <alignment horizontal="left" vertical="center" wrapText="1"/>
    </xf>
    <xf numFmtId="0" fontId="122" fillId="2" borderId="0" xfId="2674" applyFont="1" applyFill="1" applyBorder="1" applyAlignment="1">
      <alignment horizontal="center" vertical="center" wrapText="1"/>
    </xf>
    <xf numFmtId="0" fontId="117" fillId="0" borderId="23" xfId="2674" applyFont="1" applyBorder="1" applyAlignment="1">
      <alignment horizontal="right" vertical="center" wrapText="1"/>
    </xf>
    <xf numFmtId="218" fontId="306" fillId="2" borderId="76" xfId="2674" applyNumberFormat="1" applyFont="1" applyFill="1" applyBorder="1" applyAlignment="1">
      <alignment horizontal="center" vertical="center" wrapText="1"/>
    </xf>
    <xf numFmtId="218" fontId="306" fillId="2" borderId="0" xfId="2674" applyNumberFormat="1" applyFont="1" applyFill="1" applyBorder="1" applyAlignment="1">
      <alignment horizontal="center" vertical="center" wrapText="1"/>
    </xf>
    <xf numFmtId="0" fontId="296" fillId="0" borderId="23" xfId="2674" applyFont="1" applyBorder="1" applyAlignment="1">
      <alignment horizontal="right"/>
    </xf>
    <xf numFmtId="0" fontId="298" fillId="0" borderId="0" xfId="2674" applyFont="1" applyFill="1" applyAlignment="1">
      <alignment horizontal="left" vertical="center"/>
    </xf>
    <xf numFmtId="218" fontId="306" fillId="2" borderId="75" xfId="2674" applyNumberFormat="1" applyFont="1" applyFill="1" applyBorder="1" applyAlignment="1">
      <alignment horizontal="center" vertical="center" wrapText="1"/>
    </xf>
    <xf numFmtId="218" fontId="306" fillId="2" borderId="112" xfId="2674" applyNumberFormat="1" applyFont="1" applyFill="1" applyBorder="1" applyAlignment="1">
      <alignment horizontal="center" vertical="center" wrapText="1"/>
    </xf>
    <xf numFmtId="218" fontId="306" fillId="2" borderId="80" xfId="2674" applyNumberFormat="1" applyFont="1" applyFill="1" applyBorder="1" applyAlignment="1">
      <alignment horizontal="center" vertical="center" wrapText="1"/>
    </xf>
    <xf numFmtId="218" fontId="306" fillId="2" borderId="111" xfId="2674" applyNumberFormat="1" applyFont="1" applyFill="1" applyBorder="1" applyAlignment="1">
      <alignment horizontal="center" vertical="center" wrapText="1"/>
    </xf>
    <xf numFmtId="218" fontId="306" fillId="2" borderId="109" xfId="2674" applyNumberFormat="1" applyFont="1" applyFill="1" applyBorder="1" applyAlignment="1">
      <alignment horizontal="center" vertical="center" wrapText="1"/>
    </xf>
    <xf numFmtId="218" fontId="306" fillId="2" borderId="79" xfId="2674" applyNumberFormat="1" applyFont="1" applyFill="1" applyBorder="1" applyAlignment="1">
      <alignment horizontal="center" vertical="center" wrapText="1"/>
    </xf>
    <xf numFmtId="218" fontId="306" fillId="2" borderId="110" xfId="2674" applyNumberFormat="1" applyFont="1" applyFill="1" applyBorder="1" applyAlignment="1">
      <alignment horizontal="center" vertical="center" wrapText="1"/>
    </xf>
    <xf numFmtId="0" fontId="298" fillId="0" borderId="0" xfId="2674" applyFont="1" applyAlignment="1">
      <alignment horizontal="left" vertical="center"/>
    </xf>
    <xf numFmtId="0" fontId="296" fillId="0" borderId="23" xfId="2674" applyFont="1" applyBorder="1" applyAlignment="1">
      <alignment horizontal="right" vertical="center"/>
    </xf>
    <xf numFmtId="0" fontId="107" fillId="0" borderId="0" xfId="2676" applyFont="1" applyAlignment="1">
      <alignment horizontal="left" vertical="center"/>
    </xf>
    <xf numFmtId="0" fontId="107" fillId="0" borderId="22" xfId="2676" applyFont="1" applyBorder="1" applyAlignment="1">
      <alignment horizontal="left" vertical="center"/>
    </xf>
    <xf numFmtId="0" fontId="296" fillId="0" borderId="23" xfId="2676" applyFont="1" applyBorder="1" applyAlignment="1">
      <alignment horizontal="right" vertical="center"/>
    </xf>
    <xf numFmtId="0" fontId="298" fillId="0" borderId="0" xfId="2676" applyFont="1" applyAlignment="1">
      <alignment horizontal="left" vertical="center"/>
    </xf>
    <xf numFmtId="0" fontId="297" fillId="0" borderId="0" xfId="2676" applyFont="1" applyAlignment="1">
      <alignment horizontal="left" vertical="center"/>
    </xf>
    <xf numFmtId="0" fontId="117" fillId="0" borderId="21" xfId="2676" applyFont="1" applyBorder="1" applyAlignment="1">
      <alignment horizontal="left" vertical="center" wrapText="1"/>
    </xf>
    <xf numFmtId="3" fontId="296" fillId="0" borderId="0" xfId="2676" applyNumberFormat="1" applyFont="1" applyBorder="1" applyAlignment="1">
      <alignment horizontal="right" vertical="center"/>
    </xf>
    <xf numFmtId="0" fontId="117" fillId="0" borderId="0" xfId="0" applyFont="1" applyBorder="1" applyAlignment="1">
      <alignment horizontal="justify" vertical="center"/>
    </xf>
    <xf numFmtId="3" fontId="117" fillId="0" borderId="0" xfId="2674" applyNumberFormat="1" applyFont="1" applyBorder="1" applyAlignment="1">
      <alignment horizontal="right" vertical="center"/>
    </xf>
    <xf numFmtId="3" fontId="296" fillId="0" borderId="0" xfId="2674" applyNumberFormat="1" applyFont="1" applyAlignment="1">
      <alignment horizontal="left" vertical="center" wrapText="1"/>
    </xf>
    <xf numFmtId="0" fontId="273" fillId="0" borderId="23" xfId="2674" applyFont="1" applyBorder="1" applyAlignment="1">
      <alignment horizontal="right" vertical="center"/>
    </xf>
    <xf numFmtId="0" fontId="298" fillId="0" borderId="40" xfId="2674" applyFont="1" applyBorder="1" applyAlignment="1">
      <alignment horizontal="justify" vertical="center"/>
    </xf>
    <xf numFmtId="0" fontId="296" fillId="0" borderId="0" xfId="2674" applyFont="1" applyBorder="1" applyAlignment="1">
      <alignment horizontal="right" vertical="center"/>
    </xf>
    <xf numFmtId="0" fontId="118" fillId="2" borderId="23" xfId="2680" applyFont="1" applyFill="1" applyBorder="1" applyAlignment="1">
      <alignment horizontal="center" vertical="center" wrapText="1"/>
    </xf>
    <xf numFmtId="0" fontId="118" fillId="2" borderId="0" xfId="2680" applyFont="1" applyFill="1" applyBorder="1" applyAlignment="1">
      <alignment horizontal="center" vertical="center" wrapText="1"/>
    </xf>
    <xf numFmtId="0" fontId="118" fillId="2" borderId="23" xfId="2680" applyFont="1" applyFill="1" applyBorder="1" applyAlignment="1">
      <alignment horizontal="center" vertical="center"/>
    </xf>
    <xf numFmtId="0" fontId="118" fillId="2" borderId="0" xfId="2680" applyFont="1" applyFill="1" applyBorder="1" applyAlignment="1">
      <alignment horizontal="center" vertical="center"/>
    </xf>
    <xf numFmtId="167" fontId="273" fillId="0" borderId="23" xfId="2674" applyNumberFormat="1" applyFont="1" applyBorder="1" applyAlignment="1">
      <alignment horizontal="right"/>
    </xf>
    <xf numFmtId="0" fontId="107" fillId="0" borderId="0" xfId="2677" applyFont="1" applyAlignment="1">
      <alignment horizontal="left"/>
    </xf>
    <xf numFmtId="3" fontId="117" fillId="0" borderId="23" xfId="2677" applyNumberFormat="1" applyFont="1" applyBorder="1" applyAlignment="1">
      <alignment horizontal="right" vertical="center"/>
    </xf>
    <xf numFmtId="0" fontId="117" fillId="0" borderId="0" xfId="2674" applyFont="1" applyFill="1" applyBorder="1" applyAlignment="1">
      <alignment horizontal="left" vertical="center" wrapText="1"/>
    </xf>
    <xf numFmtId="0" fontId="117" fillId="0" borderId="0" xfId="0" applyFont="1" applyBorder="1" applyAlignment="1">
      <alignment horizontal="center" vertical="center"/>
    </xf>
    <xf numFmtId="0" fontId="107" fillId="0" borderId="0" xfId="0" applyFont="1" applyFill="1" applyBorder="1" applyAlignment="1">
      <alignment vertical="center"/>
    </xf>
    <xf numFmtId="0" fontId="117" fillId="0" borderId="0" xfId="0" applyFont="1" applyFill="1" applyBorder="1" applyAlignment="1">
      <alignment horizontal="center" vertical="center"/>
    </xf>
    <xf numFmtId="0" fontId="13" fillId="0" borderId="0" xfId="0" applyFont="1" applyFill="1" applyBorder="1" applyAlignment="1">
      <alignment vertical="center"/>
    </xf>
    <xf numFmtId="207" fontId="172" fillId="0" borderId="0" xfId="2181" applyNumberFormat="1" applyFont="1" applyFill="1" applyBorder="1" applyAlignment="1">
      <alignment horizontal="center"/>
    </xf>
    <xf numFmtId="0" fontId="296" fillId="0" borderId="23" xfId="2674" applyFont="1" applyBorder="1" applyAlignment="1">
      <alignment horizontal="center" vertical="center"/>
    </xf>
    <xf numFmtId="0" fontId="128" fillId="0" borderId="0" xfId="0" applyFont="1" applyFill="1" applyBorder="1" applyAlignment="1">
      <alignment horizontal="left" vertical="center" wrapText="1"/>
    </xf>
    <xf numFmtId="0" fontId="128" fillId="0" borderId="0" xfId="0" applyFont="1" applyFill="1" applyBorder="1" applyAlignment="1">
      <alignment vertical="center" wrapText="1"/>
    </xf>
    <xf numFmtId="0" fontId="13" fillId="0" borderId="0" xfId="0" applyFont="1" applyFill="1" applyBorder="1" applyAlignment="1">
      <alignment horizontal="left" vertical="center" wrapText="1"/>
    </xf>
    <xf numFmtId="0" fontId="182" fillId="0" borderId="0" xfId="0" applyFont="1" applyFill="1" applyBorder="1" applyAlignment="1">
      <alignment vertical="center"/>
    </xf>
    <xf numFmtId="0" fontId="185" fillId="0" borderId="0" xfId="0" applyFont="1" applyFill="1" applyBorder="1" applyAlignment="1">
      <alignment horizontal="right" vertical="center"/>
    </xf>
    <xf numFmtId="0" fontId="182" fillId="0" borderId="0" xfId="0" applyFont="1" applyFill="1" applyBorder="1" applyAlignment="1">
      <alignment vertical="center" wrapText="1"/>
    </xf>
    <xf numFmtId="0" fontId="116" fillId="0" borderId="0" xfId="0" applyFont="1" applyFill="1" applyBorder="1" applyAlignment="1">
      <alignment vertical="center"/>
    </xf>
    <xf numFmtId="0" fontId="182" fillId="74" borderId="0" xfId="0" applyFont="1" applyFill="1" applyBorder="1" applyAlignment="1">
      <alignment vertical="center"/>
    </xf>
    <xf numFmtId="0" fontId="252" fillId="2" borderId="0" xfId="1456" applyFont="1" applyFill="1" applyAlignment="1">
      <alignment horizontal="center" vertical="center"/>
    </xf>
    <xf numFmtId="0" fontId="107" fillId="0" borderId="0" xfId="2674" applyFont="1" applyBorder="1" applyAlignment="1">
      <alignment horizontal="left" vertical="center" wrapText="1"/>
    </xf>
    <xf numFmtId="0" fontId="273" fillId="0" borderId="0" xfId="2674" applyFont="1" applyBorder="1" applyAlignment="1">
      <alignment horizontal="right" vertical="center" wrapText="1"/>
    </xf>
    <xf numFmtId="0" fontId="107" fillId="0" borderId="0" xfId="2660" applyFont="1" applyAlignment="1">
      <alignment horizontal="left"/>
    </xf>
    <xf numFmtId="0" fontId="111" fillId="2" borderId="114" xfId="2674" applyFont="1" applyFill="1" applyBorder="1" applyAlignment="1">
      <alignment horizontal="center" vertical="center" wrapText="1"/>
    </xf>
    <xf numFmtId="0" fontId="111" fillId="2" borderId="108" xfId="2674" applyFont="1" applyFill="1" applyBorder="1" applyAlignment="1">
      <alignment horizontal="center" vertical="center" wrapText="1"/>
    </xf>
    <xf numFmtId="0" fontId="111" fillId="2" borderId="0" xfId="2674" applyFont="1" applyFill="1" applyBorder="1" applyAlignment="1">
      <alignment horizontal="center" vertical="center"/>
    </xf>
    <xf numFmtId="0" fontId="111" fillId="2" borderId="0" xfId="2674" applyFont="1" applyFill="1" applyBorder="1" applyAlignment="1">
      <alignment horizontal="center" vertical="center" wrapText="1"/>
    </xf>
    <xf numFmtId="0" fontId="111" fillId="2" borderId="80" xfId="2674" applyFont="1" applyFill="1" applyBorder="1" applyAlignment="1">
      <alignment horizontal="center" vertical="center" wrapText="1"/>
    </xf>
    <xf numFmtId="0" fontId="111" fillId="2" borderId="115" xfId="2674" applyFont="1" applyFill="1" applyBorder="1" applyAlignment="1">
      <alignment horizontal="center" vertical="center" wrapText="1"/>
    </xf>
    <xf numFmtId="0" fontId="111" fillId="2" borderId="0" xfId="2674" applyFont="1" applyFill="1" applyBorder="1" applyAlignment="1">
      <alignment horizontal="center"/>
    </xf>
    <xf numFmtId="0" fontId="111" fillId="2" borderId="115" xfId="2674" applyFont="1" applyFill="1" applyBorder="1" applyAlignment="1">
      <alignment horizontal="center" vertical="center"/>
    </xf>
    <xf numFmtId="0" fontId="111" fillId="2" borderId="81" xfId="2674" applyFont="1" applyFill="1" applyBorder="1" applyAlignment="1">
      <alignment horizontal="center" vertical="center"/>
    </xf>
    <xf numFmtId="0" fontId="111" fillId="2" borderId="82" xfId="2674" applyFont="1" applyFill="1" applyBorder="1" applyAlignment="1">
      <alignment horizontal="center" vertical="center"/>
    </xf>
    <xf numFmtId="0" fontId="111" fillId="2" borderId="109" xfId="2674" applyFont="1" applyFill="1" applyBorder="1" applyAlignment="1">
      <alignment horizontal="center" vertical="center"/>
    </xf>
    <xf numFmtId="0" fontId="111" fillId="2" borderId="80" xfId="2674" applyFont="1" applyFill="1" applyBorder="1" applyAlignment="1">
      <alignment horizontal="center" vertical="center"/>
    </xf>
    <xf numFmtId="0" fontId="111" fillId="2" borderId="116" xfId="2674" applyFont="1" applyFill="1" applyBorder="1" applyAlignment="1">
      <alignment horizontal="center" vertical="center"/>
    </xf>
    <xf numFmtId="0" fontId="111" fillId="2" borderId="111" xfId="2674" applyFont="1" applyFill="1" applyBorder="1" applyAlignment="1">
      <alignment horizontal="center" vertical="center"/>
    </xf>
    <xf numFmtId="0" fontId="111" fillId="2" borderId="81" xfId="2674" applyFont="1" applyFill="1" applyBorder="1" applyAlignment="1">
      <alignment horizontal="center"/>
    </xf>
    <xf numFmtId="0" fontId="111" fillId="2" borderId="109" xfId="2674" applyFont="1" applyFill="1" applyBorder="1" applyAlignment="1">
      <alignment horizontal="center"/>
    </xf>
    <xf numFmtId="0" fontId="111" fillId="2" borderId="82" xfId="2674" applyFont="1" applyFill="1" applyBorder="1" applyAlignment="1">
      <alignment horizontal="center" vertical="center" wrapText="1"/>
    </xf>
    <xf numFmtId="0" fontId="111" fillId="2" borderId="65" xfId="2674" applyFont="1" applyFill="1" applyBorder="1" applyAlignment="1">
      <alignment horizontal="center" vertical="center" wrapText="1"/>
    </xf>
    <xf numFmtId="0" fontId="111" fillId="2" borderId="79" xfId="2674" applyFont="1" applyFill="1" applyBorder="1" applyAlignment="1">
      <alignment horizontal="center" vertical="center"/>
    </xf>
    <xf numFmtId="0" fontId="111" fillId="2" borderId="94" xfId="2674" applyFont="1" applyFill="1" applyBorder="1" applyAlignment="1">
      <alignment horizontal="center" vertical="center"/>
    </xf>
    <xf numFmtId="0" fontId="111" fillId="2" borderId="77" xfId="2674" applyFont="1" applyFill="1" applyBorder="1" applyAlignment="1">
      <alignment horizontal="center" vertical="center"/>
    </xf>
    <xf numFmtId="0" fontId="111" fillId="2" borderId="76" xfId="2674" applyFont="1" applyFill="1" applyBorder="1" applyAlignment="1">
      <alignment horizontal="center" vertical="center"/>
    </xf>
    <xf numFmtId="0" fontId="111" fillId="2" borderId="113" xfId="2674" applyFont="1" applyFill="1" applyBorder="1" applyAlignment="1">
      <alignment horizontal="center" vertical="center"/>
    </xf>
    <xf numFmtId="0" fontId="111" fillId="2" borderId="104" xfId="2674" applyFont="1" applyFill="1" applyBorder="1" applyAlignment="1">
      <alignment horizontal="center" vertical="center"/>
    </xf>
    <xf numFmtId="0" fontId="111" fillId="2" borderId="22" xfId="2674" applyFont="1" applyFill="1" applyBorder="1" applyAlignment="1">
      <alignment horizontal="center" vertical="center"/>
    </xf>
    <xf numFmtId="0" fontId="111" fillId="2" borderId="102" xfId="2674" applyFont="1" applyFill="1" applyBorder="1" applyAlignment="1">
      <alignment horizontal="center" vertical="center"/>
    </xf>
  </cellXfs>
  <cellStyles count="2681">
    <cellStyle name="_x000a_386grabber=S" xfId="812"/>
    <cellStyle name="_x000a_386grabber=S 10" xfId="1883"/>
    <cellStyle name="_x000a_386grabber=S 2" xfId="820"/>
    <cellStyle name="_x000a_386grabber=S 2 2" xfId="860"/>
    <cellStyle name="_x000a_386grabber=S 3" xfId="853"/>
    <cellStyle name="_x000a_386grabber=S 4" xfId="999"/>
    <cellStyle name="_x000a_386grabber=S 5" xfId="1037"/>
    <cellStyle name="_x000a_386grabber=S 6" xfId="1011"/>
    <cellStyle name="_x000a_386grabber=S 7" xfId="1459"/>
    <cellStyle name="_x000a_386grabber=S 8" xfId="1465"/>
    <cellStyle name="_x000a_386grabber=S 9" xfId="1885"/>
    <cellStyle name="=C:\WINNT35\SYSTEM32\COMMAND.COM" xfId="1"/>
    <cellStyle name="=D:\WINNT\SYSTEM32\COMMAND.COM" xfId="2"/>
    <cellStyle name="=D:\WINNT\SYSTEM32\COMMAND.COM 10" xfId="1890"/>
    <cellStyle name="=D:\WINNT\SYSTEM32\COMMAND.COM 11" xfId="813"/>
    <cellStyle name="=D:\WINNT\SYSTEM32\COMMAND.COM 2" xfId="819"/>
    <cellStyle name="=D:\WINNT\SYSTEM32\COMMAND.COM 2 2" xfId="859"/>
    <cellStyle name="=D:\WINNT\SYSTEM32\COMMAND.COM 3" xfId="854"/>
    <cellStyle name="=D:\WINNT\SYSTEM32\COMMAND.COM 4" xfId="1000"/>
    <cellStyle name="=D:\WINNT\SYSTEM32\COMMAND.COM 5" xfId="1023"/>
    <cellStyle name="=D:\WINNT\SYSTEM32\COMMAND.COM 6" xfId="998"/>
    <cellStyle name="=D:\WINNT\SYSTEM32\COMMAND.COM 7" xfId="1460"/>
    <cellStyle name="=D:\WINNT\SYSTEM32\COMMAND.COM 8" xfId="1458"/>
    <cellStyle name="=D:\WINNT\SYSTEM32\COMMAND.COM 9" xfId="1886"/>
    <cellStyle name="1 indent" xfId="3"/>
    <cellStyle name="1enter" xfId="4"/>
    <cellStyle name="2 indents" xfId="5"/>
    <cellStyle name="20 % - Akzent1" xfId="6"/>
    <cellStyle name="20 % - Akzent2" xfId="7"/>
    <cellStyle name="20 % - Akzent3" xfId="8"/>
    <cellStyle name="20 % - Akzent4" xfId="9"/>
    <cellStyle name="20 % - Akzent5" xfId="10"/>
    <cellStyle name="20 % - Akzent6" xfId="11"/>
    <cellStyle name="20 % – Zvýraznění1" xfId="2563"/>
    <cellStyle name="20 % – Zvýraznění2" xfId="2564"/>
    <cellStyle name="20 % – Zvýraznění3" xfId="2565"/>
    <cellStyle name="20 % – Zvýraznění4" xfId="2566"/>
    <cellStyle name="20 % – Zvýraznění5" xfId="2567"/>
    <cellStyle name="20 % – Zvýraznění6" xfId="2568"/>
    <cellStyle name="20 % - zvýraznenie1" xfId="2070" builtinId="30" customBuiltin="1"/>
    <cellStyle name="20 % - zvýraznenie1 2" xfId="1972"/>
    <cellStyle name="20 % - zvýraznenie1 3" xfId="2184"/>
    <cellStyle name="20 % - zvýraznenie1 3 2" xfId="2403"/>
    <cellStyle name="20 % - zvýraznenie1 4" xfId="2235"/>
    <cellStyle name="20 % - zvýraznenie1 4 2" xfId="2404"/>
    <cellStyle name="20 % - zvýraznenie1 5" xfId="2405"/>
    <cellStyle name="20 % - zvýraznenie1 6" xfId="2376"/>
    <cellStyle name="20 % - zvýraznenie2" xfId="2046" builtinId="34" customBuiltin="1"/>
    <cellStyle name="20 % - zvýraznenie2 2" xfId="1976"/>
    <cellStyle name="20 % - zvýraznenie2 3" xfId="2186"/>
    <cellStyle name="20 % - zvýraznenie2 3 2" xfId="2406"/>
    <cellStyle name="20 % - zvýraznenie2 4" xfId="2239"/>
    <cellStyle name="20 % - zvýraznenie2 4 2" xfId="2407"/>
    <cellStyle name="20 % - zvýraznenie2 5" xfId="2408"/>
    <cellStyle name="20 % - zvýraznenie2 6" xfId="2380"/>
    <cellStyle name="20 % - zvýraznenie3" xfId="2034" builtinId="38" customBuiltin="1"/>
    <cellStyle name="20 % - zvýraznenie3 2" xfId="1980"/>
    <cellStyle name="20 % - zvýraznenie3 3" xfId="2188"/>
    <cellStyle name="20 % - zvýraznenie3 3 2" xfId="2409"/>
    <cellStyle name="20 % - zvýraznenie3 4" xfId="2243"/>
    <cellStyle name="20 % - zvýraznenie3 4 2" xfId="2410"/>
    <cellStyle name="20 % - zvýraznenie3 5" xfId="2411"/>
    <cellStyle name="20 % - zvýraznenie3 6" xfId="2384"/>
    <cellStyle name="20 % - zvýraznenie4" xfId="2061" builtinId="42" customBuiltin="1"/>
    <cellStyle name="20 % - zvýraznenie4 2" xfId="1984"/>
    <cellStyle name="20 % - zvýraznenie4 3" xfId="2190"/>
    <cellStyle name="20 % - zvýraznenie4 3 2" xfId="2412"/>
    <cellStyle name="20 % - zvýraznenie4 4" xfId="2247"/>
    <cellStyle name="20 % - zvýraznenie4 4 2" xfId="2413"/>
    <cellStyle name="20 % - zvýraznenie4 5" xfId="2414"/>
    <cellStyle name="20 % - zvýraznenie4 6" xfId="2388"/>
    <cellStyle name="20 % - zvýraznenie5" xfId="2051" builtinId="46" customBuiltin="1"/>
    <cellStyle name="20 % - zvýraznenie5 2" xfId="1988"/>
    <cellStyle name="20 % - zvýraznenie5 3" xfId="2192"/>
    <cellStyle name="20 % - zvýraznenie5 3 2" xfId="2415"/>
    <cellStyle name="20 % - zvýraznenie5 4" xfId="2251"/>
    <cellStyle name="20 % - zvýraznenie5 4 2" xfId="2416"/>
    <cellStyle name="20 % - zvýraznenie5 5" xfId="2417"/>
    <cellStyle name="20 % - zvýraznenie5 6" xfId="2392"/>
    <cellStyle name="20 % - zvýraznenie6" xfId="2144" builtinId="50" customBuiltin="1"/>
    <cellStyle name="20 % - zvýraznenie6 2" xfId="1992"/>
    <cellStyle name="20 % - zvýraznenie6 3" xfId="2194"/>
    <cellStyle name="20 % - zvýraznenie6 3 2" xfId="2418"/>
    <cellStyle name="20 % - zvýraznenie6 4" xfId="2255"/>
    <cellStyle name="20 % - zvýraznenie6 4 2" xfId="2419"/>
    <cellStyle name="20 % - zvýraznenie6 5" xfId="2420"/>
    <cellStyle name="20 % - zvýraznenie6 6" xfId="2396"/>
    <cellStyle name="20% - Accent1 2" xfId="2569"/>
    <cellStyle name="20% - Accent2 2" xfId="2570"/>
    <cellStyle name="20% - Accent3 2" xfId="2571"/>
    <cellStyle name="20% - Accent4 2" xfId="2572"/>
    <cellStyle name="20% - Accent5 2" xfId="2573"/>
    <cellStyle name="20% - Accent6 2" xfId="2574"/>
    <cellStyle name="3 indents" xfId="12"/>
    <cellStyle name="4 indents" xfId="13"/>
    <cellStyle name="40 % - Akzent1" xfId="14"/>
    <cellStyle name="40 % - Akzent2" xfId="15"/>
    <cellStyle name="40 % - Akzent3" xfId="16"/>
    <cellStyle name="40 % - Akzent4" xfId="17"/>
    <cellStyle name="40 % - Akzent5" xfId="18"/>
    <cellStyle name="40 % - Akzent6" xfId="19"/>
    <cellStyle name="40 % – Zvýraznění1" xfId="2575"/>
    <cellStyle name="40 % – Zvýraznění2" xfId="2576"/>
    <cellStyle name="40 % – Zvýraznění3" xfId="2577"/>
    <cellStyle name="40 % – Zvýraznění4" xfId="2578"/>
    <cellStyle name="40 % – Zvýraznění5" xfId="2579"/>
    <cellStyle name="40 % – Zvýraznění6" xfId="2580"/>
    <cellStyle name="40 % - zvýraznenie1" xfId="2037" builtinId="31" customBuiltin="1"/>
    <cellStyle name="40 % - zvýraznenie1 2" xfId="1973"/>
    <cellStyle name="40 % - zvýraznenie1 3" xfId="2185"/>
    <cellStyle name="40 % - zvýraznenie1 3 2" xfId="2421"/>
    <cellStyle name="40 % - zvýraznenie1 4" xfId="2236"/>
    <cellStyle name="40 % - zvýraznenie1 4 2" xfId="2422"/>
    <cellStyle name="40 % - zvýraznenie1 5" xfId="2423"/>
    <cellStyle name="40 % - zvýraznenie1 6" xfId="2377"/>
    <cellStyle name="40 % - zvýraznenie2" xfId="2049" builtinId="35" customBuiltin="1"/>
    <cellStyle name="40 % - zvýraznenie2 2" xfId="1977"/>
    <cellStyle name="40 % - zvýraznenie2 3" xfId="2187"/>
    <cellStyle name="40 % - zvýraznenie2 3 2" xfId="2424"/>
    <cellStyle name="40 % - zvýraznenie2 4" xfId="2240"/>
    <cellStyle name="40 % - zvýraznenie2 4 2" xfId="2425"/>
    <cellStyle name="40 % - zvýraznenie2 5" xfId="2426"/>
    <cellStyle name="40 % - zvýraznenie2 6" xfId="2381"/>
    <cellStyle name="40 % - zvýraznenie3" xfId="2040" builtinId="39" customBuiltin="1"/>
    <cellStyle name="40 % - zvýraznenie3 2" xfId="1981"/>
    <cellStyle name="40 % - zvýraznenie3 3" xfId="2189"/>
    <cellStyle name="40 % - zvýraznenie3 3 2" xfId="2427"/>
    <cellStyle name="40 % - zvýraznenie3 4" xfId="2244"/>
    <cellStyle name="40 % - zvýraznenie3 4 2" xfId="2428"/>
    <cellStyle name="40 % - zvýraznenie3 5" xfId="2429"/>
    <cellStyle name="40 % - zvýraznenie3 6" xfId="2385"/>
    <cellStyle name="40 % - zvýraznenie4" xfId="2045" builtinId="43" customBuiltin="1"/>
    <cellStyle name="40 % - zvýraznenie4 2" xfId="1985"/>
    <cellStyle name="40 % - zvýraznenie4 3" xfId="2191"/>
    <cellStyle name="40 % - zvýraznenie4 3 2" xfId="2430"/>
    <cellStyle name="40 % - zvýraznenie4 4" xfId="2248"/>
    <cellStyle name="40 % - zvýraznenie4 4 2" xfId="2431"/>
    <cellStyle name="40 % - zvýraznenie4 5" xfId="2432"/>
    <cellStyle name="40 % - zvýraznenie4 6" xfId="2389"/>
    <cellStyle name="40 % - zvýraznenie5" xfId="2020" builtinId="47" customBuiltin="1"/>
    <cellStyle name="40 % - zvýraznenie5 2" xfId="1989"/>
    <cellStyle name="40 % - zvýraznenie5 3" xfId="2193"/>
    <cellStyle name="40 % - zvýraznenie5 3 2" xfId="2433"/>
    <cellStyle name="40 % - zvýraznenie5 4" xfId="2252"/>
    <cellStyle name="40 % - zvýraznenie5 4 2" xfId="2434"/>
    <cellStyle name="40 % - zvýraznenie5 5" xfId="2435"/>
    <cellStyle name="40 % - zvýraznenie5 6" xfId="2393"/>
    <cellStyle name="40 % - zvýraznenie6" xfId="2047" builtinId="51" customBuiltin="1"/>
    <cellStyle name="40 % - zvýraznenie6 2" xfId="1993"/>
    <cellStyle name="40 % - zvýraznenie6 3" xfId="2195"/>
    <cellStyle name="40 % - zvýraznenie6 3 2" xfId="2436"/>
    <cellStyle name="40 % - zvýraznenie6 4" xfId="2256"/>
    <cellStyle name="40 % - zvýraznenie6 4 2" xfId="2437"/>
    <cellStyle name="40 % - zvýraznenie6 5" xfId="2438"/>
    <cellStyle name="40 % - zvýraznenie6 6" xfId="2397"/>
    <cellStyle name="40% - Accent1 2" xfId="2581"/>
    <cellStyle name="40% - Accent2 2" xfId="2582"/>
    <cellStyle name="40% - Accent3 2" xfId="2583"/>
    <cellStyle name="40% - Accent4 2" xfId="2584"/>
    <cellStyle name="40% - Accent5 2" xfId="2585"/>
    <cellStyle name="40% - Accent6 2" xfId="2586"/>
    <cellStyle name="5 indents" xfId="20"/>
    <cellStyle name="60 % - Akzent1" xfId="21"/>
    <cellStyle name="60 % - Akzent2" xfId="22"/>
    <cellStyle name="60 % - Akzent3" xfId="23"/>
    <cellStyle name="60 % - Akzent4" xfId="24"/>
    <cellStyle name="60 % - Akzent5" xfId="25"/>
    <cellStyle name="60 % - Akzent6" xfId="26"/>
    <cellStyle name="60 % – Zvýraznění1" xfId="2587"/>
    <cellStyle name="60 % – Zvýraznění2" xfId="2588"/>
    <cellStyle name="60 % – Zvýraznění3" xfId="2589"/>
    <cellStyle name="60 % – Zvýraznění4" xfId="2590"/>
    <cellStyle name="60 % – Zvýraznění5" xfId="2591"/>
    <cellStyle name="60 % – Zvýraznění6" xfId="2592"/>
    <cellStyle name="60 % - zvýraznenie1" xfId="2068" builtinId="32" customBuiltin="1"/>
    <cellStyle name="60 % - zvýraznenie1 2" xfId="1974"/>
    <cellStyle name="60 % - zvýraznenie1 3" xfId="2237"/>
    <cellStyle name="60 % - zvýraznenie1 3 2" xfId="2439"/>
    <cellStyle name="60 % - zvýraznenie1 4" xfId="2440"/>
    <cellStyle name="60 % - zvýraznenie1 5" xfId="2441"/>
    <cellStyle name="60 % - zvýraznenie1 6" xfId="2378"/>
    <cellStyle name="60 % - zvýraznenie2" xfId="2053" builtinId="36" customBuiltin="1"/>
    <cellStyle name="60 % - zvýraznenie2 2" xfId="1978"/>
    <cellStyle name="60 % - zvýraznenie2 3" xfId="2241"/>
    <cellStyle name="60 % - zvýraznenie2 3 2" xfId="2442"/>
    <cellStyle name="60 % - zvýraznenie2 4" xfId="2443"/>
    <cellStyle name="60 % - zvýraznenie2 5" xfId="2444"/>
    <cellStyle name="60 % - zvýraznenie2 6" xfId="2382"/>
    <cellStyle name="60 % - zvýraznenie3" xfId="2021" builtinId="40" customBuiltin="1"/>
    <cellStyle name="60 % - zvýraznenie3 2" xfId="1982"/>
    <cellStyle name="60 % - zvýraznenie3 3" xfId="2245"/>
    <cellStyle name="60 % - zvýraznenie3 3 2" xfId="2445"/>
    <cellStyle name="60 % - zvýraznenie3 4" xfId="2446"/>
    <cellStyle name="60 % - zvýraznenie3 5" xfId="2447"/>
    <cellStyle name="60 % - zvýraznenie3 6" xfId="2386"/>
    <cellStyle name="60 % - zvýraznenie4" xfId="2143" builtinId="44" customBuiltin="1"/>
    <cellStyle name="60 % - zvýraznenie4 2" xfId="1986"/>
    <cellStyle name="60 % - zvýraznenie4 3" xfId="2249"/>
    <cellStyle name="60 % - zvýraznenie4 3 2" xfId="2448"/>
    <cellStyle name="60 % - zvýraznenie4 4" xfId="2449"/>
    <cellStyle name="60 % - zvýraznenie4 5" xfId="2450"/>
    <cellStyle name="60 % - zvýraznenie4 6" xfId="2390"/>
    <cellStyle name="60 % - zvýraznenie5" xfId="2019" builtinId="48" customBuiltin="1"/>
    <cellStyle name="60 % - zvýraznenie5 2" xfId="1990"/>
    <cellStyle name="60 % - zvýraznenie5 3" xfId="2253"/>
    <cellStyle name="60 % - zvýraznenie5 3 2" xfId="2451"/>
    <cellStyle name="60 % - zvýraznenie5 4" xfId="2452"/>
    <cellStyle name="60 % - zvýraznenie5 5" xfId="2453"/>
    <cellStyle name="60 % - zvýraznenie5 6" xfId="2394"/>
    <cellStyle name="60 % - zvýraznenie6" xfId="2067" builtinId="52" customBuiltin="1"/>
    <cellStyle name="60 % - zvýraznenie6 2" xfId="1994"/>
    <cellStyle name="60 % - zvýraznenie6 3" xfId="2257"/>
    <cellStyle name="60 % - zvýraznenie6 3 2" xfId="2454"/>
    <cellStyle name="60 % - zvýraznenie6 4" xfId="2455"/>
    <cellStyle name="60 % - zvýraznenie6 5" xfId="2456"/>
    <cellStyle name="60 % - zvýraznenie6 6" xfId="2398"/>
    <cellStyle name="60% - Accent1 2" xfId="2593"/>
    <cellStyle name="60% - Accent2 2" xfId="2594"/>
    <cellStyle name="60% - Accent3 2" xfId="2595"/>
    <cellStyle name="60% - Accent4 2" xfId="2596"/>
    <cellStyle name="60% - Accent5 2" xfId="2597"/>
    <cellStyle name="60% - Accent6 2" xfId="2598"/>
    <cellStyle name="a0" xfId="2263"/>
    <cellStyle name="absolute difference" xfId="27"/>
    <cellStyle name="absolute difference 2" xfId="28"/>
    <cellStyle name="Accent1" xfId="2166"/>
    <cellStyle name="Accent1 2" xfId="2301"/>
    <cellStyle name="Accent1 2 2" xfId="2599"/>
    <cellStyle name="Accent1 2_makro" xfId="2643"/>
    <cellStyle name="Accent2" xfId="2167"/>
    <cellStyle name="Accent2 2" xfId="2302"/>
    <cellStyle name="Accent3" xfId="2168"/>
    <cellStyle name="Accent3 2" xfId="2303"/>
    <cellStyle name="Accent4" xfId="2169"/>
    <cellStyle name="Accent4 2" xfId="2304"/>
    <cellStyle name="Accent4 2 2" xfId="2600"/>
    <cellStyle name="Accent4 2_makro" xfId="2644"/>
    <cellStyle name="Accent5" xfId="2170"/>
    <cellStyle name="Accent5 2" xfId="2305"/>
    <cellStyle name="Accent6" xfId="2171"/>
    <cellStyle name="Accent6 2" xfId="2306"/>
    <cellStyle name="Akzent1" xfId="29"/>
    <cellStyle name="Akzent2" xfId="30"/>
    <cellStyle name="Akzent3" xfId="31"/>
    <cellStyle name="Akzent4" xfId="32"/>
    <cellStyle name="Akzent5" xfId="33"/>
    <cellStyle name="Akzent6" xfId="34"/>
    <cellStyle name="annee semestre" xfId="2223"/>
    <cellStyle name="Ausgabe" xfId="35"/>
    <cellStyle name="Bad" xfId="2158"/>
    <cellStyle name="Bad 2" xfId="2307"/>
    <cellStyle name="Berechnung" xfId="36"/>
    <cellStyle name="Calculation" xfId="2162"/>
    <cellStyle name="Calculation 2" xfId="2308"/>
    <cellStyle name="Calculation 2 2" xfId="2601"/>
    <cellStyle name="Calculation 2_makro" xfId="2645"/>
    <cellStyle name="Celkem" xfId="37"/>
    <cellStyle name="Celkem 2" xfId="38"/>
    <cellStyle name="Celkem 3" xfId="797"/>
    <cellStyle name="Celkem 4" xfId="2602"/>
    <cellStyle name="Comma 2" xfId="39"/>
    <cellStyle name="Comma 2 2" xfId="2238"/>
    <cellStyle name="Comma0" xfId="40"/>
    <cellStyle name="Comma0 2" xfId="41"/>
    <cellStyle name="Currency 2" xfId="42"/>
    <cellStyle name="Currency 3" xfId="43"/>
    <cellStyle name="Currency0" xfId="44"/>
    <cellStyle name="Currency0 2" xfId="45"/>
    <cellStyle name="Čiarka" xfId="2181" builtinId="3"/>
    <cellStyle name="Čiarka 2" xfId="810"/>
    <cellStyle name="Čiarka 3" xfId="2073"/>
    <cellStyle name="čiarky 2" xfId="46"/>
    <cellStyle name="čiarky 2 10" xfId="1838"/>
    <cellStyle name="čiarky 2 11" xfId="1859"/>
    <cellStyle name="čiarky 2 12" xfId="830"/>
    <cellStyle name="čiarky 2 2" xfId="867"/>
    <cellStyle name="čiarky 2 3" xfId="1792"/>
    <cellStyle name="čiarky 2 4" xfId="1860"/>
    <cellStyle name="čiarky 2 5" xfId="1822"/>
    <cellStyle name="čiarky 2 6" xfId="1849"/>
    <cellStyle name="čiarky 2 7" xfId="1804"/>
    <cellStyle name="čiarky 2 8" xfId="1834"/>
    <cellStyle name="čiarky 2 9" xfId="1814"/>
    <cellStyle name="čiarky 3" xfId="47"/>
    <cellStyle name="čiarky 3 2" xfId="48"/>
    <cellStyle name="čiarky 3 3" xfId="49"/>
    <cellStyle name="čiarky 3_NPC vysvetlenie_20121025" xfId="50"/>
    <cellStyle name="čiarky 4" xfId="51"/>
    <cellStyle name="čiarky 4 2" xfId="52"/>
    <cellStyle name="čiarky 4 3" xfId="878"/>
    <cellStyle name="čiarky 5" xfId="917"/>
    <cellStyle name="čiarky 6" xfId="2076"/>
    <cellStyle name="čiarky 7" xfId="2457"/>
    <cellStyle name="čiarky 8" xfId="2458"/>
    <cellStyle name="Date" xfId="53"/>
    <cellStyle name="Date 2" xfId="54"/>
    <cellStyle name="Date 2 2" xfId="1450"/>
    <cellStyle name="Date_Tab subjekty salda" xfId="55"/>
    <cellStyle name="Datum" xfId="56"/>
    <cellStyle name="Datum 2" xfId="57"/>
    <cellStyle name="Datum 3" xfId="798"/>
    <cellStyle name="Datum_Tab subjekty salda" xfId="58"/>
    <cellStyle name="day of week" xfId="59"/>
    <cellStyle name="DEM" xfId="60"/>
    <cellStyle name="DEM 2" xfId="61"/>
    <cellStyle name="diskette" xfId="62"/>
    <cellStyle name="Dobrá" xfId="2023" builtinId="26" customBuiltin="1"/>
    <cellStyle name="Dobrá 2" xfId="1960"/>
    <cellStyle name="Dobrá 3" xfId="2222"/>
    <cellStyle name="Dobrá 3 2" xfId="2459"/>
    <cellStyle name="Dobrá 4" xfId="2460"/>
    <cellStyle name="Dobrá 5" xfId="2461"/>
    <cellStyle name="Dobrá 6" xfId="2364"/>
    <cellStyle name="données" xfId="2219"/>
    <cellStyle name="donnéesbord" xfId="2226"/>
    <cellStyle name="Eingabe" xfId="63"/>
    <cellStyle name="Ergebnis" xfId="64"/>
    <cellStyle name="Erklärender Text" xfId="65"/>
    <cellStyle name="Euro" xfId="66"/>
    <cellStyle name="Euro 2" xfId="67"/>
    <cellStyle name="Euro_Tab subjekty salda" xfId="68"/>
    <cellStyle name="Excel.Chart" xfId="69"/>
    <cellStyle name="Explanatory Text" xfId="2165"/>
    <cellStyle name="Explanatory Text 2" xfId="2309"/>
    <cellStyle name="Ezres [0]_3MONTH RATES (2)" xfId="70"/>
    <cellStyle name="Ezres_3MONTH RATES (2)" xfId="71"/>
    <cellStyle name="F2" xfId="72"/>
    <cellStyle name="F3" xfId="73"/>
    <cellStyle name="F4" xfId="74"/>
    <cellStyle name="F5" xfId="75"/>
    <cellStyle name="F6" xfId="76"/>
    <cellStyle name="F7" xfId="77"/>
    <cellStyle name="F8" xfId="78"/>
    <cellStyle name="Financier0" xfId="79"/>
    <cellStyle name="Finanční0" xfId="80"/>
    <cellStyle name="Finanení0" xfId="81"/>
    <cellStyle name="Finanèní0" xfId="82"/>
    <cellStyle name="Finanení0 10" xfId="83"/>
    <cellStyle name="Finanení0 11" xfId="84"/>
    <cellStyle name="Finanení0 12" xfId="85"/>
    <cellStyle name="Finanení0 13" xfId="86"/>
    <cellStyle name="Finanení0 14" xfId="87"/>
    <cellStyle name="Finanení0 15" xfId="88"/>
    <cellStyle name="Finanení0 16" xfId="89"/>
    <cellStyle name="Finanení0 17" xfId="90"/>
    <cellStyle name="Finanení0 18" xfId="91"/>
    <cellStyle name="Finanení0 19" xfId="92"/>
    <cellStyle name="Finanení0 2" xfId="93"/>
    <cellStyle name="Finanèní0 2" xfId="800"/>
    <cellStyle name="Finanení0 20" xfId="94"/>
    <cellStyle name="Finanení0 21" xfId="95"/>
    <cellStyle name="Finanení0 22" xfId="96"/>
    <cellStyle name="Finanení0 23" xfId="97"/>
    <cellStyle name="Finanení0 24" xfId="98"/>
    <cellStyle name="Finanení0 25" xfId="99"/>
    <cellStyle name="Finanení0 26" xfId="100"/>
    <cellStyle name="Finanení0 27" xfId="101"/>
    <cellStyle name="Finanení0 28" xfId="102"/>
    <cellStyle name="Finanení0 29" xfId="103"/>
    <cellStyle name="Finanení0 3" xfId="104"/>
    <cellStyle name="Finanení0 30" xfId="105"/>
    <cellStyle name="Finanení0 31" xfId="106"/>
    <cellStyle name="Finanení0 32" xfId="107"/>
    <cellStyle name="Finanení0 33" xfId="108"/>
    <cellStyle name="Finanení0 34" xfId="109"/>
    <cellStyle name="Finanení0 35" xfId="110"/>
    <cellStyle name="Finanení0 36" xfId="111"/>
    <cellStyle name="Finanení0 37" xfId="112"/>
    <cellStyle name="Finanení0 38" xfId="113"/>
    <cellStyle name="Finanení0 39" xfId="114"/>
    <cellStyle name="Finanení0 4" xfId="115"/>
    <cellStyle name="Finanení0 40" xfId="116"/>
    <cellStyle name="Finanení0 41" xfId="117"/>
    <cellStyle name="Finanení0 42" xfId="118"/>
    <cellStyle name="Finanení0 43" xfId="119"/>
    <cellStyle name="Finanení0 44" xfId="120"/>
    <cellStyle name="Finanení0 45" xfId="121"/>
    <cellStyle name="Finanení0 46" xfId="122"/>
    <cellStyle name="Finanení0 47" xfId="123"/>
    <cellStyle name="Finanení0 48" xfId="124"/>
    <cellStyle name="Finanení0 49" xfId="125"/>
    <cellStyle name="Finanení0 5" xfId="126"/>
    <cellStyle name="Finanení0 50" xfId="127"/>
    <cellStyle name="Finanení0 51" xfId="128"/>
    <cellStyle name="Finanení0 52" xfId="129"/>
    <cellStyle name="Finanení0 53" xfId="130"/>
    <cellStyle name="Finanení0 54" xfId="131"/>
    <cellStyle name="Finanení0 55" xfId="132"/>
    <cellStyle name="Finanení0 56" xfId="133"/>
    <cellStyle name="Finanení0 57" xfId="799"/>
    <cellStyle name="Finanení0 6" xfId="134"/>
    <cellStyle name="Finanení0 7" xfId="135"/>
    <cellStyle name="Finanení0 8" xfId="136"/>
    <cellStyle name="Finanení0 9" xfId="137"/>
    <cellStyle name="Fixed" xfId="138"/>
    <cellStyle name="Fixed (0)" xfId="139"/>
    <cellStyle name="Fixed (1)" xfId="140"/>
    <cellStyle name="Fixed (2)" xfId="141"/>
    <cellStyle name="Fixed 2" xfId="142"/>
    <cellStyle name="Fixed 3" xfId="143"/>
    <cellStyle name="Fixed 4" xfId="801"/>
    <cellStyle name="Fixed_SLOVENIA  GENERAL GOVERNMENT BUDGETARY ACCOUNTS 2000 - 2009" xfId="144"/>
    <cellStyle name="fixed0 - Style4" xfId="145"/>
    <cellStyle name="Good 2" xfId="2603"/>
    <cellStyle name="Grey" xfId="146"/>
    <cellStyle name="Gut" xfId="147"/>
    <cellStyle name="Header" xfId="148"/>
    <cellStyle name="Header style" xfId="149"/>
    <cellStyle name="Heading 1" xfId="2154"/>
    <cellStyle name="Heading 1 2" xfId="150"/>
    <cellStyle name="Heading 1 2 2" xfId="2048"/>
    <cellStyle name="Heading 1 2 2 2" xfId="2604"/>
    <cellStyle name="Heading 1 2_makro" xfId="2646"/>
    <cellStyle name="Heading 1 3" xfId="151"/>
    <cellStyle name="Heading 2" xfId="2155"/>
    <cellStyle name="Heading 2 2" xfId="152"/>
    <cellStyle name="Heading 2 2 2" xfId="2052"/>
    <cellStyle name="Heading 2 2 2 2" xfId="2605"/>
    <cellStyle name="Heading 2 2_makro" xfId="2647"/>
    <cellStyle name="Heading 2 3" xfId="153"/>
    <cellStyle name="Heading 2 4" xfId="154"/>
    <cellStyle name="Heading 3" xfId="2156"/>
    <cellStyle name="Heading 3 2" xfId="2310"/>
    <cellStyle name="Heading 3 2 2" xfId="2606"/>
    <cellStyle name="Heading 3 2_makro" xfId="2648"/>
    <cellStyle name="Heading 4" xfId="2157"/>
    <cellStyle name="Heading 4 2" xfId="2311"/>
    <cellStyle name="Heading 4 2 2" xfId="2607"/>
    <cellStyle name="Heading 4 2_makro" xfId="2649"/>
    <cellStyle name="Hipervínculo_IIF" xfId="155"/>
    <cellStyle name="Hyperlink 2" xfId="2227"/>
    <cellStyle name="Hyperlink䟟monetáris.xls Chart 4" xfId="156"/>
    <cellStyle name="Hypertextové prepojenie" xfId="2662" builtinId="8"/>
    <cellStyle name="Hypertextové prepojenie 2" xfId="817"/>
    <cellStyle name="Hypertextové prepojenie 3" xfId="2678"/>
    <cellStyle name="Check Cell" xfId="2164"/>
    <cellStyle name="Check Cell 2" xfId="2312"/>
    <cellStyle name="CHF" xfId="157"/>
    <cellStyle name="Chybně" xfId="2608"/>
    <cellStyle name="Îáû÷íûé_Table16" xfId="158"/>
    <cellStyle name="imf-one decimal" xfId="159"/>
    <cellStyle name="imf-zero decimal" xfId="160"/>
    <cellStyle name="Input" xfId="2160"/>
    <cellStyle name="Input [yellow]" xfId="161"/>
    <cellStyle name="Input 2" xfId="2313"/>
    <cellStyle name="JPY" xfId="162"/>
    <cellStyle name="Kontrolná bunka" xfId="2208" builtinId="23" customBuiltin="1"/>
    <cellStyle name="Kontrolná bunka 2" xfId="1967"/>
    <cellStyle name="Kontrolná bunka 3" xfId="2462"/>
    <cellStyle name="Kontrolná bunka 4" xfId="2463"/>
    <cellStyle name="Kontrolná bunka 5" xfId="2464"/>
    <cellStyle name="Kontrolná bunka 6" xfId="2371"/>
    <cellStyle name="Kontrolní buňka" xfId="2609"/>
    <cellStyle name="Lien hypertexte" xfId="163"/>
    <cellStyle name="Lien hypertexte visité" xfId="164"/>
    <cellStyle name="Linked Cell" xfId="2163"/>
    <cellStyle name="Linked Cell 2" xfId="2314"/>
    <cellStyle name="Měna0" xfId="165"/>
    <cellStyle name="měny_DEFLÁTORY  3q 1998" xfId="166"/>
    <cellStyle name="Millares [0]_11.1.3. bis" xfId="167"/>
    <cellStyle name="Millares_11.1.3. bis" xfId="168"/>
    <cellStyle name="Milliers [0]_Feuil1" xfId="169"/>
    <cellStyle name="Milliers_Feuil1" xfId="170"/>
    <cellStyle name="Mina0" xfId="171"/>
    <cellStyle name="Mìna0" xfId="172"/>
    <cellStyle name="Mina0 10" xfId="173"/>
    <cellStyle name="Mina0 11" xfId="174"/>
    <cellStyle name="Mina0 12" xfId="175"/>
    <cellStyle name="Mina0 13" xfId="176"/>
    <cellStyle name="Mina0 14" xfId="177"/>
    <cellStyle name="Mina0 15" xfId="178"/>
    <cellStyle name="Mina0 16" xfId="179"/>
    <cellStyle name="Mina0 17" xfId="180"/>
    <cellStyle name="Mina0 18" xfId="181"/>
    <cellStyle name="Mina0 19" xfId="182"/>
    <cellStyle name="Mina0 2" xfId="183"/>
    <cellStyle name="Mìna0 2" xfId="803"/>
    <cellStyle name="Mina0 20" xfId="184"/>
    <cellStyle name="Mina0 21" xfId="185"/>
    <cellStyle name="Mina0 22" xfId="186"/>
    <cellStyle name="Mina0 23" xfId="187"/>
    <cellStyle name="Mina0 24" xfId="188"/>
    <cellStyle name="Mina0 25" xfId="189"/>
    <cellStyle name="Mina0 26" xfId="190"/>
    <cellStyle name="Mina0 27" xfId="191"/>
    <cellStyle name="Mina0 28" xfId="192"/>
    <cellStyle name="Mina0 29" xfId="193"/>
    <cellStyle name="Mina0 3" xfId="194"/>
    <cellStyle name="Mina0 30" xfId="195"/>
    <cellStyle name="Mina0 31" xfId="196"/>
    <cellStyle name="Mina0 32" xfId="197"/>
    <cellStyle name="Mina0 33" xfId="198"/>
    <cellStyle name="Mina0 34" xfId="199"/>
    <cellStyle name="Mina0 35" xfId="200"/>
    <cellStyle name="Mina0 36" xfId="201"/>
    <cellStyle name="Mina0 37" xfId="202"/>
    <cellStyle name="Mina0 38" xfId="203"/>
    <cellStyle name="Mina0 39" xfId="204"/>
    <cellStyle name="Mina0 4" xfId="205"/>
    <cellStyle name="Mina0 40" xfId="206"/>
    <cellStyle name="Mina0 41" xfId="207"/>
    <cellStyle name="Mina0 42" xfId="208"/>
    <cellStyle name="Mina0 43" xfId="209"/>
    <cellStyle name="Mina0 44" xfId="210"/>
    <cellStyle name="Mina0 45" xfId="211"/>
    <cellStyle name="Mina0 46" xfId="212"/>
    <cellStyle name="Mina0 47" xfId="213"/>
    <cellStyle name="Mina0 48" xfId="214"/>
    <cellStyle name="Mina0 49" xfId="215"/>
    <cellStyle name="Mina0 5" xfId="216"/>
    <cellStyle name="Mina0 50" xfId="217"/>
    <cellStyle name="Mina0 51" xfId="218"/>
    <cellStyle name="Mina0 52" xfId="219"/>
    <cellStyle name="Mina0 53" xfId="220"/>
    <cellStyle name="Mina0 54" xfId="221"/>
    <cellStyle name="Mina0 55" xfId="222"/>
    <cellStyle name="Mina0 56" xfId="223"/>
    <cellStyle name="Mina0 57" xfId="802"/>
    <cellStyle name="Mina0 6" xfId="224"/>
    <cellStyle name="Mina0 7" xfId="225"/>
    <cellStyle name="Mina0 8" xfId="226"/>
    <cellStyle name="Mina0 9" xfId="227"/>
    <cellStyle name="Moneda [0]_11.1.3. bis" xfId="228"/>
    <cellStyle name="Moneda_11.1.3. bis" xfId="229"/>
    <cellStyle name="Monétaire [0]_Feuil1" xfId="230"/>
    <cellStyle name="Monétaire_Feuil1" xfId="231"/>
    <cellStyle name="Motif" xfId="232"/>
    <cellStyle name="MTW" xfId="233"/>
    <cellStyle name="n0" xfId="2250"/>
    <cellStyle name="Nadpis 1" xfId="2198" builtinId="16" customBuiltin="1"/>
    <cellStyle name="Nadpis 1 2" xfId="1956"/>
    <cellStyle name="Nadpis 1 3" xfId="2465"/>
    <cellStyle name="Nadpis 1 4" xfId="2466"/>
    <cellStyle name="Nadpis 1 5" xfId="2467"/>
    <cellStyle name="Nadpis 1 6" xfId="2360"/>
    <cellStyle name="Nadpis 2" xfId="2199" builtinId="17" customBuiltin="1"/>
    <cellStyle name="Nadpis 2 2" xfId="1957"/>
    <cellStyle name="Nadpis 2 3" xfId="2468"/>
    <cellStyle name="Nadpis 2 4" xfId="2469"/>
    <cellStyle name="Nadpis 2 5" xfId="2470"/>
    <cellStyle name="Nadpis 2 6" xfId="2361"/>
    <cellStyle name="Nadpis 3" xfId="2200" builtinId="18" customBuiltin="1"/>
    <cellStyle name="Nadpis 3 2" xfId="1958"/>
    <cellStyle name="Nadpis 3 3" xfId="2471"/>
    <cellStyle name="Nadpis 3 4" xfId="2472"/>
    <cellStyle name="Nadpis 3 5" xfId="2473"/>
    <cellStyle name="Nadpis 3 6" xfId="2362"/>
    <cellStyle name="Nadpis 4" xfId="2201" builtinId="19" customBuiltin="1"/>
    <cellStyle name="Nadpis 4 2" xfId="1959"/>
    <cellStyle name="Nadpis 4 3" xfId="2474"/>
    <cellStyle name="Nadpis 4 4" xfId="2475"/>
    <cellStyle name="Nadpis 4 5" xfId="2476"/>
    <cellStyle name="Nadpis 4 6" xfId="2363"/>
    <cellStyle name="Navadno_FN02pomesecih" xfId="234"/>
    <cellStyle name="Název" xfId="2610"/>
    <cellStyle name="Nedefinován" xfId="235"/>
    <cellStyle name="Nedefinován 2" xfId="236"/>
    <cellStyle name="Nedefinován 3" xfId="237"/>
    <cellStyle name="Nedefinován_NPC vysvetlenie_20121025" xfId="238"/>
    <cellStyle name="Neutral" xfId="2159"/>
    <cellStyle name="Neutral 2" xfId="2315"/>
    <cellStyle name="Neutrálna" xfId="2203" builtinId="28" customBuiltin="1"/>
    <cellStyle name="Neutrálna 2" xfId="1962"/>
    <cellStyle name="Neutrálna 3" xfId="2477"/>
    <cellStyle name="Neutrálna 4" xfId="2478"/>
    <cellStyle name="Neutrálna 5" xfId="2479"/>
    <cellStyle name="Neutrálna 6" xfId="2366"/>
    <cellStyle name="Neutrální" xfId="2611"/>
    <cellStyle name="Normal - Style1" xfId="239"/>
    <cellStyle name="Normal - Style2" xfId="240"/>
    <cellStyle name="Normal - Style3" xfId="241"/>
    <cellStyle name="Normal 10" xfId="242"/>
    <cellStyle name="Normal 10 2" xfId="243"/>
    <cellStyle name="Normal 10 2 2" xfId="244"/>
    <cellStyle name="Normal 10 2 2 2" xfId="245"/>
    <cellStyle name="Normal 10 2 2 3" xfId="246"/>
    <cellStyle name="Normal 10 2 2 4" xfId="247"/>
    <cellStyle name="Normal 10 2 3" xfId="248"/>
    <cellStyle name="Normal 10 2 3 2" xfId="249"/>
    <cellStyle name="Normal 10 2 3 3" xfId="250"/>
    <cellStyle name="Normal 10 2 3 4" xfId="251"/>
    <cellStyle name="Normal 10 2 4" xfId="252"/>
    <cellStyle name="Normal 10 2 5" xfId="253"/>
    <cellStyle name="Normal 10 2 6" xfId="254"/>
    <cellStyle name="Normal 10 2_1.IMF_SVK_2011 Article IV_Tables attached to Fiscal Questionnaire" xfId="255"/>
    <cellStyle name="Normal 10 3" xfId="256"/>
    <cellStyle name="Normal 10 3 2" xfId="257"/>
    <cellStyle name="Normal 10 3 2 2" xfId="258"/>
    <cellStyle name="Normal 10 3 2 3" xfId="259"/>
    <cellStyle name="Normal 10 3 2 4" xfId="260"/>
    <cellStyle name="Normal 10 3 3" xfId="261"/>
    <cellStyle name="Normal 10 3 3 2" xfId="262"/>
    <cellStyle name="Normal 10 3 3 3" xfId="263"/>
    <cellStyle name="Normal 10 3 3 4" xfId="264"/>
    <cellStyle name="Normal 10 3 4" xfId="265"/>
    <cellStyle name="Normal 10 3 5" xfId="266"/>
    <cellStyle name="Normal 10 3 6" xfId="267"/>
    <cellStyle name="Normal 10 3_1.IMF_SVK_2011 Article IV_Tables attached to Fiscal Questionnaire" xfId="268"/>
    <cellStyle name="Normal 10 4" xfId="269"/>
    <cellStyle name="Normal 10 4 2" xfId="270"/>
    <cellStyle name="Normal 10 4 3" xfId="271"/>
    <cellStyle name="Normal 10 4 4" xfId="272"/>
    <cellStyle name="Normal 10 5" xfId="273"/>
    <cellStyle name="Normal 10 5 2" xfId="274"/>
    <cellStyle name="Normal 10 5 3" xfId="275"/>
    <cellStyle name="Normal 10 5 4" xfId="276"/>
    <cellStyle name="Normal 10 6" xfId="277"/>
    <cellStyle name="Normal 10 7" xfId="278"/>
    <cellStyle name="Normal 10 8" xfId="279"/>
    <cellStyle name="Normal 10_1.IMF_SVK_2011 Article IV_Tables attached to Fiscal Questionnaire" xfId="280"/>
    <cellStyle name="Normal 11" xfId="281"/>
    <cellStyle name="Normal 11 2" xfId="282"/>
    <cellStyle name="Normal 11 3" xfId="283"/>
    <cellStyle name="Normal 11 4" xfId="284"/>
    <cellStyle name="Normal 11_NPC vysvetlenie_20121025" xfId="285"/>
    <cellStyle name="Normal 12" xfId="286"/>
    <cellStyle name="Normal 12 2" xfId="287"/>
    <cellStyle name="Normal 13" xfId="288"/>
    <cellStyle name="Normal 14" xfId="289"/>
    <cellStyle name="Normal 15" xfId="290"/>
    <cellStyle name="Normal 16" xfId="291"/>
    <cellStyle name="Normal 17" xfId="292"/>
    <cellStyle name="Normal 18" xfId="293"/>
    <cellStyle name="Normal 19" xfId="294"/>
    <cellStyle name="Normal 2" xfId="295"/>
    <cellStyle name="Normal 2 2" xfId="296"/>
    <cellStyle name="Normal 2 2 2" xfId="2228"/>
    <cellStyle name="Normal 2 2 2 2" xfId="2614"/>
    <cellStyle name="Normal 2 2 3" xfId="2268"/>
    <cellStyle name="Normal 2 2 3 2" xfId="2613"/>
    <cellStyle name="Normal 2 2 4" xfId="2316"/>
    <cellStyle name="Normal 2 2 5" xfId="2673"/>
    <cellStyle name="Normal 2 2_makro" xfId="2651"/>
    <cellStyle name="Normal 2 3" xfId="297"/>
    <cellStyle name="Normal 2 3 2" xfId="2234"/>
    <cellStyle name="Normal 2 3 3" xfId="2615"/>
    <cellStyle name="Normal 2 4" xfId="1451"/>
    <cellStyle name="Normal 2 4 2" xfId="2221"/>
    <cellStyle name="Normal 2 4 3" xfId="2612"/>
    <cellStyle name="Normal 2 5" xfId="2217"/>
    <cellStyle name="Normal 2 6" xfId="2298"/>
    <cellStyle name="Normal 2 7" xfId="2357"/>
    <cellStyle name="Normal 2 8" xfId="2671"/>
    <cellStyle name="Normal 2_makro" xfId="2650"/>
    <cellStyle name="Normal 20" xfId="298"/>
    <cellStyle name="Normal 21" xfId="299"/>
    <cellStyle name="Normal 22" xfId="300"/>
    <cellStyle name="Normal 23" xfId="301"/>
    <cellStyle name="Normal 24" xfId="302"/>
    <cellStyle name="Normal 25" xfId="303"/>
    <cellStyle name="Normal 26" xfId="304"/>
    <cellStyle name="Normal 27" xfId="305"/>
    <cellStyle name="Normal 28" xfId="306"/>
    <cellStyle name="Normal 29" xfId="307"/>
    <cellStyle name="Normal 3" xfId="308"/>
    <cellStyle name="Normal 3 2" xfId="309"/>
    <cellStyle name="Normal 3 2 2" xfId="2225"/>
    <cellStyle name="Normal 3 2 3" xfId="2617"/>
    <cellStyle name="Normal 3 3" xfId="2229"/>
    <cellStyle name="Normal 3 3 2" xfId="2616"/>
    <cellStyle name="Normal 3 4" xfId="2258"/>
    <cellStyle name="Normal 3 4 2" xfId="2659"/>
    <cellStyle name="Normal 3 5" xfId="2220"/>
    <cellStyle name="Normal 3 6" xfId="2299"/>
    <cellStyle name="Normal 3_makro" xfId="2652"/>
    <cellStyle name="Normal 30" xfId="310"/>
    <cellStyle name="Normal 31" xfId="311"/>
    <cellStyle name="Normal 32" xfId="312"/>
    <cellStyle name="Normal 33" xfId="313"/>
    <cellStyle name="Normal 34" xfId="314"/>
    <cellStyle name="Normal 35" xfId="315"/>
    <cellStyle name="Normal 36" xfId="316"/>
    <cellStyle name="Normal 37" xfId="317"/>
    <cellStyle name="Normal 38" xfId="318"/>
    <cellStyle name="Normal 39" xfId="319"/>
    <cellStyle name="Normal 4" xfId="320"/>
    <cellStyle name="Normal 4 10" xfId="321"/>
    <cellStyle name="Normal 4 11" xfId="2262"/>
    <cellStyle name="Normal 4 12" xfId="2317"/>
    <cellStyle name="Normal 4 2" xfId="322"/>
    <cellStyle name="Normal 4 2 10" xfId="2277"/>
    <cellStyle name="Normal 4 2 2" xfId="323"/>
    <cellStyle name="Normal 4 2 2 2" xfId="324"/>
    <cellStyle name="Normal 4 2 2 2 2" xfId="325"/>
    <cellStyle name="Normal 4 2 2 2 3" xfId="326"/>
    <cellStyle name="Normal 4 2 2 2 4" xfId="327"/>
    <cellStyle name="Normal 4 2 2 3" xfId="328"/>
    <cellStyle name="Normal 4 2 2 3 2" xfId="329"/>
    <cellStyle name="Normal 4 2 2 3 3" xfId="330"/>
    <cellStyle name="Normal 4 2 2 3 4" xfId="331"/>
    <cellStyle name="Normal 4 2 2 4" xfId="332"/>
    <cellStyle name="Normal 4 2 2 5" xfId="333"/>
    <cellStyle name="Normal 4 2 2 6" xfId="334"/>
    <cellStyle name="Normal 4 2 2_1.IMF_SVK_2011 Article IV_Tables attached to Fiscal Questionnaire" xfId="335"/>
    <cellStyle name="Normal 4 2 3" xfId="336"/>
    <cellStyle name="Normal 4 2 3 2" xfId="337"/>
    <cellStyle name="Normal 4 2 3 2 2" xfId="338"/>
    <cellStyle name="Normal 4 2 3 2 3" xfId="339"/>
    <cellStyle name="Normal 4 2 3 2 4" xfId="340"/>
    <cellStyle name="Normal 4 2 3 3" xfId="341"/>
    <cellStyle name="Normal 4 2 3 3 2" xfId="342"/>
    <cellStyle name="Normal 4 2 3 3 3" xfId="343"/>
    <cellStyle name="Normal 4 2 3 3 4" xfId="344"/>
    <cellStyle name="Normal 4 2 3 4" xfId="345"/>
    <cellStyle name="Normal 4 2 3 5" xfId="346"/>
    <cellStyle name="Normal 4 2 3 6" xfId="347"/>
    <cellStyle name="Normal 4 2 3_1.IMF_SVK_2011 Article IV_Tables attached to Fiscal Questionnaire" xfId="348"/>
    <cellStyle name="Normal 4 2 4" xfId="349"/>
    <cellStyle name="Normal 4 2 4 2" xfId="350"/>
    <cellStyle name="Normal 4 2 4 3" xfId="351"/>
    <cellStyle name="Normal 4 2 4 4" xfId="352"/>
    <cellStyle name="Normal 4 2 5" xfId="353"/>
    <cellStyle name="Normal 4 2 5 2" xfId="354"/>
    <cellStyle name="Normal 4 2 5 3" xfId="355"/>
    <cellStyle name="Normal 4 2 5 4" xfId="356"/>
    <cellStyle name="Normal 4 2 6" xfId="357"/>
    <cellStyle name="Normal 4 2 7" xfId="358"/>
    <cellStyle name="Normal 4 2 8" xfId="359"/>
    <cellStyle name="Normal 4 2 9" xfId="2264"/>
    <cellStyle name="Normal 4 2_1.IMF_SVK_2011 Article IV_Tables attached to Fiscal Questionnaire" xfId="360"/>
    <cellStyle name="Normal 4 3" xfId="361"/>
    <cellStyle name="Normal 4 3 2" xfId="362"/>
    <cellStyle name="Normal 4 3 2 2" xfId="363"/>
    <cellStyle name="Normal 4 3 2 3" xfId="364"/>
    <cellStyle name="Normal 4 3 2 4" xfId="365"/>
    <cellStyle name="Normal 4 3 3" xfId="366"/>
    <cellStyle name="Normal 4 3 3 2" xfId="367"/>
    <cellStyle name="Normal 4 3 3 3" xfId="368"/>
    <cellStyle name="Normal 4 3 3 4" xfId="369"/>
    <cellStyle name="Normal 4 3 4" xfId="370"/>
    <cellStyle name="Normal 4 3 5" xfId="371"/>
    <cellStyle name="Normal 4 3 6" xfId="372"/>
    <cellStyle name="Normal 4 3 7" xfId="2218"/>
    <cellStyle name="Normal 4 3_1.IMF_SVK_2011 Article IV_Tables attached to Fiscal Questionnaire" xfId="373"/>
    <cellStyle name="Normal 4 4" xfId="374"/>
    <cellStyle name="Normal 4 4 2" xfId="375"/>
    <cellStyle name="Normal 4 4 2 2" xfId="376"/>
    <cellStyle name="Normal 4 4 2 3" xfId="377"/>
    <cellStyle name="Normal 4 4 2 4" xfId="378"/>
    <cellStyle name="Normal 4 4 3" xfId="379"/>
    <cellStyle name="Normal 4 4 3 2" xfId="380"/>
    <cellStyle name="Normal 4 4 3 3" xfId="381"/>
    <cellStyle name="Normal 4 4 3 4" xfId="382"/>
    <cellStyle name="Normal 4 4 4" xfId="383"/>
    <cellStyle name="Normal 4 4 5" xfId="384"/>
    <cellStyle name="Normal 4 4 6" xfId="385"/>
    <cellStyle name="Normal 4 4_1.IMF_SVK_2011 Article IV_Tables attached to Fiscal Questionnaire" xfId="386"/>
    <cellStyle name="Normal 4 5" xfId="387"/>
    <cellStyle name="Normal 4 5 2" xfId="388"/>
    <cellStyle name="Normal 4 5 3" xfId="389"/>
    <cellStyle name="Normal 4 5 4" xfId="390"/>
    <cellStyle name="Normal 4 6" xfId="391"/>
    <cellStyle name="Normal 4 6 2" xfId="392"/>
    <cellStyle name="Normal 4 6 3" xfId="393"/>
    <cellStyle name="Normal 4 6 4" xfId="394"/>
    <cellStyle name="Normal 4 7" xfId="395"/>
    <cellStyle name="Normal 4 8" xfId="396"/>
    <cellStyle name="Normal 4 9" xfId="397"/>
    <cellStyle name="Normal 4_1.IMF_SVK_2011 Article IV_Tables attached to Fiscal Questionnaire" xfId="398"/>
    <cellStyle name="Normal 40" xfId="399"/>
    <cellStyle name="Normal 41" xfId="400"/>
    <cellStyle name="Normal 42" xfId="401"/>
    <cellStyle name="Normal 43" xfId="402"/>
    <cellStyle name="Normal 44" xfId="403"/>
    <cellStyle name="Normal 45" xfId="404"/>
    <cellStyle name="Normal 46" xfId="405"/>
    <cellStyle name="Normal 47" xfId="406"/>
    <cellStyle name="Normal 48" xfId="407"/>
    <cellStyle name="Normal 49" xfId="408"/>
    <cellStyle name="Normal 5" xfId="409"/>
    <cellStyle name="Normal 5 10" xfId="2232"/>
    <cellStyle name="Normal 5 11" xfId="2618"/>
    <cellStyle name="Normal 5 2" xfId="410"/>
    <cellStyle name="Normal 5 2 10" xfId="2278"/>
    <cellStyle name="Normal 5 2 2" xfId="411"/>
    <cellStyle name="Normal 5 2 2 2" xfId="412"/>
    <cellStyle name="Normal 5 2 2 2 2" xfId="413"/>
    <cellStyle name="Normal 5 2 2 2 3" xfId="414"/>
    <cellStyle name="Normal 5 2 2 2 4" xfId="415"/>
    <cellStyle name="Normal 5 2 2 3" xfId="416"/>
    <cellStyle name="Normal 5 2 2 3 2" xfId="417"/>
    <cellStyle name="Normal 5 2 2 3 3" xfId="418"/>
    <cellStyle name="Normal 5 2 2 3 4" xfId="419"/>
    <cellStyle name="Normal 5 2 2 4" xfId="420"/>
    <cellStyle name="Normal 5 2 2 5" xfId="421"/>
    <cellStyle name="Normal 5 2 2 6" xfId="422"/>
    <cellStyle name="Normal 5 2 2_1.IMF_SVK_2011 Article IV_Tables attached to Fiscal Questionnaire" xfId="423"/>
    <cellStyle name="Normal 5 2 3" xfId="424"/>
    <cellStyle name="Normal 5 2 3 2" xfId="425"/>
    <cellStyle name="Normal 5 2 3 2 2" xfId="426"/>
    <cellStyle name="Normal 5 2 3 2 3" xfId="427"/>
    <cellStyle name="Normal 5 2 3 2 4" xfId="428"/>
    <cellStyle name="Normal 5 2 3 3" xfId="429"/>
    <cellStyle name="Normal 5 2 3 3 2" xfId="430"/>
    <cellStyle name="Normal 5 2 3 3 3" xfId="431"/>
    <cellStyle name="Normal 5 2 3 3 4" xfId="432"/>
    <cellStyle name="Normal 5 2 3 4" xfId="433"/>
    <cellStyle name="Normal 5 2 3 5" xfId="434"/>
    <cellStyle name="Normal 5 2 3 6" xfId="435"/>
    <cellStyle name="Normal 5 2 3_1.IMF_SVK_2011 Article IV_Tables attached to Fiscal Questionnaire" xfId="436"/>
    <cellStyle name="Normal 5 2 4" xfId="437"/>
    <cellStyle name="Normal 5 2 4 2" xfId="438"/>
    <cellStyle name="Normal 5 2 4 3" xfId="439"/>
    <cellStyle name="Normal 5 2 4 4" xfId="440"/>
    <cellStyle name="Normal 5 2 5" xfId="441"/>
    <cellStyle name="Normal 5 2 5 2" xfId="442"/>
    <cellStyle name="Normal 5 2 5 3" xfId="443"/>
    <cellStyle name="Normal 5 2 5 4" xfId="444"/>
    <cellStyle name="Normal 5 2 6" xfId="445"/>
    <cellStyle name="Normal 5 2 7" xfId="446"/>
    <cellStyle name="Normal 5 2 8" xfId="447"/>
    <cellStyle name="Normal 5 2 9" xfId="2274"/>
    <cellStyle name="Normal 5 2_1.IMF_SVK_2011 Article IV_Tables attached to Fiscal Questionnaire" xfId="448"/>
    <cellStyle name="Normal 5 3" xfId="449"/>
    <cellStyle name="Normal 5 3 2" xfId="450"/>
    <cellStyle name="Normal 5 3 2 2" xfId="451"/>
    <cellStyle name="Normal 5 3 2 3" xfId="452"/>
    <cellStyle name="Normal 5 3 2 4" xfId="453"/>
    <cellStyle name="Normal 5 3 3" xfId="454"/>
    <cellStyle name="Normal 5 3 3 2" xfId="455"/>
    <cellStyle name="Normal 5 3 3 3" xfId="456"/>
    <cellStyle name="Normal 5 3 3 4" xfId="457"/>
    <cellStyle name="Normal 5 3 4" xfId="458"/>
    <cellStyle name="Normal 5 3 5" xfId="459"/>
    <cellStyle name="Normal 5 3 6" xfId="460"/>
    <cellStyle name="Normal 5 3_1.IMF_SVK_2011 Article IV_Tables attached to Fiscal Questionnaire" xfId="461"/>
    <cellStyle name="Normal 5 4" xfId="462"/>
    <cellStyle name="Normal 5 4 2" xfId="463"/>
    <cellStyle name="Normal 5 4 2 2" xfId="464"/>
    <cellStyle name="Normal 5 4 2 3" xfId="465"/>
    <cellStyle name="Normal 5 4 2 4" xfId="466"/>
    <cellStyle name="Normal 5 4 3" xfId="467"/>
    <cellStyle name="Normal 5 4 3 2" xfId="468"/>
    <cellStyle name="Normal 5 4 3 3" xfId="469"/>
    <cellStyle name="Normal 5 4 3 4" xfId="470"/>
    <cellStyle name="Normal 5 4 4" xfId="471"/>
    <cellStyle name="Normal 5 4 5" xfId="472"/>
    <cellStyle name="Normal 5 4 6" xfId="473"/>
    <cellStyle name="Normal 5 4_1.IMF_SVK_2011 Article IV_Tables attached to Fiscal Questionnaire" xfId="474"/>
    <cellStyle name="Normal 5 5" xfId="475"/>
    <cellStyle name="Normal 5 5 2" xfId="476"/>
    <cellStyle name="Normal 5 5 3" xfId="477"/>
    <cellStyle name="Normal 5 5 4" xfId="478"/>
    <cellStyle name="Normal 5 6" xfId="479"/>
    <cellStyle name="Normal 5 6 2" xfId="480"/>
    <cellStyle name="Normal 5 6 3" xfId="481"/>
    <cellStyle name="Normal 5 6 4" xfId="482"/>
    <cellStyle name="Normal 5 7" xfId="483"/>
    <cellStyle name="Normal 5 8" xfId="484"/>
    <cellStyle name="Normal 5 9" xfId="485"/>
    <cellStyle name="Normal 5_1.IMF_SVK_2011 Article IV_Tables attached to Fiscal Questionnaire" xfId="486"/>
    <cellStyle name="Normal 50" xfId="487"/>
    <cellStyle name="Normal 51" xfId="488"/>
    <cellStyle name="Normal 52" xfId="489"/>
    <cellStyle name="Normal 53" xfId="490"/>
    <cellStyle name="Normal 6" xfId="491"/>
    <cellStyle name="Normal 6 10" xfId="2265"/>
    <cellStyle name="Normal 6 11" xfId="2619"/>
    <cellStyle name="Normal 6 2" xfId="492"/>
    <cellStyle name="Normal 6 2 10" xfId="2279"/>
    <cellStyle name="Normal 6 2 2" xfId="493"/>
    <cellStyle name="Normal 6 2 2 2" xfId="494"/>
    <cellStyle name="Normal 6 2 2 2 2" xfId="495"/>
    <cellStyle name="Normal 6 2 2 2 3" xfId="496"/>
    <cellStyle name="Normal 6 2 2 2 4" xfId="497"/>
    <cellStyle name="Normal 6 2 2 3" xfId="498"/>
    <cellStyle name="Normal 6 2 2 3 2" xfId="499"/>
    <cellStyle name="Normal 6 2 2 3 3" xfId="500"/>
    <cellStyle name="Normal 6 2 2 3 4" xfId="501"/>
    <cellStyle name="Normal 6 2 2 4" xfId="502"/>
    <cellStyle name="Normal 6 2 2 5" xfId="503"/>
    <cellStyle name="Normal 6 2 2 6" xfId="504"/>
    <cellStyle name="Normal 6 2 2_1.IMF_SVK_2011 Article IV_Tables attached to Fiscal Questionnaire" xfId="505"/>
    <cellStyle name="Normal 6 2 3" xfId="506"/>
    <cellStyle name="Normal 6 2 3 2" xfId="507"/>
    <cellStyle name="Normal 6 2 3 2 2" xfId="508"/>
    <cellStyle name="Normal 6 2 3 2 3" xfId="509"/>
    <cellStyle name="Normal 6 2 3 2 4" xfId="510"/>
    <cellStyle name="Normal 6 2 3 3" xfId="511"/>
    <cellStyle name="Normal 6 2 3 3 2" xfId="512"/>
    <cellStyle name="Normal 6 2 3 3 3" xfId="513"/>
    <cellStyle name="Normal 6 2 3 3 4" xfId="514"/>
    <cellStyle name="Normal 6 2 3 4" xfId="515"/>
    <cellStyle name="Normal 6 2 3 5" xfId="516"/>
    <cellStyle name="Normal 6 2 3 6" xfId="517"/>
    <cellStyle name="Normal 6 2 3_1.IMF_SVK_2011 Article IV_Tables attached to Fiscal Questionnaire" xfId="518"/>
    <cellStyle name="Normal 6 2 4" xfId="519"/>
    <cellStyle name="Normal 6 2 4 2" xfId="520"/>
    <cellStyle name="Normal 6 2 4 3" xfId="521"/>
    <cellStyle name="Normal 6 2 4 4" xfId="522"/>
    <cellStyle name="Normal 6 2 5" xfId="523"/>
    <cellStyle name="Normal 6 2 5 2" xfId="524"/>
    <cellStyle name="Normal 6 2 5 3" xfId="525"/>
    <cellStyle name="Normal 6 2 5 4" xfId="526"/>
    <cellStyle name="Normal 6 2 6" xfId="527"/>
    <cellStyle name="Normal 6 2 7" xfId="528"/>
    <cellStyle name="Normal 6 2 8" xfId="529"/>
    <cellStyle name="Normal 6 2 9" xfId="2260"/>
    <cellStyle name="Normal 6 2_1.IMF_SVK_2011 Article IV_Tables attached to Fiscal Questionnaire" xfId="530"/>
    <cellStyle name="Normal 6 3" xfId="531"/>
    <cellStyle name="Normal 6 3 2" xfId="532"/>
    <cellStyle name="Normal 6 3 2 2" xfId="533"/>
    <cellStyle name="Normal 6 3 2 3" xfId="534"/>
    <cellStyle name="Normal 6 3 2 4" xfId="535"/>
    <cellStyle name="Normal 6 3 3" xfId="536"/>
    <cellStyle name="Normal 6 3 3 2" xfId="537"/>
    <cellStyle name="Normal 6 3 3 3" xfId="538"/>
    <cellStyle name="Normal 6 3 3 4" xfId="539"/>
    <cellStyle name="Normal 6 3 4" xfId="540"/>
    <cellStyle name="Normal 6 3 5" xfId="541"/>
    <cellStyle name="Normal 6 3 6" xfId="542"/>
    <cellStyle name="Normal 6 3_1.IMF_SVK_2011 Article IV_Tables attached to Fiscal Questionnaire" xfId="543"/>
    <cellStyle name="Normal 6 4" xfId="544"/>
    <cellStyle name="Normal 6 4 2" xfId="545"/>
    <cellStyle name="Normal 6 4 2 2" xfId="546"/>
    <cellStyle name="Normal 6 4 2 3" xfId="547"/>
    <cellStyle name="Normal 6 4 2 4" xfId="548"/>
    <cellStyle name="Normal 6 4 3" xfId="549"/>
    <cellStyle name="Normal 6 4 3 2" xfId="550"/>
    <cellStyle name="Normal 6 4 3 3" xfId="551"/>
    <cellStyle name="Normal 6 4 3 4" xfId="552"/>
    <cellStyle name="Normal 6 4 4" xfId="553"/>
    <cellStyle name="Normal 6 4 5" xfId="554"/>
    <cellStyle name="Normal 6 4 6" xfId="555"/>
    <cellStyle name="Normal 6 4_1.IMF_SVK_2011 Article IV_Tables attached to Fiscal Questionnaire" xfId="556"/>
    <cellStyle name="Normal 6 5" xfId="557"/>
    <cellStyle name="Normal 6 5 2" xfId="558"/>
    <cellStyle name="Normal 6 5 3" xfId="559"/>
    <cellStyle name="Normal 6 5 4" xfId="560"/>
    <cellStyle name="Normal 6 6" xfId="561"/>
    <cellStyle name="Normal 6 6 2" xfId="562"/>
    <cellStyle name="Normal 6 6 3" xfId="563"/>
    <cellStyle name="Normal 6 6 4" xfId="564"/>
    <cellStyle name="Normal 6 7" xfId="565"/>
    <cellStyle name="Normal 6 8" xfId="566"/>
    <cellStyle name="Normal 6 9" xfId="567"/>
    <cellStyle name="Normal 6_1.IMF_SVK_2011 Article IV_Tables attached to Fiscal Questionnaire" xfId="568"/>
    <cellStyle name="Normal 7" xfId="569"/>
    <cellStyle name="Normal 7 2" xfId="2272"/>
    <cellStyle name="Normal 7 3" xfId="2620"/>
    <cellStyle name="Normal 8" xfId="570"/>
    <cellStyle name="Normal 8 2" xfId="2178"/>
    <cellStyle name="Normal 8 2 2" xfId="2621"/>
    <cellStyle name="Normal 8 3" xfId="2267"/>
    <cellStyle name="Normal 8_makro" xfId="2653"/>
    <cellStyle name="Normal 9" xfId="571"/>
    <cellStyle name="Normal 9 2" xfId="572"/>
    <cellStyle name="Normal 9 2 2" xfId="573"/>
    <cellStyle name="Normal 9 2 2 2" xfId="574"/>
    <cellStyle name="Normal 9 2 2 3" xfId="575"/>
    <cellStyle name="Normal 9 2 2 4" xfId="576"/>
    <cellStyle name="Normal 9 2 3" xfId="577"/>
    <cellStyle name="Normal 9 2 3 2" xfId="578"/>
    <cellStyle name="Normal 9 2 3 3" xfId="579"/>
    <cellStyle name="Normal 9 2 3 4" xfId="580"/>
    <cellStyle name="Normal 9 2 4" xfId="581"/>
    <cellStyle name="Normal 9 2 5" xfId="582"/>
    <cellStyle name="Normal 9 2 6" xfId="583"/>
    <cellStyle name="Normal 9 2_1.IMF_SVK_2011 Article IV_Tables attached to Fiscal Questionnaire" xfId="584"/>
    <cellStyle name="Normal 9 3" xfId="585"/>
    <cellStyle name="Normal 9 3 2" xfId="586"/>
    <cellStyle name="Normal 9 3 2 2" xfId="587"/>
    <cellStyle name="Normal 9 3 2 3" xfId="588"/>
    <cellStyle name="Normal 9 3 2 4" xfId="589"/>
    <cellStyle name="Normal 9 3 3" xfId="590"/>
    <cellStyle name="Normal 9 3 3 2" xfId="591"/>
    <cellStyle name="Normal 9 3 3 3" xfId="592"/>
    <cellStyle name="Normal 9 3 3 4" xfId="593"/>
    <cellStyle name="Normal 9 3 4" xfId="594"/>
    <cellStyle name="Normal 9 3 5" xfId="595"/>
    <cellStyle name="Normal 9 3 6" xfId="596"/>
    <cellStyle name="Normal 9 3_1.IMF_SVK_2011 Article IV_Tables attached to Fiscal Questionnaire" xfId="597"/>
    <cellStyle name="Normal 9 4" xfId="598"/>
    <cellStyle name="Normal 9 4 2" xfId="599"/>
    <cellStyle name="Normal 9 4 3" xfId="600"/>
    <cellStyle name="Normal 9 4 4" xfId="601"/>
    <cellStyle name="Normal 9 5" xfId="602"/>
    <cellStyle name="Normal 9 5 2" xfId="603"/>
    <cellStyle name="Normal 9 5 3" xfId="604"/>
    <cellStyle name="Normal 9 5 4" xfId="605"/>
    <cellStyle name="Normal 9 6" xfId="606"/>
    <cellStyle name="Normal 9 7" xfId="607"/>
    <cellStyle name="Normal 9 8" xfId="608"/>
    <cellStyle name="Normal 9_1.IMF_SVK_2011 Article IV_Tables attached to Fiscal Questionnaire" xfId="609"/>
    <cellStyle name="normal number" xfId="610"/>
    <cellStyle name="normal number 2" xfId="611"/>
    <cellStyle name="Normal_1.1" xfId="2300"/>
    <cellStyle name="Normál_3MONTH RATES (2)" xfId="612"/>
    <cellStyle name="Normal_GDPV" xfId="2224"/>
    <cellStyle name="Normal_TAB2 2" xfId="2172"/>
    <cellStyle name="Normálna" xfId="0" builtinId="0" customBuiltin="1"/>
    <cellStyle name="Normálna 10" xfId="2674"/>
    <cellStyle name="Normálna 2" xfId="613"/>
    <cellStyle name="Normálna 2 2" xfId="614"/>
    <cellStyle name="Normálna 2 2 2" xfId="2013"/>
    <cellStyle name="Normálna 2 2_PorovnanieRRZ,EK,MF" xfId="2173"/>
    <cellStyle name="Normálna 2 3" xfId="615"/>
    <cellStyle name="Normálna 2 3 2" xfId="2031"/>
    <cellStyle name="Normálna 2 4" xfId="809"/>
    <cellStyle name="Normálna 2 5" xfId="2318"/>
    <cellStyle name="Normálna 2 6" xfId="2354"/>
    <cellStyle name="Normálna 2_NPC vysvetlenie_20121025" xfId="616"/>
    <cellStyle name="Normálna 3" xfId="2014"/>
    <cellStyle name="Normálna 3 2" xfId="2175"/>
    <cellStyle name="Normálna 3 2 2" xfId="2400"/>
    <cellStyle name="Normálna 3 2 3" xfId="2319"/>
    <cellStyle name="Normálna 3 2 4" xfId="2677"/>
    <cellStyle name="Normálna 3 3" xfId="2179"/>
    <cellStyle name="Normálna 3 4" xfId="2660"/>
    <cellStyle name="Normálna 3_PorovnanieRRZ,EK,MF" xfId="2174"/>
    <cellStyle name="Normálna 4" xfId="2017"/>
    <cellStyle name="Normálna 5" xfId="2147"/>
    <cellStyle name="Normálna 6" xfId="2151"/>
    <cellStyle name="Normálna 7" xfId="790"/>
    <cellStyle name="Normálna 7 2" xfId="795"/>
    <cellStyle name="Normálna 7 3" xfId="808"/>
    <cellStyle name="Normálna 7 4" xfId="2657"/>
    <cellStyle name="Normálna 7 5" xfId="2680"/>
    <cellStyle name="Normálna 8" xfId="2668"/>
    <cellStyle name="Normálna 9" xfId="2670"/>
    <cellStyle name="normálne 10" xfId="617"/>
    <cellStyle name="normálne 10 2" xfId="2059"/>
    <cellStyle name="normálne 10 3" xfId="838"/>
    <cellStyle name="normálne 10 3 2" xfId="2401"/>
    <cellStyle name="normálne 10 4" xfId="2180"/>
    <cellStyle name="normálne 10 5" xfId="2320"/>
    <cellStyle name="normálne 10_OG2013" xfId="2480"/>
    <cellStyle name="Normálne 11" xfId="792"/>
    <cellStyle name="normálne 11 10" xfId="1833"/>
    <cellStyle name="normálne 11 11" xfId="1820"/>
    <cellStyle name="normálne 11 12" xfId="1488"/>
    <cellStyle name="normálne 11 12 2" xfId="2102"/>
    <cellStyle name="normálne 11 13" xfId="1884"/>
    <cellStyle name="normálne 11 13 2" xfId="2128"/>
    <cellStyle name="normálne 11 14" xfId="1901"/>
    <cellStyle name="normálne 11 14 2" xfId="2129"/>
    <cellStyle name="normálne 11 15" xfId="1908"/>
    <cellStyle name="normálne 11 15 2" xfId="2130"/>
    <cellStyle name="normálne 11 16" xfId="1915"/>
    <cellStyle name="normálne 11 16 2" xfId="2131"/>
    <cellStyle name="normálne 11 17" xfId="1922"/>
    <cellStyle name="normálne 11 17 2" xfId="2132"/>
    <cellStyle name="normálne 11 18" xfId="1929"/>
    <cellStyle name="normálne 11 18 2" xfId="2133"/>
    <cellStyle name="normálne 11 19" xfId="1935"/>
    <cellStyle name="normálne 11 19 2" xfId="2134"/>
    <cellStyle name="normálne 11 2" xfId="1456"/>
    <cellStyle name="normálne 11 2 2" xfId="1487"/>
    <cellStyle name="normálne 11 2 3" xfId="1724"/>
    <cellStyle name="normálne 11 2 4" xfId="2098"/>
    <cellStyle name="normálne 11 20" xfId="1941"/>
    <cellStyle name="normálne 11 20 2" xfId="2135"/>
    <cellStyle name="normálne 11 21" xfId="1947"/>
    <cellStyle name="normálne 11 21 2" xfId="2136"/>
    <cellStyle name="normálne 11 22" xfId="1953"/>
    <cellStyle name="normálne 11 22 2" xfId="2137"/>
    <cellStyle name="normálne 11 23" xfId="2026"/>
    <cellStyle name="normálne 11 24" xfId="851"/>
    <cellStyle name="normálne 11 3" xfId="1798"/>
    <cellStyle name="normálne 11 4" xfId="1805"/>
    <cellStyle name="normálne 11 5" xfId="1848"/>
    <cellStyle name="normálne 11 6" xfId="1828"/>
    <cellStyle name="normálne 11 7" xfId="1854"/>
    <cellStyle name="normálne 11 8" xfId="1790"/>
    <cellStyle name="normálne 11 9" xfId="1844"/>
    <cellStyle name="Normálne 12" xfId="793"/>
    <cellStyle name="normálne 12 2" xfId="2056"/>
    <cellStyle name="normálne 12 3" xfId="877"/>
    <cellStyle name="normálne 13" xfId="618"/>
    <cellStyle name="normálne 13 2" xfId="953"/>
    <cellStyle name="normálne 13 2 2" xfId="1132"/>
    <cellStyle name="normálne 13 2 3" xfId="1269"/>
    <cellStyle name="normálne 13 2 4" xfId="1409"/>
    <cellStyle name="normálne 13 2 5" xfId="1575"/>
    <cellStyle name="normálne 13 2 6" xfId="1678"/>
    <cellStyle name="normálne 13 3" xfId="1057"/>
    <cellStyle name="normálne 13 4" xfId="1196"/>
    <cellStyle name="normálne 13 5" xfId="1338"/>
    <cellStyle name="normálne 13 6" xfId="1502"/>
    <cellStyle name="normálne 13 7" xfId="1749"/>
    <cellStyle name="normálne 13 8" xfId="2050"/>
    <cellStyle name="normálne 13 9" xfId="876"/>
    <cellStyle name="Normálne 14" xfId="794"/>
    <cellStyle name="normálne 14 2" xfId="988"/>
    <cellStyle name="normálne 14 2 2" xfId="1167"/>
    <cellStyle name="normálne 14 2 3" xfId="1304"/>
    <cellStyle name="normálne 14 2 4" xfId="1444"/>
    <cellStyle name="normálne 14 2 5" xfId="1610"/>
    <cellStyle name="normálne 14 2 6" xfId="1728"/>
    <cellStyle name="normálne 14 3" xfId="1094"/>
    <cellStyle name="normálne 14 4" xfId="1232"/>
    <cellStyle name="normálne 14 5" xfId="1373"/>
    <cellStyle name="normálne 14 6" xfId="1538"/>
    <cellStyle name="normálne 14 7" xfId="1656"/>
    <cellStyle name="normálne 14 8" xfId="2042"/>
    <cellStyle name="normálne 14 9" xfId="914"/>
    <cellStyle name="Normálne 15" xfId="796"/>
    <cellStyle name="normálne 15 2" xfId="2024"/>
    <cellStyle name="normálne 15 3" xfId="916"/>
    <cellStyle name="normálne 16" xfId="915"/>
    <cellStyle name="normálne 16 2" xfId="1095"/>
    <cellStyle name="normálne 16 3" xfId="1233"/>
    <cellStyle name="normálne 16 4" xfId="1374"/>
    <cellStyle name="normálne 16 5" xfId="1539"/>
    <cellStyle name="normálne 16 6" xfId="1778"/>
    <cellStyle name="normálne 16 7" xfId="2038"/>
    <cellStyle name="Normálne 16 8" xfId="2676"/>
    <cellStyle name="normálne 17" xfId="989"/>
    <cellStyle name="normálne 17 2" xfId="1168"/>
    <cellStyle name="normálne 17 3" xfId="1305"/>
    <cellStyle name="normálne 17 4" xfId="1445"/>
    <cellStyle name="normálne 17 5" xfId="1611"/>
    <cellStyle name="normálne 17 6" xfId="1734"/>
    <cellStyle name="normálne 17 7" xfId="2043"/>
    <cellStyle name="normálne 18" xfId="990"/>
    <cellStyle name="normálne 18 2" xfId="2071"/>
    <cellStyle name="normálne 19" xfId="993"/>
    <cellStyle name="normálne 19 2" xfId="1171"/>
    <cellStyle name="normálne 19 2 2" xfId="2089"/>
    <cellStyle name="normálne 19 2 2 2" xfId="2481"/>
    <cellStyle name="normálne 19 2 3" xfId="2482"/>
    <cellStyle name="normálne 19 3" xfId="1308"/>
    <cellStyle name="normálne 19 3 2" xfId="2094"/>
    <cellStyle name="normálne 19 3 2 2" xfId="2483"/>
    <cellStyle name="normálne 19 3 3" xfId="2484"/>
    <cellStyle name="normálne 19 4" xfId="1447"/>
    <cellStyle name="normálne 19 4 2" xfId="2096"/>
    <cellStyle name="normálne 19 4 2 2" xfId="2485"/>
    <cellStyle name="normálne 19 4 3" xfId="2486"/>
    <cellStyle name="normálne 19 5" xfId="1614"/>
    <cellStyle name="normálne 19 5 2" xfId="2103"/>
    <cellStyle name="normálne 19 5 2 2" xfId="2487"/>
    <cellStyle name="normálne 19 5 3" xfId="2488"/>
    <cellStyle name="normálne 19 6" xfId="1711"/>
    <cellStyle name="normálne 19 6 2" xfId="2121"/>
    <cellStyle name="normálne 19 6 2 2" xfId="2489"/>
    <cellStyle name="normálne 19 6 3" xfId="2490"/>
    <cellStyle name="normálne 19 7" xfId="2080"/>
    <cellStyle name="normálne 19 7 2" xfId="2491"/>
    <cellStyle name="normálne 19 8" xfId="2036"/>
    <cellStyle name="normálne 2" xfId="619"/>
    <cellStyle name="normálne 2 10" xfId="1781"/>
    <cellStyle name="normálne 2 11" xfId="1791"/>
    <cellStyle name="normálne 2 12" xfId="1829"/>
    <cellStyle name="normálne 2 13" xfId="1841"/>
    <cellStyle name="normálne 2 14" xfId="1796"/>
    <cellStyle name="normálne 2 15" xfId="1831"/>
    <cellStyle name="normálne 2 16" xfId="1819"/>
    <cellStyle name="normálne 2 17" xfId="1782"/>
    <cellStyle name="normálne 2 18" xfId="1874"/>
    <cellStyle name="normálne 2 19" xfId="1887"/>
    <cellStyle name="normálne 2 2" xfId="620"/>
    <cellStyle name="normálne 2 2 10" xfId="1855"/>
    <cellStyle name="normálne 2 2 11" xfId="1853"/>
    <cellStyle name="normálne 2 2 12" xfId="1840"/>
    <cellStyle name="normálne 2 2 13" xfId="1832"/>
    <cellStyle name="normálne 2 2 14" xfId="1809"/>
    <cellStyle name="normálne 2 2 15" xfId="1620"/>
    <cellStyle name="normálne 2 2 16" xfId="818"/>
    <cellStyle name="normálne 2 2 2" xfId="621"/>
    <cellStyle name="normálne 2 2 2 2" xfId="857"/>
    <cellStyle name="normálne 2 2 3" xfId="1004"/>
    <cellStyle name="normálne 2 2 4" xfId="1052"/>
    <cellStyle name="normálne 2 2 5" xfId="1180"/>
    <cellStyle name="normálne 2 2 6" xfId="1464"/>
    <cellStyle name="normálne 2 2 6 2" xfId="1784"/>
    <cellStyle name="normálne 2 2 6 3" xfId="1877"/>
    <cellStyle name="normálne 2 2 7" xfId="1783"/>
    <cellStyle name="normálne 2 2 8" xfId="1794"/>
    <cellStyle name="normálne 2 2 9" xfId="1850"/>
    <cellStyle name="normálne 2 20" xfId="1893"/>
    <cellStyle name="normálne 2 21" xfId="2035"/>
    <cellStyle name="normálne 2 22" xfId="816"/>
    <cellStyle name="normálne 2 3" xfId="622"/>
    <cellStyle name="normálne 2 3 2" xfId="824"/>
    <cellStyle name="Normálne 2 3 3" xfId="2664"/>
    <cellStyle name="normálne 2 4" xfId="833"/>
    <cellStyle name="normálne 2 4 10" xfId="1654"/>
    <cellStyle name="normálne 2 4 2" xfId="847"/>
    <cellStyle name="normálne 2 4 2 2" xfId="898"/>
    <cellStyle name="normálne 2 4 2 2 2" xfId="972"/>
    <cellStyle name="normálne 2 4 2 2 2 2" xfId="1151"/>
    <cellStyle name="normálne 2 4 2 2 2 3" xfId="1288"/>
    <cellStyle name="normálne 2 4 2 2 2 4" xfId="1428"/>
    <cellStyle name="normálne 2 4 2 2 2 5" xfId="1594"/>
    <cellStyle name="normálne 2 4 2 2 2 6" xfId="1742"/>
    <cellStyle name="normálne 2 4 2 2 3" xfId="1078"/>
    <cellStyle name="normálne 2 4 2 2 4" xfId="1216"/>
    <cellStyle name="normálne 2 4 2 2 5" xfId="1357"/>
    <cellStyle name="normálne 2 4 2 2 6" xfId="1522"/>
    <cellStyle name="normálne 2 4 2 2 7" xfId="1707"/>
    <cellStyle name="normálne 2 4 2 3" xfId="937"/>
    <cellStyle name="normálne 2 4 2 3 2" xfId="1116"/>
    <cellStyle name="normálne 2 4 2 3 3" xfId="1253"/>
    <cellStyle name="normálne 2 4 2 3 4" xfId="1393"/>
    <cellStyle name="normálne 2 4 2 3 5" xfId="1559"/>
    <cellStyle name="normálne 2 4 2 3 6" xfId="1692"/>
    <cellStyle name="normálne 2 4 2 4" xfId="1031"/>
    <cellStyle name="normálne 2 4 2 5" xfId="1176"/>
    <cellStyle name="normálne 2 4 2 6" xfId="1322"/>
    <cellStyle name="normálne 2 4 2 7" xfId="1483"/>
    <cellStyle name="normálne 2 4 2 8" xfId="1746"/>
    <cellStyle name="normálne 2 4 3" xfId="870"/>
    <cellStyle name="normálne 2 4 3 2" xfId="909"/>
    <cellStyle name="normálne 2 4 3 2 2" xfId="983"/>
    <cellStyle name="normálne 2 4 3 2 2 2" xfId="1162"/>
    <cellStyle name="normálne 2 4 3 2 2 3" xfId="1299"/>
    <cellStyle name="normálne 2 4 3 2 2 4" xfId="1439"/>
    <cellStyle name="normálne 2 4 3 2 2 5" xfId="1605"/>
    <cellStyle name="normálne 2 4 3 2 2 6" xfId="1669"/>
    <cellStyle name="normálne 2 4 3 2 3" xfId="1089"/>
    <cellStyle name="normálne 2 4 3 2 4" xfId="1227"/>
    <cellStyle name="normálne 2 4 3 2 5" xfId="1368"/>
    <cellStyle name="normálne 2 4 3 2 6" xfId="1533"/>
    <cellStyle name="normálne 2 4 3 2 7" xfId="1764"/>
    <cellStyle name="normálne 2 4 3 3" xfId="948"/>
    <cellStyle name="normálne 2 4 3 3 2" xfId="1127"/>
    <cellStyle name="normálne 2 4 3 3 3" xfId="1264"/>
    <cellStyle name="normálne 2 4 3 3 4" xfId="1404"/>
    <cellStyle name="normálne 2 4 3 3 5" xfId="1570"/>
    <cellStyle name="normálne 2 4 3 3 6" xfId="1748"/>
    <cellStyle name="normálne 2 4 3 4" xfId="1051"/>
    <cellStyle name="normálne 2 4 3 5" xfId="1191"/>
    <cellStyle name="normálne 2 4 3 6" xfId="1333"/>
    <cellStyle name="normálne 2 4 3 7" xfId="1497"/>
    <cellStyle name="normálne 2 4 3 8" xfId="1736"/>
    <cellStyle name="normálne 2 4 4" xfId="887"/>
    <cellStyle name="normálne 2 4 4 2" xfId="961"/>
    <cellStyle name="normálne 2 4 4 2 2" xfId="1140"/>
    <cellStyle name="normálne 2 4 4 2 3" xfId="1277"/>
    <cellStyle name="normálne 2 4 4 2 4" xfId="1417"/>
    <cellStyle name="normálne 2 4 4 2 5" xfId="1583"/>
    <cellStyle name="normálne 2 4 4 2 6" xfId="1695"/>
    <cellStyle name="normálne 2 4 4 3" xfId="1067"/>
    <cellStyle name="normálne 2 4 4 4" xfId="1205"/>
    <cellStyle name="normálne 2 4 4 5" xfId="1346"/>
    <cellStyle name="normálne 2 4 4 6" xfId="1511"/>
    <cellStyle name="normálne 2 4 4 7" xfId="1663"/>
    <cellStyle name="normálne 2 4 5" xfId="926"/>
    <cellStyle name="normálne 2 4 5 2" xfId="1105"/>
    <cellStyle name="normálne 2 4 5 3" xfId="1242"/>
    <cellStyle name="normálne 2 4 5 4" xfId="1382"/>
    <cellStyle name="normálne 2 4 5 5" xfId="1548"/>
    <cellStyle name="normálne 2 4 5 6" xfId="1652"/>
    <cellStyle name="normálne 2 4 6" xfId="1018"/>
    <cellStyle name="normálne 2 4 7" xfId="997"/>
    <cellStyle name="normálne 2 4 8" xfId="1311"/>
    <cellStyle name="normálne 2 4 9" xfId="1474"/>
    <cellStyle name="normálne 2 5" xfId="827"/>
    <cellStyle name="normálne 2 5 2" xfId="1014"/>
    <cellStyle name="normálne 2 5 2 2" xfId="1621"/>
    <cellStyle name="normálne 2 5 2 2 2" xfId="2106"/>
    <cellStyle name="normálne 2 5 2 3" xfId="1686"/>
    <cellStyle name="normálne 2 5 2 3 2" xfId="2118"/>
    <cellStyle name="normálne 2 5 2 4" xfId="2084"/>
    <cellStyle name="normálne 2 5 3" xfId="1096"/>
    <cellStyle name="normálne 2 5 3 2" xfId="1657"/>
    <cellStyle name="normálne 2 5 3 2 2" xfId="2114"/>
    <cellStyle name="normálne 2 5 3 3" xfId="1774"/>
    <cellStyle name="normálne 2 5 3 3 2" xfId="2126"/>
    <cellStyle name="normálne 2 5 3 4" xfId="2088"/>
    <cellStyle name="normálne 2 5 4" xfId="1182"/>
    <cellStyle name="normálne 2 5 4 2" xfId="1685"/>
    <cellStyle name="normálne 2 5 4 2 2" xfId="2117"/>
    <cellStyle name="normálne 2 5 4 3" xfId="1769"/>
    <cellStyle name="normálne 2 5 4 3 2" xfId="2125"/>
    <cellStyle name="normálne 2 5 4 4" xfId="2091"/>
    <cellStyle name="normálne 2 5 5" xfId="1471"/>
    <cellStyle name="normálne 2 5 5 2" xfId="2100"/>
    <cellStyle name="normálne 2 5 6" xfId="1637"/>
    <cellStyle name="normálne 2 5 6 2" xfId="2110"/>
    <cellStyle name="normálne 2 5 7" xfId="2078"/>
    <cellStyle name="normálne 2 6" xfId="841"/>
    <cellStyle name="normálne 2 6 2" xfId="875"/>
    <cellStyle name="normálne 2 6 2 2" xfId="913"/>
    <cellStyle name="normálne 2 6 2 2 2" xfId="987"/>
    <cellStyle name="normálne 2 6 2 2 2 2" xfId="1166"/>
    <cellStyle name="normálne 2 6 2 2 2 3" xfId="1303"/>
    <cellStyle name="normálne 2 6 2 2 2 4" xfId="1443"/>
    <cellStyle name="normálne 2 6 2 2 2 5" xfId="1609"/>
    <cellStyle name="normálne 2 6 2 2 2 6" xfId="1777"/>
    <cellStyle name="normálne 2 6 2 2 3" xfId="1093"/>
    <cellStyle name="normálne 2 6 2 2 4" xfId="1231"/>
    <cellStyle name="normálne 2 6 2 2 5" xfId="1372"/>
    <cellStyle name="normálne 2 6 2 2 6" xfId="1537"/>
    <cellStyle name="normálne 2 6 2 2 7" xfId="1702"/>
    <cellStyle name="normálne 2 6 2 3" xfId="952"/>
    <cellStyle name="normálne 2 6 2 3 2" xfId="1131"/>
    <cellStyle name="normálne 2 6 2 3 3" xfId="1268"/>
    <cellStyle name="normálne 2 6 2 3 4" xfId="1408"/>
    <cellStyle name="normálne 2 6 2 3 5" xfId="1574"/>
    <cellStyle name="normálne 2 6 2 3 6" xfId="1726"/>
    <cellStyle name="normálne 2 6 2 4" xfId="1056"/>
    <cellStyle name="normálne 2 6 2 5" xfId="1195"/>
    <cellStyle name="normálne 2 6 2 6" xfId="1337"/>
    <cellStyle name="normálne 2 6 2 7" xfId="1501"/>
    <cellStyle name="normálne 2 6 2 8" xfId="1668"/>
    <cellStyle name="normálne 2 6 3" xfId="892"/>
    <cellStyle name="normálne 2 6 3 2" xfId="966"/>
    <cellStyle name="normálne 2 6 3 2 2" xfId="1145"/>
    <cellStyle name="normálne 2 6 3 2 3" xfId="1282"/>
    <cellStyle name="normálne 2 6 3 2 4" xfId="1422"/>
    <cellStyle name="normálne 2 6 3 2 5" xfId="1588"/>
    <cellStyle name="normálne 2 6 3 2 6" xfId="1729"/>
    <cellStyle name="normálne 2 6 3 3" xfId="1072"/>
    <cellStyle name="normálne 2 6 3 4" xfId="1210"/>
    <cellStyle name="normálne 2 6 3 5" xfId="1351"/>
    <cellStyle name="normálne 2 6 3 6" xfId="1516"/>
    <cellStyle name="normálne 2 6 3 7" xfId="1723"/>
    <cellStyle name="normálne 2 6 4" xfId="931"/>
    <cellStyle name="normálne 2 6 4 2" xfId="1110"/>
    <cellStyle name="normálne 2 6 4 3" xfId="1247"/>
    <cellStyle name="normálne 2 6 4 4" xfId="1387"/>
    <cellStyle name="normálne 2 6 4 5" xfId="1553"/>
    <cellStyle name="normálne 2 6 4 6" xfId="1619"/>
    <cellStyle name="normálne 2 6 5" xfId="1025"/>
    <cellStyle name="normálne 2 6 6" xfId="1006"/>
    <cellStyle name="normálne 2 6 7" xfId="1316"/>
    <cellStyle name="normálne 2 6 8" xfId="1478"/>
    <cellStyle name="normálne 2 6 9" xfId="1681"/>
    <cellStyle name="normálne 2 7" xfId="856"/>
    <cellStyle name="normálne 2 7 2" xfId="903"/>
    <cellStyle name="normálne 2 7 2 2" xfId="977"/>
    <cellStyle name="normálne 2 7 2 2 2" xfId="1156"/>
    <cellStyle name="normálne 2 7 2 2 3" xfId="1293"/>
    <cellStyle name="normálne 2 7 2 2 4" xfId="1433"/>
    <cellStyle name="normálne 2 7 2 2 5" xfId="1599"/>
    <cellStyle name="normálne 2 7 2 2 6" xfId="1673"/>
    <cellStyle name="normálne 2 7 2 3" xfId="1083"/>
    <cellStyle name="normálne 2 7 2 4" xfId="1221"/>
    <cellStyle name="normálne 2 7 2 5" xfId="1362"/>
    <cellStyle name="normálne 2 7 2 6" xfId="1527"/>
    <cellStyle name="normálne 2 7 2 7" xfId="1768"/>
    <cellStyle name="normálne 2 7 3" xfId="942"/>
    <cellStyle name="normálne 2 7 3 2" xfId="1121"/>
    <cellStyle name="normálne 2 7 3 3" xfId="1258"/>
    <cellStyle name="normálne 2 7 3 4" xfId="1398"/>
    <cellStyle name="normálne 2 7 3 5" xfId="1564"/>
    <cellStyle name="normálne 2 7 3 6" xfId="1735"/>
    <cellStyle name="normálne 2 7 4" xfId="1040"/>
    <cellStyle name="normálne 2 7 5" xfId="1184"/>
    <cellStyle name="normálne 2 7 6" xfId="1327"/>
    <cellStyle name="normálne 2 7 7" xfId="1490"/>
    <cellStyle name="normálne 2 7 8" xfId="1626"/>
    <cellStyle name="normálne 2 8" xfId="881"/>
    <cellStyle name="normálne 2 8 2" xfId="955"/>
    <cellStyle name="normálne 2 8 2 2" xfId="1134"/>
    <cellStyle name="normálne 2 8 2 3" xfId="1271"/>
    <cellStyle name="normálne 2 8 2 4" xfId="1411"/>
    <cellStyle name="normálne 2 8 2 5" xfId="1577"/>
    <cellStyle name="normálne 2 8 2 6" xfId="1634"/>
    <cellStyle name="normálne 2 8 3" xfId="1061"/>
    <cellStyle name="normálne 2 8 4" xfId="1199"/>
    <cellStyle name="normálne 2 8 5" xfId="1340"/>
    <cellStyle name="normálne 2 8 6" xfId="1505"/>
    <cellStyle name="normálne 2 8 7" xfId="1679"/>
    <cellStyle name="normálne 2 9" xfId="920"/>
    <cellStyle name="normálne 2 9 2" xfId="1099"/>
    <cellStyle name="normálne 2 9 3" xfId="1236"/>
    <cellStyle name="normálne 2 9 4" xfId="1376"/>
    <cellStyle name="normálne 2 9 5" xfId="1542"/>
    <cellStyle name="normálne 2 9 6" xfId="1631"/>
    <cellStyle name="normálne 2_NPC vysvetlenie_20121025" xfId="623"/>
    <cellStyle name="normálne 20" xfId="995"/>
    <cellStyle name="normálne 20 2" xfId="2082"/>
    <cellStyle name="normálne 20 2 2" xfId="2492"/>
    <cellStyle name="normálne 20 3" xfId="2044"/>
    <cellStyle name="normálne 21" xfId="996"/>
    <cellStyle name="normálne 21 2" xfId="2028"/>
    <cellStyle name="normálne 22" xfId="1003"/>
    <cellStyle name="normálne 22 2" xfId="2060"/>
    <cellStyle name="normálne 23" xfId="1035"/>
    <cellStyle name="normálne 23 2" xfId="2030"/>
    <cellStyle name="normálne 24" xfId="1449"/>
    <cellStyle name="normálne 24 2" xfId="1495"/>
    <cellStyle name="normálne 24 3" xfId="1718"/>
    <cellStyle name="normálne 24 4" xfId="2029"/>
    <cellStyle name="normálne 25" xfId="1780"/>
    <cellStyle name="normálne 25 2" xfId="2039"/>
    <cellStyle name="normálne 26" xfId="1818"/>
    <cellStyle name="normálne 26 2" xfId="2062"/>
    <cellStyle name="normálne 27" xfId="1797"/>
    <cellStyle name="normálne 27 2" xfId="2022"/>
    <cellStyle name="normálne 28" xfId="1811"/>
    <cellStyle name="normálne 29" xfId="1815"/>
    <cellStyle name="normálne 3" xfId="624"/>
    <cellStyle name="normálne 3 10" xfId="1197"/>
    <cellStyle name="normálne 3 11" xfId="1452"/>
    <cellStyle name="normálne 3 11 2" xfId="1786"/>
    <cellStyle name="normálne 3 11 3" xfId="1879"/>
    <cellStyle name="normálne 3 11 4" xfId="2321"/>
    <cellStyle name="normálne 3 11_OG2013" xfId="2493"/>
    <cellStyle name="normálne 3 12" xfId="1807"/>
    <cellStyle name="normálne 3 13" xfId="1852"/>
    <cellStyle name="normálne 3 14" xfId="1867"/>
    <cellStyle name="normálne 3 15" xfId="1801"/>
    <cellStyle name="normálne 3 16" xfId="1842"/>
    <cellStyle name="normálne 3 17" xfId="1864"/>
    <cellStyle name="normálne 3 18" xfId="1806"/>
    <cellStyle name="normálne 3 19" xfId="1808"/>
    <cellStyle name="normálne 3 2" xfId="625"/>
    <cellStyle name="normálne 3 2 10" xfId="1646"/>
    <cellStyle name="normálne 3 2 11" xfId="835"/>
    <cellStyle name="normálne 3 2 2" xfId="848"/>
    <cellStyle name="normálne 3 2 2 2" xfId="899"/>
    <cellStyle name="normálne 3 2 2 2 2" xfId="973"/>
    <cellStyle name="normálne 3 2 2 2 2 2" xfId="1152"/>
    <cellStyle name="normálne 3 2 2 2 2 3" xfId="1289"/>
    <cellStyle name="normálne 3 2 2 2 2 4" xfId="1429"/>
    <cellStyle name="normálne 3 2 2 2 2 5" xfId="1595"/>
    <cellStyle name="normálne 3 2 2 2 2 6" xfId="1693"/>
    <cellStyle name="normálne 3 2 2 2 3" xfId="1079"/>
    <cellStyle name="normálne 3 2 2 2 4" xfId="1217"/>
    <cellStyle name="normálne 3 2 2 2 5" xfId="1358"/>
    <cellStyle name="normálne 3 2 2 2 6" xfId="1523"/>
    <cellStyle name="normálne 3 2 2 2 7" xfId="1661"/>
    <cellStyle name="normálne 3 2 2 3" xfId="938"/>
    <cellStyle name="normálne 3 2 2 3 2" xfId="1117"/>
    <cellStyle name="normálne 3 2 2 3 3" xfId="1254"/>
    <cellStyle name="normálne 3 2 2 3 4" xfId="1394"/>
    <cellStyle name="normálne 3 2 2 3 5" xfId="1560"/>
    <cellStyle name="normálne 3 2 2 3 6" xfId="1644"/>
    <cellStyle name="normálne 3 2 2 4" xfId="1032"/>
    <cellStyle name="normálne 3 2 2 5" xfId="1177"/>
    <cellStyle name="normálne 3 2 2 6" xfId="1323"/>
    <cellStyle name="normálne 3 2 2 7" xfId="1484"/>
    <cellStyle name="normálne 3 2 2 8" xfId="1697"/>
    <cellStyle name="normálne 3 2 3" xfId="872"/>
    <cellStyle name="normálne 3 2 3 2" xfId="910"/>
    <cellStyle name="normálne 3 2 3 2 2" xfId="984"/>
    <cellStyle name="normálne 3 2 3 2 2 2" xfId="1163"/>
    <cellStyle name="normálne 3 2 3 2 2 3" xfId="1300"/>
    <cellStyle name="normálne 3 2 3 2 2 4" xfId="1440"/>
    <cellStyle name="normálne 3 2 3 2 2 5" xfId="1606"/>
    <cellStyle name="normálne 3 2 3 2 2 6" xfId="1750"/>
    <cellStyle name="normálne 3 2 3 2 3" xfId="1090"/>
    <cellStyle name="normálne 3 2 3 2 4" xfId="1228"/>
    <cellStyle name="normálne 3 2 3 2 5" xfId="1369"/>
    <cellStyle name="normálne 3 2 3 2 6" xfId="1534"/>
    <cellStyle name="normálne 3 2 3 2 7" xfId="1716"/>
    <cellStyle name="normálne 3 2 3 3" xfId="949"/>
    <cellStyle name="normálne 3 2 3 3 2" xfId="1128"/>
    <cellStyle name="normálne 3 2 3 3 3" xfId="1265"/>
    <cellStyle name="normálne 3 2 3 3 4" xfId="1405"/>
    <cellStyle name="normálne 3 2 3 3 5" xfId="1571"/>
    <cellStyle name="normálne 3 2 3 3 6" xfId="1699"/>
    <cellStyle name="normálne 3 2 3 4" xfId="1053"/>
    <cellStyle name="normálne 3 2 3 5" xfId="1192"/>
    <cellStyle name="normálne 3 2 3 6" xfId="1334"/>
    <cellStyle name="normálne 3 2 3 7" xfId="1498"/>
    <cellStyle name="normálne 3 2 3 8" xfId="1636"/>
    <cellStyle name="normálne 3 2 4" xfId="888"/>
    <cellStyle name="normálne 3 2 4 2" xfId="962"/>
    <cellStyle name="normálne 3 2 4 2 2" xfId="1141"/>
    <cellStyle name="normálne 3 2 4 2 3" xfId="1278"/>
    <cellStyle name="normálne 3 2 4 2 4" xfId="1418"/>
    <cellStyle name="normálne 3 2 4 2 5" xfId="1584"/>
    <cellStyle name="normálne 3 2 4 2 6" xfId="1649"/>
    <cellStyle name="normálne 3 2 4 3" xfId="1068"/>
    <cellStyle name="normálne 3 2 4 4" xfId="1206"/>
    <cellStyle name="normálne 3 2 4 5" xfId="1347"/>
    <cellStyle name="normálne 3 2 4 6" xfId="1512"/>
    <cellStyle name="normálne 3 2 4 7" xfId="1745"/>
    <cellStyle name="normálne 3 2 5" xfId="927"/>
    <cellStyle name="normálne 3 2 5 2" xfId="1106"/>
    <cellStyle name="normálne 3 2 5 3" xfId="1243"/>
    <cellStyle name="normálne 3 2 5 4" xfId="1383"/>
    <cellStyle name="normálne 3 2 5 5" xfId="1549"/>
    <cellStyle name="normálne 3 2 5 6" xfId="1773"/>
    <cellStyle name="normálne 3 2 6" xfId="1019"/>
    <cellStyle name="normálne 3 2 7" xfId="1097"/>
    <cellStyle name="normálne 3 2 8" xfId="1312"/>
    <cellStyle name="normálne 3 2 9" xfId="1466"/>
    <cellStyle name="normálne 3 20" xfId="1680"/>
    <cellStyle name="normálne 3 20 2" xfId="2322"/>
    <cellStyle name="normálne 3 21" xfId="1888"/>
    <cellStyle name="normálne 3 21 2" xfId="2323"/>
    <cellStyle name="normálne 3 22" xfId="1897"/>
    <cellStyle name="normálne 3 22 2" xfId="2324"/>
    <cellStyle name="normálne 3 23" xfId="1904"/>
    <cellStyle name="normálne 3 23 2" xfId="2325"/>
    <cellStyle name="normálne 3 24" xfId="1911"/>
    <cellStyle name="normálne 3 24 2" xfId="2326"/>
    <cellStyle name="normálne 3 25" xfId="1918"/>
    <cellStyle name="normálne 3 25 2" xfId="2327"/>
    <cellStyle name="normálne 3 26" xfId="1925"/>
    <cellStyle name="normálne 3 26 2" xfId="2328"/>
    <cellStyle name="normálne 3 27" xfId="1931"/>
    <cellStyle name="normálne 3 27 2" xfId="2329"/>
    <cellStyle name="normálne 3 28" xfId="1937"/>
    <cellStyle name="normálne 3 28 2" xfId="2330"/>
    <cellStyle name="normálne 3 29" xfId="1943"/>
    <cellStyle name="normálne 3 29 2" xfId="2331"/>
    <cellStyle name="normálne 3 3" xfId="842"/>
    <cellStyle name="normálne 3 3 2" xfId="893"/>
    <cellStyle name="normálne 3 3 2 2" xfId="967"/>
    <cellStyle name="normálne 3 3 2 2 2" xfId="1146"/>
    <cellStyle name="normálne 3 3 2 2 3" xfId="1283"/>
    <cellStyle name="normálne 3 3 2 2 4" xfId="1423"/>
    <cellStyle name="normálne 3 3 2 2 5" xfId="1589"/>
    <cellStyle name="normálne 3 3 2 2 6" xfId="1643"/>
    <cellStyle name="normálne 3 3 2 3" xfId="1073"/>
    <cellStyle name="normálne 3 3 2 4" xfId="1211"/>
    <cellStyle name="normálne 3 3 2 5" xfId="1352"/>
    <cellStyle name="normálne 3 3 2 6" xfId="1517"/>
    <cellStyle name="normálne 3 3 2 7" xfId="1676"/>
    <cellStyle name="normálne 3 3 3" xfId="932"/>
    <cellStyle name="normálne 3 3 3 2" xfId="1111"/>
    <cellStyle name="normálne 3 3 3 3" xfId="1248"/>
    <cellStyle name="normálne 3 3 3 4" xfId="1388"/>
    <cellStyle name="normálne 3 3 3 5" xfId="1554"/>
    <cellStyle name="normálne 3 3 3 6" xfId="1618"/>
    <cellStyle name="normálne 3 3 4" xfId="1026"/>
    <cellStyle name="normálne 3 3 5" xfId="1038"/>
    <cellStyle name="normálne 3 3 6" xfId="1317"/>
    <cellStyle name="normálne 3 3 7" xfId="1479"/>
    <cellStyle name="normálne 3 3 8" xfId="1629"/>
    <cellStyle name="normálne 3 30" xfId="1949"/>
    <cellStyle name="normálne 3 30 2" xfId="2332"/>
    <cellStyle name="normálne 3 31" xfId="821"/>
    <cellStyle name="normálne 3 4" xfId="861"/>
    <cellStyle name="normálne 3 4 2" xfId="904"/>
    <cellStyle name="normálne 3 4 2 2" xfId="978"/>
    <cellStyle name="normálne 3 4 2 2 2" xfId="1157"/>
    <cellStyle name="normálne 3 4 2 2 3" xfId="1294"/>
    <cellStyle name="normálne 3 4 2 2 4" xfId="1434"/>
    <cellStyle name="normálne 3 4 2 2 5" xfId="1600"/>
    <cellStyle name="normálne 3 4 2 2 6" xfId="1737"/>
    <cellStyle name="normálne 3 4 2 3" xfId="1084"/>
    <cellStyle name="normálne 3 4 2 4" xfId="1222"/>
    <cellStyle name="normálne 3 4 2 5" xfId="1363"/>
    <cellStyle name="normálne 3 4 2 6" xfId="1528"/>
    <cellStyle name="normálne 3 4 2 7" xfId="1721"/>
    <cellStyle name="normálne 3 4 3" xfId="943"/>
    <cellStyle name="normálne 3 4 3 2" xfId="1122"/>
    <cellStyle name="normálne 3 4 3 3" xfId="1259"/>
    <cellStyle name="normálne 3 4 3 4" xfId="1399"/>
    <cellStyle name="normálne 3 4 3 5" xfId="1565"/>
    <cellStyle name="normálne 3 4 3 6" xfId="1688"/>
    <cellStyle name="normálne 3 4 4" xfId="1043"/>
    <cellStyle name="normálne 3 4 5" xfId="1186"/>
    <cellStyle name="normálne 3 4 6" xfId="1328"/>
    <cellStyle name="normálne 3 4 7" xfId="1491"/>
    <cellStyle name="normálne 3 4 8" xfId="1705"/>
    <cellStyle name="normálne 3 5" xfId="882"/>
    <cellStyle name="normálne 3 5 2" xfId="956"/>
    <cellStyle name="normálne 3 5 2 2" xfId="1135"/>
    <cellStyle name="normálne 3 5 2 3" xfId="1272"/>
    <cellStyle name="normálne 3 5 2 4" xfId="1412"/>
    <cellStyle name="normálne 3 5 2 5" xfId="1578"/>
    <cellStyle name="normálne 3 5 2 6" xfId="1627"/>
    <cellStyle name="normálne 3 5 3" xfId="1062"/>
    <cellStyle name="normálne 3 5 4" xfId="1200"/>
    <cellStyle name="normálne 3 5 5" xfId="1341"/>
    <cellStyle name="normálne 3 5 6" xfId="1506"/>
    <cellStyle name="normálne 3 5 7" xfId="1732"/>
    <cellStyle name="normálne 3 6" xfId="921"/>
    <cellStyle name="normálne 3 6 2" xfId="1100"/>
    <cellStyle name="normálne 3 6 3" xfId="1237"/>
    <cellStyle name="normálne 3 6 4" xfId="1377"/>
    <cellStyle name="normálne 3 6 5" xfId="1543"/>
    <cellStyle name="normálne 3 6 6" xfId="1758"/>
    <cellStyle name="normálne 3 7" xfId="991"/>
    <cellStyle name="normálne 3 7 2" xfId="1170"/>
    <cellStyle name="normálne 3 7 3" xfId="1307"/>
    <cellStyle name="normálne 3 7 4" xfId="1446"/>
    <cellStyle name="normálne 3 7 5" xfId="1612"/>
    <cellStyle name="normálne 3 7 6" xfId="1630"/>
    <cellStyle name="normálne 3 8" xfId="1008"/>
    <cellStyle name="normálne 3 9" xfId="1046"/>
    <cellStyle name="normálne 3_Tab subjekty salda" xfId="626"/>
    <cellStyle name="normálne 30" xfId="1876"/>
    <cellStyle name="normálne 31" xfId="1803"/>
    <cellStyle name="normálne 32" xfId="1868"/>
    <cellStyle name="normálne 33" xfId="814"/>
    <cellStyle name="normálne 33 10" xfId="1461"/>
    <cellStyle name="normálne 33 11" xfId="1475"/>
    <cellStyle name="normálne 33 2" xfId="832"/>
    <cellStyle name="normálne 33 2 10" xfId="1700"/>
    <cellStyle name="normálne 33 2 2" xfId="846"/>
    <cellStyle name="normálne 33 2 2 2" xfId="897"/>
    <cellStyle name="normálne 33 2 2 2 2" xfId="971"/>
    <cellStyle name="normálne 33 2 2 2 2 2" xfId="1150"/>
    <cellStyle name="normálne 33 2 2 2 2 3" xfId="1287"/>
    <cellStyle name="normálne 33 2 2 2 2 4" xfId="1427"/>
    <cellStyle name="normálne 33 2 2 2 2 5" xfId="1593"/>
    <cellStyle name="normálne 33 2 2 2 2 6" xfId="1660"/>
    <cellStyle name="normálne 33 2 2 2 3" xfId="1077"/>
    <cellStyle name="normálne 33 2 2 2 4" xfId="1215"/>
    <cellStyle name="normálne 33 2 2 2 5" xfId="1356"/>
    <cellStyle name="normálne 33 2 2 2 6" xfId="1521"/>
    <cellStyle name="normálne 33 2 2 2 7" xfId="1754"/>
    <cellStyle name="normálne 33 2 2 3" xfId="936"/>
    <cellStyle name="normálne 33 2 2 3 2" xfId="1115"/>
    <cellStyle name="normálne 33 2 2 3 3" xfId="1252"/>
    <cellStyle name="normálne 33 2 2 3 4" xfId="1392"/>
    <cellStyle name="normálne 33 2 2 3 5" xfId="1558"/>
    <cellStyle name="normálne 33 2 2 3 6" xfId="1740"/>
    <cellStyle name="normálne 33 2 2 4" xfId="1030"/>
    <cellStyle name="normálne 33 2 2 5" xfId="1175"/>
    <cellStyle name="normálne 33 2 2 6" xfId="1321"/>
    <cellStyle name="normálne 33 2 2 7" xfId="1482"/>
    <cellStyle name="normálne 33 2 2 8" xfId="1664"/>
    <cellStyle name="normálne 33 2 3" xfId="869"/>
    <cellStyle name="normálne 33 2 3 2" xfId="908"/>
    <cellStyle name="normálne 33 2 3 2 2" xfId="982"/>
    <cellStyle name="normálne 33 2 3 2 2 2" xfId="1161"/>
    <cellStyle name="normálne 33 2 3 2 2 3" xfId="1298"/>
    <cellStyle name="normálne 33 2 3 2 2 4" xfId="1438"/>
    <cellStyle name="normálne 33 2 3 2 2 5" xfId="1604"/>
    <cellStyle name="normálne 33 2 3 2 2 6" xfId="1715"/>
    <cellStyle name="normálne 33 2 3 2 3" xfId="1088"/>
    <cellStyle name="normálne 33 2 3 2 4" xfId="1226"/>
    <cellStyle name="normálne 33 2 3 2 5" xfId="1367"/>
    <cellStyle name="normálne 33 2 3 2 6" xfId="1532"/>
    <cellStyle name="normálne 33 2 3 2 7" xfId="1641"/>
    <cellStyle name="normálne 33 2 3 3" xfId="947"/>
    <cellStyle name="normálne 33 2 3 3 2" xfId="1126"/>
    <cellStyle name="normálne 33 2 3 3 3" xfId="1263"/>
    <cellStyle name="normálne 33 2 3 3 4" xfId="1403"/>
    <cellStyle name="normálne 33 2 3 3 5" xfId="1569"/>
    <cellStyle name="normálne 33 2 3 3 6" xfId="1667"/>
    <cellStyle name="normálne 33 2 3 4" xfId="1050"/>
    <cellStyle name="normálne 33 2 3 5" xfId="1190"/>
    <cellStyle name="normálne 33 2 3 6" xfId="1332"/>
    <cellStyle name="normálne 33 2 3 7" xfId="1496"/>
    <cellStyle name="normálne 33 2 3 8" xfId="1672"/>
    <cellStyle name="normálne 33 2 4" xfId="886"/>
    <cellStyle name="normálne 33 2 4 2" xfId="960"/>
    <cellStyle name="normálne 33 2 4 2 2" xfId="1139"/>
    <cellStyle name="normálne 33 2 4 2 3" xfId="1276"/>
    <cellStyle name="normálne 33 2 4 2 4" xfId="1416"/>
    <cellStyle name="normálne 33 2 4 2 5" xfId="1582"/>
    <cellStyle name="normálne 33 2 4 2 6" xfId="1744"/>
    <cellStyle name="normálne 33 2 4 3" xfId="1066"/>
    <cellStyle name="normálne 33 2 4 4" xfId="1204"/>
    <cellStyle name="normálne 33 2 4 5" xfId="1345"/>
    <cellStyle name="normálne 33 2 4 6" xfId="1510"/>
    <cellStyle name="normálne 33 2 4 7" xfId="1709"/>
    <cellStyle name="normálne 33 2 5" xfId="925"/>
    <cellStyle name="normálne 33 2 5 2" xfId="1104"/>
    <cellStyle name="normálne 33 2 5 3" xfId="1241"/>
    <cellStyle name="normálne 33 2 5 4" xfId="1381"/>
    <cellStyle name="normálne 33 2 5 5" xfId="1547"/>
    <cellStyle name="normálne 33 2 5 6" xfId="1698"/>
    <cellStyle name="normálne 33 2 6" xfId="1017"/>
    <cellStyle name="normálne 33 2 7" xfId="1005"/>
    <cellStyle name="normálne 33 2 8" xfId="1310"/>
    <cellStyle name="normálne 33 2 9" xfId="1473"/>
    <cellStyle name="normálne 33 3" xfId="840"/>
    <cellStyle name="normálne 33 3 2" xfId="891"/>
    <cellStyle name="normálne 33 3 2 2" xfId="965"/>
    <cellStyle name="normálne 33 3 2 2 2" xfId="1144"/>
    <cellStyle name="normálne 33 3 2 2 3" xfId="1281"/>
    <cellStyle name="normálne 33 3 2 2 4" xfId="1421"/>
    <cellStyle name="normálne 33 3 2 2 5" xfId="1587"/>
    <cellStyle name="normálne 33 3 2 2 6" xfId="1675"/>
    <cellStyle name="normálne 33 3 2 3" xfId="1071"/>
    <cellStyle name="normálne 33 3 2 4" xfId="1209"/>
    <cellStyle name="normálne 33 3 2 5" xfId="1350"/>
    <cellStyle name="normálne 33 3 2 6" xfId="1515"/>
    <cellStyle name="normálne 33 3 2 7" xfId="1771"/>
    <cellStyle name="normálne 33 3 3" xfId="930"/>
    <cellStyle name="normálne 33 3 3 2" xfId="1109"/>
    <cellStyle name="normálne 33 3 3 3" xfId="1246"/>
    <cellStyle name="normálne 33 3 3 4" xfId="1386"/>
    <cellStyle name="normálne 33 3 3 5" xfId="1552"/>
    <cellStyle name="normálne 33 3 3 6" xfId="1684"/>
    <cellStyle name="normálne 33 3 4" xfId="1024"/>
    <cellStyle name="normálne 33 3 5" xfId="1041"/>
    <cellStyle name="normálne 33 3 6" xfId="1315"/>
    <cellStyle name="normálne 33 3 7" xfId="1477"/>
    <cellStyle name="normálne 33 3 8" xfId="1733"/>
    <cellStyle name="normálne 33 4" xfId="855"/>
    <cellStyle name="normálne 33 4 2" xfId="902"/>
    <cellStyle name="normálne 33 4 2 2" xfId="976"/>
    <cellStyle name="normálne 33 4 2 2 2" xfId="1155"/>
    <cellStyle name="normálne 33 4 2 2 3" xfId="1292"/>
    <cellStyle name="normálne 33 4 2 2 4" xfId="1432"/>
    <cellStyle name="normálne 33 4 2 2 5" xfId="1598"/>
    <cellStyle name="normálne 33 4 2 2 6" xfId="1720"/>
    <cellStyle name="normálne 33 4 2 3" xfId="1082"/>
    <cellStyle name="normálne 33 4 2 4" xfId="1220"/>
    <cellStyle name="normálne 33 4 2 5" xfId="1361"/>
    <cellStyle name="normálne 33 4 2 6" xfId="1526"/>
    <cellStyle name="normálne 33 4 2 7" xfId="1648"/>
    <cellStyle name="normálne 33 4 3" xfId="941"/>
    <cellStyle name="normálne 33 4 3 2" xfId="1120"/>
    <cellStyle name="normálne 33 4 3 3" xfId="1257"/>
    <cellStyle name="normálne 33 4 3 4" xfId="1397"/>
    <cellStyle name="normálne 33 4 3 5" xfId="1563"/>
    <cellStyle name="normálne 33 4 3 6" xfId="1671"/>
    <cellStyle name="normálne 33 4 4" xfId="1039"/>
    <cellStyle name="normálne 33 4 5" xfId="1183"/>
    <cellStyle name="normálne 33 4 6" xfId="1326"/>
    <cellStyle name="normálne 33 4 7" xfId="1489"/>
    <cellStyle name="normálne 33 4 8" xfId="1469"/>
    <cellStyle name="normálne 33 5" xfId="880"/>
    <cellStyle name="normálne 33 5 2" xfId="954"/>
    <cellStyle name="normálne 33 5 2 2" xfId="1133"/>
    <cellStyle name="normálne 33 5 2 3" xfId="1270"/>
    <cellStyle name="normálne 33 5 2 4" xfId="1410"/>
    <cellStyle name="normálne 33 5 2 5" xfId="1576"/>
    <cellStyle name="normálne 33 5 2 6" xfId="1731"/>
    <cellStyle name="normálne 33 5 3" xfId="1060"/>
    <cellStyle name="normálne 33 5 4" xfId="1198"/>
    <cellStyle name="normálne 33 5 5" xfId="1339"/>
    <cellStyle name="normálne 33 5 6" xfId="1504"/>
    <cellStyle name="normálne 33 5 7" xfId="1727"/>
    <cellStyle name="normálne 33 6" xfId="919"/>
    <cellStyle name="normálne 33 6 2" xfId="1098"/>
    <cellStyle name="normálne 33 6 3" xfId="1235"/>
    <cellStyle name="normálne 33 6 4" xfId="1375"/>
    <cellStyle name="normálne 33 6 5" xfId="1541"/>
    <cellStyle name="normálne 33 6 6" xfId="1682"/>
    <cellStyle name="normálne 33 7" xfId="1001"/>
    <cellStyle name="normálne 33 8" xfId="1049"/>
    <cellStyle name="normálne 33 9" xfId="1306"/>
    <cellStyle name="normálne 34" xfId="1463"/>
    <cellStyle name="normálne 35" xfId="2011"/>
    <cellStyle name="normálne 35 2" xfId="2139"/>
    <cellStyle name="normálne 35 2 2" xfId="2494"/>
    <cellStyle name="normálne 35 3" xfId="2495"/>
    <cellStyle name="normálne 36" xfId="2009"/>
    <cellStyle name="normálne 37" xfId="1896"/>
    <cellStyle name="normálne 38" xfId="1895"/>
    <cellStyle name="normálne 39" xfId="1903"/>
    <cellStyle name="normálne 4" xfId="627"/>
    <cellStyle name="normálne 4 10" xfId="1453"/>
    <cellStyle name="normálne 4 10 2" xfId="1787"/>
    <cellStyle name="normálne 4 10 3" xfId="1880"/>
    <cellStyle name="normálne 4 10 4" xfId="2333"/>
    <cellStyle name="normálne 4 10_OG2013" xfId="2496"/>
    <cellStyle name="normálne 4 11" xfId="1795"/>
    <cellStyle name="normálne 4 12" xfId="1857"/>
    <cellStyle name="normálne 4 13" xfId="1846"/>
    <cellStyle name="normálne 4 14" xfId="1836"/>
    <cellStyle name="normálne 4 15" xfId="1802"/>
    <cellStyle name="normálne 4 16" xfId="1825"/>
    <cellStyle name="normálne 4 17" xfId="1830"/>
    <cellStyle name="normálne 4 18" xfId="1847"/>
    <cellStyle name="normálne 4 19" xfId="1613"/>
    <cellStyle name="normálne 4 19 2" xfId="2334"/>
    <cellStyle name="normálne 4 2" xfId="628"/>
    <cellStyle name="normálne 4 2 10" xfId="1766"/>
    <cellStyle name="normálne 4 2 11" xfId="836"/>
    <cellStyle name="normálne 4 2 2" xfId="849"/>
    <cellStyle name="normálne 4 2 2 2" xfId="900"/>
    <cellStyle name="normálne 4 2 2 2 2" xfId="974"/>
    <cellStyle name="normálne 4 2 2 2 2 2" xfId="1153"/>
    <cellStyle name="normálne 4 2 2 2 2 3" xfId="1290"/>
    <cellStyle name="normálne 4 2 2 2 2 4" xfId="1430"/>
    <cellStyle name="normálne 4 2 2 2 2 5" xfId="1596"/>
    <cellStyle name="normálne 4 2 2 2 2 6" xfId="1647"/>
    <cellStyle name="normálne 4 2 2 2 3" xfId="1080"/>
    <cellStyle name="normálne 4 2 2 2 4" xfId="1218"/>
    <cellStyle name="normálne 4 2 2 2 5" xfId="1359"/>
    <cellStyle name="normálne 4 2 2 2 6" xfId="1524"/>
    <cellStyle name="normálne 4 2 2 2 7" xfId="1743"/>
    <cellStyle name="normálne 4 2 2 3" xfId="939"/>
    <cellStyle name="normálne 4 2 2 3 2" xfId="1118"/>
    <cellStyle name="normálne 4 2 2 3 3" xfId="1255"/>
    <cellStyle name="normálne 4 2 2 3 4" xfId="1395"/>
    <cellStyle name="normálne 4 2 2 3 5" xfId="1561"/>
    <cellStyle name="normálne 4 2 2 3 6" xfId="1765"/>
    <cellStyle name="normálne 4 2 2 4" xfId="1033"/>
    <cellStyle name="normálne 4 2 2 5" xfId="1178"/>
    <cellStyle name="normálne 4 2 2 6" xfId="1324"/>
    <cellStyle name="normálne 4 2 2 7" xfId="1485"/>
    <cellStyle name="normálne 4 2 2 8" xfId="1651"/>
    <cellStyle name="normálne 4 2 3" xfId="873"/>
    <cellStyle name="normálne 4 2 3 2" xfId="911"/>
    <cellStyle name="normálne 4 2 3 2 2" xfId="985"/>
    <cellStyle name="normálne 4 2 3 2 2 2" xfId="1164"/>
    <cellStyle name="normálne 4 2 3 2 2 3" xfId="1301"/>
    <cellStyle name="normálne 4 2 3 2 2 4" xfId="1441"/>
    <cellStyle name="normálne 4 2 3 2 2 5" xfId="1607"/>
    <cellStyle name="normálne 4 2 3 2 2 6" xfId="1701"/>
    <cellStyle name="normálne 4 2 3 2 3" xfId="1091"/>
    <cellStyle name="normálne 4 2 3 2 4" xfId="1229"/>
    <cellStyle name="normálne 4 2 3 2 5" xfId="1370"/>
    <cellStyle name="normálne 4 2 3 2 6" xfId="1535"/>
    <cellStyle name="normálne 4 2 3 2 7" xfId="1670"/>
    <cellStyle name="normálne 4 2 3 3" xfId="950"/>
    <cellStyle name="normálne 4 2 3 3 2" xfId="1129"/>
    <cellStyle name="normálne 4 2 3 3 3" xfId="1266"/>
    <cellStyle name="normálne 4 2 3 3 4" xfId="1406"/>
    <cellStyle name="normálne 4 2 3 3 5" xfId="1572"/>
    <cellStyle name="normálne 4 2 3 3 6" xfId="1653"/>
    <cellStyle name="normálne 4 2 3 4" xfId="1054"/>
    <cellStyle name="normálne 4 2 3 5" xfId="1193"/>
    <cellStyle name="normálne 4 2 3 6" xfId="1335"/>
    <cellStyle name="normálne 4 2 3 7" xfId="1499"/>
    <cellStyle name="normálne 4 2 3 8" xfId="1761"/>
    <cellStyle name="normálne 4 2 4" xfId="889"/>
    <cellStyle name="normálne 4 2 4 2" xfId="963"/>
    <cellStyle name="normálne 4 2 4 2 2" xfId="1142"/>
    <cellStyle name="normálne 4 2 4 2 3" xfId="1279"/>
    <cellStyle name="normálne 4 2 4 2 4" xfId="1419"/>
    <cellStyle name="normálne 4 2 4 2 5" xfId="1585"/>
    <cellStyle name="normálne 4 2 4 2 6" xfId="1770"/>
    <cellStyle name="normálne 4 2 4 3" xfId="1069"/>
    <cellStyle name="normálne 4 2 4 4" xfId="1207"/>
    <cellStyle name="normálne 4 2 4 5" xfId="1348"/>
    <cellStyle name="normálne 4 2 4 6" xfId="1513"/>
    <cellStyle name="normálne 4 2 4 7" xfId="1696"/>
    <cellStyle name="normálne 4 2 5" xfId="928"/>
    <cellStyle name="normálne 4 2 5 2" xfId="1107"/>
    <cellStyle name="normálne 4 2 5 3" xfId="1244"/>
    <cellStyle name="normálne 4 2 5 4" xfId="1384"/>
    <cellStyle name="normálne 4 2 5 5" xfId="1550"/>
    <cellStyle name="normálne 4 2 5 6" xfId="1725"/>
    <cellStyle name="normálne 4 2 6" xfId="1020"/>
    <cellStyle name="normálne 4 2 7" xfId="1059"/>
    <cellStyle name="normálne 4 2 8" xfId="1313"/>
    <cellStyle name="normálne 4 2 9" xfId="1467"/>
    <cellStyle name="normálne 4 20" xfId="1892"/>
    <cellStyle name="normálne 4 20 2" xfId="2335"/>
    <cellStyle name="normálne 4 21" xfId="1898"/>
    <cellStyle name="normálne 4 21 2" xfId="2336"/>
    <cellStyle name="normálne 4 22" xfId="1905"/>
    <cellStyle name="normálne 4 22 2" xfId="2337"/>
    <cellStyle name="normálne 4 23" xfId="1912"/>
    <cellStyle name="normálne 4 23 2" xfId="2338"/>
    <cellStyle name="normálne 4 24" xfId="1919"/>
    <cellStyle name="normálne 4 24 2" xfId="2339"/>
    <cellStyle name="normálne 4 25" xfId="1926"/>
    <cellStyle name="normálne 4 25 2" xfId="2340"/>
    <cellStyle name="normálne 4 26" xfId="1932"/>
    <cellStyle name="normálne 4 26 2" xfId="2341"/>
    <cellStyle name="normálne 4 27" xfId="1938"/>
    <cellStyle name="normálne 4 27 2" xfId="2342"/>
    <cellStyle name="normálne 4 28" xfId="1944"/>
    <cellStyle name="normálne 4 28 2" xfId="2343"/>
    <cellStyle name="normálne 4 29" xfId="1950"/>
    <cellStyle name="normálne 4 29 2" xfId="2344"/>
    <cellStyle name="normálne 4 3" xfId="843"/>
    <cellStyle name="normálne 4 3 2" xfId="894"/>
    <cellStyle name="normálne 4 3 2 2" xfId="968"/>
    <cellStyle name="normálne 4 3 2 2 2" xfId="1147"/>
    <cellStyle name="normálne 4 3 2 2 3" xfId="1284"/>
    <cellStyle name="normálne 4 3 2 2 4" xfId="1424"/>
    <cellStyle name="normálne 4 3 2 2 5" xfId="1590"/>
    <cellStyle name="normálne 4 3 2 2 6" xfId="1624"/>
    <cellStyle name="normálne 4 3 2 3" xfId="1074"/>
    <cellStyle name="normálne 4 3 2 4" xfId="1212"/>
    <cellStyle name="normálne 4 3 2 5" xfId="1353"/>
    <cellStyle name="normálne 4 3 2 6" xfId="1518"/>
    <cellStyle name="normálne 4 3 2 7" xfId="1730"/>
    <cellStyle name="normálne 4 3 3" xfId="933"/>
    <cellStyle name="normálne 4 3 3 2" xfId="1112"/>
    <cellStyle name="normálne 4 3 3 3" xfId="1249"/>
    <cellStyle name="normálne 4 3 3 4" xfId="1389"/>
    <cellStyle name="normálne 4 3 3 5" xfId="1555"/>
    <cellStyle name="normálne 4 3 3 6" xfId="1752"/>
    <cellStyle name="normálne 4 3 4" xfId="1027"/>
    <cellStyle name="normálne 4 3 5" xfId="1042"/>
    <cellStyle name="normálne 4 3 6" xfId="1318"/>
    <cellStyle name="normálne 4 3 7" xfId="1480"/>
    <cellStyle name="normálne 4 3 8" xfId="1757"/>
    <cellStyle name="normálne 4 30" xfId="2055"/>
    <cellStyle name="normálne 4 31" xfId="822"/>
    <cellStyle name="normálne 4 32" xfId="2284"/>
    <cellStyle name="normálne 4 4" xfId="862"/>
    <cellStyle name="normálne 4 4 2" xfId="905"/>
    <cellStyle name="normálne 4 4 2 2" xfId="979"/>
    <cellStyle name="normálne 4 4 2 2 2" xfId="1158"/>
    <cellStyle name="normálne 4 4 2 2 3" xfId="1295"/>
    <cellStyle name="normálne 4 4 2 2 4" xfId="1435"/>
    <cellStyle name="normálne 4 4 2 2 5" xfId="1601"/>
    <cellStyle name="normálne 4 4 2 2 6" xfId="1690"/>
    <cellStyle name="normálne 4 4 2 3" xfId="1085"/>
    <cellStyle name="normálne 4 4 2 4" xfId="1223"/>
    <cellStyle name="normálne 4 4 2 5" xfId="1364"/>
    <cellStyle name="normálne 4 4 2 6" xfId="1529"/>
    <cellStyle name="normálne 4 4 2 7" xfId="1674"/>
    <cellStyle name="normálne 4 4 3" xfId="944"/>
    <cellStyle name="normálne 4 4 3 2" xfId="1123"/>
    <cellStyle name="normálne 4 4 3 3" xfId="1260"/>
    <cellStyle name="normálne 4 4 3 4" xfId="1400"/>
    <cellStyle name="normálne 4 4 3 5" xfId="1566"/>
    <cellStyle name="normálne 4 4 3 6" xfId="1635"/>
    <cellStyle name="normálne 4 4 4" xfId="1044"/>
    <cellStyle name="normálne 4 4 5" xfId="1187"/>
    <cellStyle name="normálne 4 4 6" xfId="1329"/>
    <cellStyle name="normálne 4 4 7" xfId="1492"/>
    <cellStyle name="normálne 4 4 8" xfId="1659"/>
    <cellStyle name="normálne 4 5" xfId="883"/>
    <cellStyle name="normálne 4 5 2" xfId="957"/>
    <cellStyle name="normálne 4 5 2 2" xfId="1136"/>
    <cellStyle name="normálne 4 5 2 3" xfId="1273"/>
    <cellStyle name="normálne 4 5 2 4" xfId="1413"/>
    <cellStyle name="normálne 4 5 2 5" xfId="1579"/>
    <cellStyle name="normálne 4 5 2 6" xfId="1755"/>
    <cellStyle name="normálne 4 5 3" xfId="1063"/>
    <cellStyle name="normálne 4 5 4" xfId="1201"/>
    <cellStyle name="normálne 4 5 5" xfId="1342"/>
    <cellStyle name="normálne 4 5 6" xfId="1507"/>
    <cellStyle name="normálne 4 5 7" xfId="1617"/>
    <cellStyle name="normálne 4 6" xfId="922"/>
    <cellStyle name="normálne 4 6 2" xfId="1101"/>
    <cellStyle name="normálne 4 6 3" xfId="1238"/>
    <cellStyle name="normálne 4 6 4" xfId="1378"/>
    <cellStyle name="normálne 4 6 5" xfId="1544"/>
    <cellStyle name="normálne 4 6 6" xfId="1712"/>
    <cellStyle name="normálne 4 7" xfId="1009"/>
    <cellStyle name="normálne 4 8" xfId="1012"/>
    <cellStyle name="normálne 4 9" xfId="1181"/>
    <cellStyle name="normálne 4_Tab subjekty salda" xfId="629"/>
    <cellStyle name="normálne 40" xfId="1910"/>
    <cellStyle name="normálne 41" xfId="1917"/>
    <cellStyle name="normálne 42" xfId="1924"/>
    <cellStyle name="normálne 43" xfId="2010"/>
    <cellStyle name="normálne 44" xfId="2072"/>
    <cellStyle name="normálne 44 2" xfId="2497"/>
    <cellStyle name="normálne 45" xfId="2002"/>
    <cellStyle name="normálne 46" xfId="2001"/>
    <cellStyle name="normálne 47" xfId="2075"/>
    <cellStyle name="normálne 48" xfId="2074"/>
    <cellStyle name="normálne 48 2" xfId="2498"/>
    <cellStyle name="normálne 49" xfId="2149"/>
    <cellStyle name="normálne 49 2" xfId="2499"/>
    <cellStyle name="normálne 5" xfId="630"/>
    <cellStyle name="Normálne 5 10" xfId="2665"/>
    <cellStyle name="Normálne 5 11" xfId="2672"/>
    <cellStyle name="normálne 5 2" xfId="631"/>
    <cellStyle name="normálne 5 2 2" xfId="1616"/>
    <cellStyle name="normálne 5 2 2 2" xfId="2105"/>
    <cellStyle name="normálne 5 2 3" xfId="1639"/>
    <cellStyle name="normálne 5 2 3 2" xfId="2112"/>
    <cellStyle name="normálne 5 2 4" xfId="2083"/>
    <cellStyle name="normálne 5 2 5" xfId="1002"/>
    <cellStyle name="normálne 5 3" xfId="632"/>
    <cellStyle name="normálne 5 3 2" xfId="1623"/>
    <cellStyle name="normálne 5 3 2 2" xfId="2108"/>
    <cellStyle name="normálne 5 3 3" xfId="1759"/>
    <cellStyle name="normálne 5 3 3 2" xfId="2123"/>
    <cellStyle name="normálne 5 3 4" xfId="2086"/>
    <cellStyle name="normálne 5 3 5" xfId="1016"/>
    <cellStyle name="normálne 5 4" xfId="1234"/>
    <cellStyle name="normálne 5 4 2" xfId="1703"/>
    <cellStyle name="normálne 5 4 2 2" xfId="2120"/>
    <cellStyle name="normálne 5 4 3" xfId="1683"/>
    <cellStyle name="normálne 5 4 3 2" xfId="2116"/>
    <cellStyle name="normálne 5 4 4" xfId="2093"/>
    <cellStyle name="normálne 5 5" xfId="1462"/>
    <cellStyle name="normálne 5 5 2" xfId="2099"/>
    <cellStyle name="normálne 5 6" xfId="1638"/>
    <cellStyle name="normálne 5 6 2" xfId="2111"/>
    <cellStyle name="normálne 5 7" xfId="2077"/>
    <cellStyle name="normálne 5 8" xfId="2054"/>
    <cellStyle name="normálne 5 9" xfId="815"/>
    <cellStyle name="normálne 5_19_NPC_2012_2014_eu_cof" xfId="633"/>
    <cellStyle name="Normálne 50" xfId="2182"/>
    <cellStyle name="Normálne 50 2" xfId="2402"/>
    <cellStyle name="Normálne 51" xfId="2196"/>
    <cellStyle name="Normálne 52" xfId="2216"/>
    <cellStyle name="normálne 52 2" xfId="2500"/>
    <cellStyle name="Normálne 53" xfId="2254"/>
    <cellStyle name="normálne 53 2" xfId="2501"/>
    <cellStyle name="Normálne 54" xfId="2270"/>
    <cellStyle name="normálne 54 2" xfId="2503"/>
    <cellStyle name="normálne 54 3" xfId="2502"/>
    <cellStyle name="Normálne 55" xfId="2269"/>
    <cellStyle name="normálne 55 2" xfId="2504"/>
    <cellStyle name="Normálne 56" xfId="2276"/>
    <cellStyle name="Normálne 56 2" xfId="2562"/>
    <cellStyle name="Normálne 57" xfId="2280"/>
    <cellStyle name="Normálne 57 2" xfId="2627"/>
    <cellStyle name="Normálne 58" xfId="2282"/>
    <cellStyle name="Normálne 58 2" xfId="2658"/>
    <cellStyle name="Normálne 59" xfId="2281"/>
    <cellStyle name="normálne 6" xfId="634"/>
    <cellStyle name="normálne 6 10" xfId="1454"/>
    <cellStyle name="normálne 6 10 2" xfId="1788"/>
    <cellStyle name="normálne 6 10 3" xfId="1881"/>
    <cellStyle name="normálne 6 11" xfId="1821"/>
    <cellStyle name="normálne 6 12" xfId="1837"/>
    <cellStyle name="normálne 6 13" xfId="1856"/>
    <cellStyle name="normálne 6 14" xfId="1816"/>
    <cellStyle name="normálne 6 15" xfId="1813"/>
    <cellStyle name="normálne 6 16" xfId="1872"/>
    <cellStyle name="normálne 6 17" xfId="1861"/>
    <cellStyle name="normálne 6 18" xfId="1866"/>
    <cellStyle name="normálne 6 19" xfId="1540"/>
    <cellStyle name="normálne 6 2" xfId="837"/>
    <cellStyle name="normálne 6 2 10" xfId="1719"/>
    <cellStyle name="normálne 6 2 2" xfId="850"/>
    <cellStyle name="normálne 6 2 2 2" xfId="901"/>
    <cellStyle name="normálne 6 2 2 2 2" xfId="975"/>
    <cellStyle name="normálne 6 2 2 2 2 2" xfId="1154"/>
    <cellStyle name="normálne 6 2 2 2 2 3" xfId="1291"/>
    <cellStyle name="normálne 6 2 2 2 2 4" xfId="1431"/>
    <cellStyle name="normálne 6 2 2 2 2 5" xfId="1597"/>
    <cellStyle name="normálne 6 2 2 2 2 6" xfId="1767"/>
    <cellStyle name="normálne 6 2 2 2 3" xfId="1081"/>
    <cellStyle name="normálne 6 2 2 2 4" xfId="1219"/>
    <cellStyle name="normálne 6 2 2 2 5" xfId="1360"/>
    <cellStyle name="normálne 6 2 2 2 6" xfId="1525"/>
    <cellStyle name="normálne 6 2 2 2 7" xfId="1694"/>
    <cellStyle name="normálne 6 2 2 3" xfId="940"/>
    <cellStyle name="normálne 6 2 2 3 2" xfId="1119"/>
    <cellStyle name="normálne 6 2 2 3 3" xfId="1256"/>
    <cellStyle name="normálne 6 2 2 3 4" xfId="1396"/>
    <cellStyle name="normálne 6 2 2 3 5" xfId="1562"/>
    <cellStyle name="normálne 6 2 2 3 6" xfId="1717"/>
    <cellStyle name="normálne 6 2 2 4" xfId="1034"/>
    <cellStyle name="normálne 6 2 2 5" xfId="1179"/>
    <cellStyle name="normálne 6 2 2 6" xfId="1325"/>
    <cellStyle name="normálne 6 2 2 7" xfId="1486"/>
    <cellStyle name="normálne 6 2 2 8" xfId="1772"/>
    <cellStyle name="normálne 6 2 3" xfId="874"/>
    <cellStyle name="normálne 6 2 3 2" xfId="912"/>
    <cellStyle name="normálne 6 2 3 2 2" xfId="986"/>
    <cellStyle name="normálne 6 2 3 2 2 2" xfId="1165"/>
    <cellStyle name="normálne 6 2 3 2 2 3" xfId="1302"/>
    <cellStyle name="normálne 6 2 3 2 2 4" xfId="1442"/>
    <cellStyle name="normálne 6 2 3 2 2 5" xfId="1608"/>
    <cellStyle name="normálne 6 2 3 2 2 6" xfId="1655"/>
    <cellStyle name="normálne 6 2 3 2 3" xfId="1092"/>
    <cellStyle name="normálne 6 2 3 2 4" xfId="1230"/>
    <cellStyle name="normálne 6 2 3 2 5" xfId="1371"/>
    <cellStyle name="normálne 6 2 3 2 6" xfId="1536"/>
    <cellStyle name="normálne 6 2 3 2 7" xfId="1751"/>
    <cellStyle name="normálne 6 2 3 3" xfId="951"/>
    <cellStyle name="normálne 6 2 3 3 2" xfId="1130"/>
    <cellStyle name="normálne 6 2 3 3 3" xfId="1267"/>
    <cellStyle name="normálne 6 2 3 3 4" xfId="1407"/>
    <cellStyle name="normálne 6 2 3 3 5" xfId="1573"/>
    <cellStyle name="normálne 6 2 3 3 6" xfId="1775"/>
    <cellStyle name="normálne 6 2 3 4" xfId="1055"/>
    <cellStyle name="normálne 6 2 3 5" xfId="1194"/>
    <cellStyle name="normálne 6 2 3 6" xfId="1336"/>
    <cellStyle name="normálne 6 2 3 7" xfId="1500"/>
    <cellStyle name="normálne 6 2 3 8" xfId="1714"/>
    <cellStyle name="normálne 6 2 4" xfId="890"/>
    <cellStyle name="normálne 6 2 4 2" xfId="964"/>
    <cellStyle name="normálne 6 2 4 2 2" xfId="1143"/>
    <cellStyle name="normálne 6 2 4 2 3" xfId="1280"/>
    <cellStyle name="normálne 6 2 4 2 4" xfId="1420"/>
    <cellStyle name="normálne 6 2 4 2 5" xfId="1586"/>
    <cellStyle name="normálne 6 2 4 2 6" xfId="1722"/>
    <cellStyle name="normálne 6 2 4 3" xfId="1070"/>
    <cellStyle name="normálne 6 2 4 4" xfId="1208"/>
    <cellStyle name="normálne 6 2 4 5" xfId="1349"/>
    <cellStyle name="normálne 6 2 4 6" xfId="1514"/>
    <cellStyle name="normálne 6 2 4 7" xfId="1650"/>
    <cellStyle name="normálne 6 2 5" xfId="929"/>
    <cellStyle name="normálne 6 2 5 2" xfId="1108"/>
    <cellStyle name="normálne 6 2 5 3" xfId="1245"/>
    <cellStyle name="normálne 6 2 5 4" xfId="1385"/>
    <cellStyle name="normálne 6 2 5 5" xfId="1551"/>
    <cellStyle name="normálne 6 2 5 6" xfId="1677"/>
    <cellStyle name="normálne 6 2 6" xfId="1021"/>
    <cellStyle name="normálne 6 2 7" xfId="1036"/>
    <cellStyle name="normálne 6 2 8" xfId="1314"/>
    <cellStyle name="normálne 6 2 9" xfId="1468"/>
    <cellStyle name="normálne 6 20" xfId="1891"/>
    <cellStyle name="normálne 6 21" xfId="1899"/>
    <cellStyle name="normálne 6 22" xfId="1906"/>
    <cellStyle name="normálne 6 23" xfId="1913"/>
    <cellStyle name="normálne 6 24" xfId="1920"/>
    <cellStyle name="normálne 6 25" xfId="1927"/>
    <cellStyle name="normálne 6 26" xfId="1933"/>
    <cellStyle name="normálne 6 27" xfId="1939"/>
    <cellStyle name="normálne 6 28" xfId="1945"/>
    <cellStyle name="normálne 6 29" xfId="1951"/>
    <cellStyle name="normálne 6 3" xfId="844"/>
    <cellStyle name="normálne 6 3 2" xfId="895"/>
    <cellStyle name="normálne 6 3 2 2" xfId="969"/>
    <cellStyle name="normálne 6 3 2 2 2" xfId="1148"/>
    <cellStyle name="normálne 6 3 2 2 3" xfId="1285"/>
    <cellStyle name="normálne 6 3 2 2 4" xfId="1425"/>
    <cellStyle name="normálne 6 3 2 2 5" xfId="1591"/>
    <cellStyle name="normálne 6 3 2 2 6" xfId="1753"/>
    <cellStyle name="normálne 6 3 2 3" xfId="1075"/>
    <cellStyle name="normálne 6 3 2 4" xfId="1213"/>
    <cellStyle name="normálne 6 3 2 5" xfId="1354"/>
    <cellStyle name="normálne 6 3 2 6" xfId="1519"/>
    <cellStyle name="normálne 6 3 2 7" xfId="1632"/>
    <cellStyle name="normálne 6 3 3" xfId="934"/>
    <cellStyle name="normálne 6 3 3 2" xfId="1113"/>
    <cellStyle name="normálne 6 3 3 3" xfId="1250"/>
    <cellStyle name="normálne 6 3 3 4" xfId="1390"/>
    <cellStyle name="normálne 6 3 3 5" xfId="1556"/>
    <cellStyle name="normálne 6 3 3 6" xfId="1704"/>
    <cellStyle name="normálne 6 3 4" xfId="1028"/>
    <cellStyle name="normálne 6 3 5" xfId="1007"/>
    <cellStyle name="normálne 6 3 6" xfId="1319"/>
    <cellStyle name="normálne 6 3 7" xfId="1481"/>
    <cellStyle name="normálne 6 3 8" xfId="1710"/>
    <cellStyle name="normálne 6 30" xfId="2041"/>
    <cellStyle name="normálne 6 31" xfId="823"/>
    <cellStyle name="normálne 6 4" xfId="863"/>
    <cellStyle name="normálne 6 4 2" xfId="906"/>
    <cellStyle name="normálne 6 4 2 2" xfId="980"/>
    <cellStyle name="normálne 6 4 2 2 2" xfId="1159"/>
    <cellStyle name="normálne 6 4 2 2 3" xfId="1296"/>
    <cellStyle name="normálne 6 4 2 2 4" xfId="1436"/>
    <cellStyle name="normálne 6 4 2 2 5" xfId="1602"/>
    <cellStyle name="normálne 6 4 2 2 6" xfId="1640"/>
    <cellStyle name="normálne 6 4 2 3" xfId="1086"/>
    <cellStyle name="normálne 6 4 2 4" xfId="1224"/>
    <cellStyle name="normálne 6 4 2 5" xfId="1365"/>
    <cellStyle name="normálne 6 4 2 6" xfId="1530"/>
    <cellStyle name="normálne 6 4 2 7" xfId="1738"/>
    <cellStyle name="normálne 6 4 3" xfId="945"/>
    <cellStyle name="normálne 6 4 3 2" xfId="1124"/>
    <cellStyle name="normálne 6 4 3 3" xfId="1261"/>
    <cellStyle name="normálne 6 4 3 4" xfId="1401"/>
    <cellStyle name="normálne 6 4 3 5" xfId="1567"/>
    <cellStyle name="normálne 6 4 3 6" xfId="1760"/>
    <cellStyle name="normálne 6 4 4" xfId="1045"/>
    <cellStyle name="normálne 6 4 5" xfId="1188"/>
    <cellStyle name="normálne 6 4 6" xfId="1330"/>
    <cellStyle name="normálne 6 4 7" xfId="1493"/>
    <cellStyle name="normálne 6 4 8" xfId="1741"/>
    <cellStyle name="normálne 6 5" xfId="884"/>
    <cellStyle name="normálne 6 5 2" xfId="958"/>
    <cellStyle name="normálne 6 5 2 2" xfId="1137"/>
    <cellStyle name="normálne 6 5 2 3" xfId="1274"/>
    <cellStyle name="normálne 6 5 2 4" xfId="1414"/>
    <cellStyle name="normálne 6 5 2 5" xfId="1580"/>
    <cellStyle name="normálne 6 5 2 6" xfId="1708"/>
    <cellStyle name="normálne 6 5 3" xfId="1064"/>
    <cellStyle name="normálne 6 5 4" xfId="1202"/>
    <cellStyle name="normálne 6 5 5" xfId="1343"/>
    <cellStyle name="normálne 6 5 6" xfId="1508"/>
    <cellStyle name="normálne 6 5 7" xfId="1628"/>
    <cellStyle name="normálne 6 6" xfId="923"/>
    <cellStyle name="normálne 6 6 2" xfId="1102"/>
    <cellStyle name="normálne 6 6 3" xfId="1239"/>
    <cellStyle name="normálne 6 6 4" xfId="1379"/>
    <cellStyle name="normálne 6 6 5" xfId="1545"/>
    <cellStyle name="normálne 6 6 6" xfId="1666"/>
    <cellStyle name="normálne 6 7" xfId="1010"/>
    <cellStyle name="normálne 6 8" xfId="1173"/>
    <cellStyle name="normálne 6 9" xfId="1022"/>
    <cellStyle name="Normálne 60" xfId="2283"/>
    <cellStyle name="Normálne 61" xfId="2290"/>
    <cellStyle name="Normálne 62" xfId="2291"/>
    <cellStyle name="Normálne 63" xfId="2293"/>
    <cellStyle name="Normálne 64" xfId="2292"/>
    <cellStyle name="Normálne 65" xfId="2294"/>
    <cellStyle name="Normálne 66" xfId="2295"/>
    <cellStyle name="Normálne 67" xfId="2296"/>
    <cellStyle name="Normálne 68" xfId="2297"/>
    <cellStyle name="Normálne 69" xfId="2358"/>
    <cellStyle name="normálne 7" xfId="635"/>
    <cellStyle name="normálne 7 10" xfId="636"/>
    <cellStyle name="normálne 7 2" xfId="864"/>
    <cellStyle name="normálne 7 2 2" xfId="637"/>
    <cellStyle name="normálne 7 3" xfId="2142"/>
    <cellStyle name="normálne 7 4" xfId="825"/>
    <cellStyle name="normálne 7_NPC vysvetlenie_20121025" xfId="638"/>
    <cellStyle name="normálne 8" xfId="639"/>
    <cellStyle name="normálne 8 2" xfId="866"/>
    <cellStyle name="normálne 8 3" xfId="2032"/>
    <cellStyle name="normálne 8 4" xfId="829"/>
    <cellStyle name="Normálne 9" xfId="791"/>
    <cellStyle name="normálne 9 10" xfId="1862"/>
    <cellStyle name="normálne 9 11" xfId="1869"/>
    <cellStyle name="normálne 9 12" xfId="1871"/>
    <cellStyle name="normálne 9 13" xfId="1873"/>
    <cellStyle name="normálne 9 14" xfId="1875"/>
    <cellStyle name="normálne 9 15" xfId="1799"/>
    <cellStyle name="normálne 9 16" xfId="1851"/>
    <cellStyle name="normálne 9 17" xfId="1863"/>
    <cellStyle name="normálne 9 18" xfId="1476"/>
    <cellStyle name="normálne 9 19" xfId="1889"/>
    <cellStyle name="normálne 9 2" xfId="845"/>
    <cellStyle name="normálne 9 2 2" xfId="896"/>
    <cellStyle name="normálne 9 2 2 2" xfId="970"/>
    <cellStyle name="normálne 9 2 2 2 2" xfId="1149"/>
    <cellStyle name="normálne 9 2 2 2 3" xfId="1286"/>
    <cellStyle name="normálne 9 2 2 2 4" xfId="1426"/>
    <cellStyle name="normálne 9 2 2 2 5" xfId="1592"/>
    <cellStyle name="normálne 9 2 2 2 6" xfId="1706"/>
    <cellStyle name="normálne 9 2 2 3" xfId="1076"/>
    <cellStyle name="normálne 9 2 2 4" xfId="1214"/>
    <cellStyle name="normálne 9 2 2 5" xfId="1355"/>
    <cellStyle name="normálne 9 2 2 6" xfId="1520"/>
    <cellStyle name="normálne 9 2 2 7" xfId="1625"/>
    <cellStyle name="normálne 9 2 3" xfId="935"/>
    <cellStyle name="normálne 9 2 3 2" xfId="1114"/>
    <cellStyle name="normálne 9 2 3 3" xfId="1251"/>
    <cellStyle name="normálne 9 2 3 4" xfId="1391"/>
    <cellStyle name="normálne 9 2 3 5" xfId="1557"/>
    <cellStyle name="normálne 9 2 3 6" xfId="1658"/>
    <cellStyle name="normálne 9 2 4" xfId="1029"/>
    <cellStyle name="normálne 9 2 5" xfId="1174"/>
    <cellStyle name="normálne 9 2 6" xfId="1320"/>
    <cellStyle name="normálne 9 2 7" xfId="1470"/>
    <cellStyle name="normálne 9 2 8" xfId="1689"/>
    <cellStyle name="normálne 9 20" xfId="1902"/>
    <cellStyle name="normálne 9 21" xfId="1909"/>
    <cellStyle name="normálne 9 22" xfId="1916"/>
    <cellStyle name="normálne 9 23" xfId="1923"/>
    <cellStyle name="normálne 9 24" xfId="1930"/>
    <cellStyle name="normálne 9 25" xfId="1936"/>
    <cellStyle name="normálne 9 26" xfId="1942"/>
    <cellStyle name="normálne 9 27" xfId="1948"/>
    <cellStyle name="normálne 9 28" xfId="1954"/>
    <cellStyle name="normálne 9 29" xfId="826"/>
    <cellStyle name="normálne 9 3" xfId="865"/>
    <cellStyle name="normálne 9 3 2" xfId="907"/>
    <cellStyle name="normálne 9 3 2 2" xfId="981"/>
    <cellStyle name="normálne 9 3 2 2 2" xfId="1160"/>
    <cellStyle name="normálne 9 3 2 2 3" xfId="1297"/>
    <cellStyle name="normálne 9 3 2 2 4" xfId="1437"/>
    <cellStyle name="normálne 9 3 2 2 5" xfId="1603"/>
    <cellStyle name="normálne 9 3 2 2 6" xfId="1763"/>
    <cellStyle name="normálne 9 3 2 3" xfId="1087"/>
    <cellStyle name="normálne 9 3 2 4" xfId="1225"/>
    <cellStyle name="normálne 9 3 2 5" xfId="1366"/>
    <cellStyle name="normálne 9 3 2 6" xfId="1531"/>
    <cellStyle name="normálne 9 3 2 7" xfId="1691"/>
    <cellStyle name="normálne 9 3 3" xfId="946"/>
    <cellStyle name="normálne 9 3 3 2" xfId="1125"/>
    <cellStyle name="normálne 9 3 3 3" xfId="1262"/>
    <cellStyle name="normálne 9 3 3 4" xfId="1402"/>
    <cellStyle name="normálne 9 3 3 5" xfId="1568"/>
    <cellStyle name="normálne 9 3 3 6" xfId="1713"/>
    <cellStyle name="normálne 9 3 4" xfId="1047"/>
    <cellStyle name="normálne 9 3 5" xfId="1189"/>
    <cellStyle name="normálne 9 3 6" xfId="1331"/>
    <cellStyle name="normálne 9 3 7" xfId="1494"/>
    <cellStyle name="normálne 9 3 8" xfId="1645"/>
    <cellStyle name="Normálne 9 30" xfId="2667"/>
    <cellStyle name="normálne 9 4" xfId="885"/>
    <cellStyle name="normálne 9 4 2" xfId="959"/>
    <cellStyle name="normálne 9 4 2 2" xfId="1138"/>
    <cellStyle name="normálne 9 4 2 3" xfId="1275"/>
    <cellStyle name="normálne 9 4 2 4" xfId="1415"/>
    <cellStyle name="normálne 9 4 2 5" xfId="1581"/>
    <cellStyle name="normálne 9 4 2 6" xfId="1662"/>
    <cellStyle name="normálne 9 4 3" xfId="1065"/>
    <cellStyle name="normálne 9 4 4" xfId="1203"/>
    <cellStyle name="normálne 9 4 5" xfId="1344"/>
    <cellStyle name="normálne 9 4 6" xfId="1509"/>
    <cellStyle name="normálne 9 4 7" xfId="1756"/>
    <cellStyle name="normálne 9 5" xfId="924"/>
    <cellStyle name="normálne 9 5 2" xfId="1103"/>
    <cellStyle name="normálne 9 5 3" xfId="1240"/>
    <cellStyle name="normálne 9 5 4" xfId="1380"/>
    <cellStyle name="normálne 9 5 5" xfId="1546"/>
    <cellStyle name="normálne 9 5 6" xfId="1747"/>
    <cellStyle name="normálne 9 6" xfId="1013"/>
    <cellStyle name="normálne 9 7" xfId="1169"/>
    <cellStyle name="normálne 9 8" xfId="1048"/>
    <cellStyle name="normálne 9 9" xfId="1457"/>
    <cellStyle name="normálne 9 9 2" xfId="1789"/>
    <cellStyle name="normálne 9 9 3" xfId="1882"/>
    <cellStyle name="normálne 9_Tabulky IFP_casove rady-request_20111102_" xfId="2176"/>
    <cellStyle name="normálne_annex tab 2,3,5" xfId="2661"/>
    <cellStyle name="normální_15.6.07 východ.+rozpočet 08-10" xfId="640"/>
    <cellStyle name="Normßl - Style1" xfId="641"/>
    <cellStyle name="Normßl - Style1 2" xfId="642"/>
    <cellStyle name="Normßl - Style1 3" xfId="643"/>
    <cellStyle name="Normßl - Style1_NPC vysvetlenie_20121025" xfId="644"/>
    <cellStyle name="Note" xfId="2025"/>
    <cellStyle name="Note 2" xfId="2345"/>
    <cellStyle name="Note 2 2" xfId="2622"/>
    <cellStyle name="Note 3" xfId="2399"/>
    <cellStyle name="Notes" xfId="645"/>
    <cellStyle name="notes 2" xfId="2246"/>
    <cellStyle name="Notiz" xfId="646"/>
    <cellStyle name="Output" xfId="2161"/>
    <cellStyle name="Output 2" xfId="2346"/>
    <cellStyle name="Output 2 2" xfId="2623"/>
    <cellStyle name="Output 2_makro" xfId="2654"/>
    <cellStyle name="Pénznem [0]_3MONTH RATES (2)" xfId="647"/>
    <cellStyle name="Pénznem_3MONTH RATES (2)" xfId="648"/>
    <cellStyle name="Percent [2]" xfId="649"/>
    <cellStyle name="Percent 2" xfId="650"/>
    <cellStyle name="Percent 2 2" xfId="2271"/>
    <cellStyle name="Percent 2 2 2" xfId="2624"/>
    <cellStyle name="Percent 2 3" xfId="2259"/>
    <cellStyle name="Percent 2 4" xfId="2347"/>
    <cellStyle name="Percent 2 5" xfId="2666"/>
    <cellStyle name="Percent 3" xfId="651"/>
    <cellStyle name="Percent 3 2" xfId="2261"/>
    <cellStyle name="Percent 3 3" xfId="2266"/>
    <cellStyle name="Percent 3 4" xfId="2625"/>
    <cellStyle name="Percent 4" xfId="652"/>
    <cellStyle name="Percent 4 2" xfId="2626"/>
    <cellStyle name="Percent 5" xfId="653"/>
    <cellStyle name="percentá 10" xfId="2003"/>
    <cellStyle name="percentá 10 2" xfId="2348"/>
    <cellStyle name="percentá 11" xfId="2004"/>
    <cellStyle name="percentá 11 2" xfId="2349"/>
    <cellStyle name="percentá 12" xfId="2005"/>
    <cellStyle name="percentá 12 2" xfId="2350"/>
    <cellStyle name="percentá 13" xfId="2012"/>
    <cellStyle name="percentá 13 2" xfId="2140"/>
    <cellStyle name="percentá 13 2 2" xfId="2505"/>
    <cellStyle name="percentá 13 3" xfId="2506"/>
    <cellStyle name="percentá 14" xfId="2006"/>
    <cellStyle name="percentá 14 2" xfId="2351"/>
    <cellStyle name="percentá 15" xfId="2007"/>
    <cellStyle name="percentá 15 2" xfId="2352"/>
    <cellStyle name="Percentá 16" xfId="811"/>
    <cellStyle name="percentá 17" xfId="2008"/>
    <cellStyle name="percentá 17 2" xfId="2353"/>
    <cellStyle name="Percentá 18" xfId="2015"/>
    <cellStyle name="Percentá 19" xfId="2016"/>
    <cellStyle name="percentá 2" xfId="654"/>
    <cellStyle name="percentá 2 10" xfId="1843"/>
    <cellStyle name="percentá 2 11" xfId="1826"/>
    <cellStyle name="percentá 2 12" xfId="1858"/>
    <cellStyle name="percentá 2 13" xfId="1865"/>
    <cellStyle name="percentá 2 14" xfId="1503"/>
    <cellStyle name="percentá 2 15" xfId="1894"/>
    <cellStyle name="percentá 2 16" xfId="1900"/>
    <cellStyle name="percentá 2 17" xfId="1907"/>
    <cellStyle name="percentá 2 18" xfId="1914"/>
    <cellStyle name="percentá 2 19" xfId="1921"/>
    <cellStyle name="percentá 2 2" xfId="655"/>
    <cellStyle name="percentá 2 2 2" xfId="871"/>
    <cellStyle name="percentá 2 2 3" xfId="834"/>
    <cellStyle name="percentá 2 20" xfId="1928"/>
    <cellStyle name="percentá 2 21" xfId="1934"/>
    <cellStyle name="percentá 2 22" xfId="1940"/>
    <cellStyle name="percentá 2 23" xfId="1946"/>
    <cellStyle name="percentá 2 24" xfId="1952"/>
    <cellStyle name="percentá 2 3" xfId="656"/>
    <cellStyle name="percentá 2 3 2" xfId="1015"/>
    <cellStyle name="percentá 2 3 2 2" xfId="1622"/>
    <cellStyle name="percentá 2 3 2 2 2" xfId="2107"/>
    <cellStyle name="percentá 2 3 2 3" xfId="1633"/>
    <cellStyle name="percentá 2 3 2 3 2" xfId="2109"/>
    <cellStyle name="percentá 2 3 2 4" xfId="2085"/>
    <cellStyle name="percentá 2 3 3" xfId="1058"/>
    <cellStyle name="percentá 2 3 3 2" xfId="1642"/>
    <cellStyle name="percentá 2 3 3 2 2" xfId="2113"/>
    <cellStyle name="percentá 2 3 3 3" xfId="1776"/>
    <cellStyle name="percentá 2 3 3 3 2" xfId="2127"/>
    <cellStyle name="percentá 2 3 3 4" xfId="2087"/>
    <cellStyle name="percentá 2 3 4" xfId="1185"/>
    <cellStyle name="percentá 2 3 4 2" xfId="1687"/>
    <cellStyle name="percentá 2 3 4 2 2" xfId="2119"/>
    <cellStyle name="percentá 2 3 4 3" xfId="1739"/>
    <cellStyle name="percentá 2 3 4 3 2" xfId="2122"/>
    <cellStyle name="percentá 2 3 4 4" xfId="2092"/>
    <cellStyle name="percentá 2 3 5" xfId="1472"/>
    <cellStyle name="percentá 2 3 5 2" xfId="2101"/>
    <cellStyle name="percentá 2 3 6" xfId="1762"/>
    <cellStyle name="percentá 2 3 6 2" xfId="2124"/>
    <cellStyle name="percentá 2 3 7" xfId="2079"/>
    <cellStyle name="percentá 2 3 8" xfId="828"/>
    <cellStyle name="percentá 2 4" xfId="858"/>
    <cellStyle name="percentá 2 5" xfId="1455"/>
    <cellStyle name="percentá 2 5 2" xfId="1785"/>
    <cellStyle name="percentá 2 5 3" xfId="1878"/>
    <cellStyle name="percentá 2 6" xfId="1779"/>
    <cellStyle name="percentá 2 7" xfId="1800"/>
    <cellStyle name="percentá 2 8" xfId="1810"/>
    <cellStyle name="percentá 2 9" xfId="1823"/>
    <cellStyle name="Percentá 20" xfId="2018"/>
    <cellStyle name="Percentá 21" xfId="2069"/>
    <cellStyle name="Percentá 22" xfId="2063"/>
    <cellStyle name="Percentá 23" xfId="2033"/>
    <cellStyle name="Percentá 24" xfId="2058"/>
    <cellStyle name="Percentá 25" xfId="2064"/>
    <cellStyle name="Percentá 26" xfId="2065"/>
    <cellStyle name="Percentá 27" xfId="2057"/>
    <cellStyle name="Percentá 28" xfId="2138"/>
    <cellStyle name="Percentá 29" xfId="2066"/>
    <cellStyle name="percentá 3" xfId="831"/>
    <cellStyle name="percentá 3 10" xfId="1817"/>
    <cellStyle name="percentá 3 11" xfId="1870"/>
    <cellStyle name="Percentá 3 12" xfId="2679"/>
    <cellStyle name="percentá 3 2" xfId="868"/>
    <cellStyle name="percentá 3 3" xfId="1793"/>
    <cellStyle name="percentá 3 4" xfId="1839"/>
    <cellStyle name="percentá 3 5" xfId="1827"/>
    <cellStyle name="percentá 3 6" xfId="1824"/>
    <cellStyle name="percentá 3 7" xfId="1812"/>
    <cellStyle name="percentá 3 8" xfId="1845"/>
    <cellStyle name="percentá 3 9" xfId="1835"/>
    <cellStyle name="Percentá 30" xfId="2145"/>
    <cellStyle name="Percentá 31" xfId="2148"/>
    <cellStyle name="Percentá 32" xfId="2146"/>
    <cellStyle name="Percentá 33" xfId="2150"/>
    <cellStyle name="Percentá 34" xfId="2152"/>
    <cellStyle name="Percentá 35" xfId="2663"/>
    <cellStyle name="Percentá 36" xfId="2669"/>
    <cellStyle name="Percentá 37" xfId="2675"/>
    <cellStyle name="percentá 4" xfId="839"/>
    <cellStyle name="percentá 4 2" xfId="2355"/>
    <cellStyle name="percentá 5" xfId="852"/>
    <cellStyle name="percentá 6" xfId="879"/>
    <cellStyle name="percentá 7" xfId="918"/>
    <cellStyle name="percentá 8" xfId="992"/>
    <cellStyle name="percentá 9" xfId="994"/>
    <cellStyle name="percentá 9 2" xfId="1172"/>
    <cellStyle name="percentá 9 2 2" xfId="2090"/>
    <cellStyle name="percentá 9 2 2 2" xfId="2507"/>
    <cellStyle name="percentá 9 2 3" xfId="2508"/>
    <cellStyle name="percentá 9 3" xfId="1309"/>
    <cellStyle name="percentá 9 3 2" xfId="2095"/>
    <cellStyle name="percentá 9 3 2 2" xfId="2509"/>
    <cellStyle name="percentá 9 3 3" xfId="2510"/>
    <cellStyle name="percentá 9 4" xfId="1448"/>
    <cellStyle name="percentá 9 4 2" xfId="2097"/>
    <cellStyle name="percentá 9 4 2 2" xfId="2511"/>
    <cellStyle name="percentá 9 4 3" xfId="2512"/>
    <cellStyle name="percentá 9 5" xfId="1615"/>
    <cellStyle name="percentá 9 5 2" xfId="2104"/>
    <cellStyle name="percentá 9 5 2 2" xfId="2513"/>
    <cellStyle name="percentá 9 5 3" xfId="2514"/>
    <cellStyle name="percentá 9 6" xfId="1665"/>
    <cellStyle name="percentá 9 6 2" xfId="2115"/>
    <cellStyle name="percentá 9 6 2 2" xfId="2515"/>
    <cellStyle name="percentá 9 6 3" xfId="2516"/>
    <cellStyle name="percentá 9 7" xfId="2081"/>
    <cellStyle name="percentá 9 7 2" xfId="2517"/>
    <cellStyle name="percentá 9 8" xfId="2518"/>
    <cellStyle name="percentage difference" xfId="657"/>
    <cellStyle name="percentage difference 2" xfId="658"/>
    <cellStyle name="percentage difference 3" xfId="659"/>
    <cellStyle name="percentage difference one decimal" xfId="660"/>
    <cellStyle name="percentage difference zero decimal" xfId="661"/>
    <cellStyle name="Pevný" xfId="662"/>
    <cellStyle name="Pevný 2" xfId="804"/>
    <cellStyle name="Poznámka 10" xfId="2231"/>
    <cellStyle name="Poznámka 2" xfId="2000"/>
    <cellStyle name="Poznámka 2 2" xfId="2628"/>
    <cellStyle name="Poznámka 2_makro" xfId="2655"/>
    <cellStyle name="Poznámka 3" xfId="1996"/>
    <cellStyle name="Poznámka 4" xfId="1998"/>
    <cellStyle name="Poznámka 5" xfId="1997"/>
    <cellStyle name="Poznámka 6" xfId="1999"/>
    <cellStyle name="Poznámka 7" xfId="1995"/>
    <cellStyle name="Poznámka 8" xfId="2177"/>
    <cellStyle name="Poznámka 9" xfId="2183"/>
    <cellStyle name="Prepojená bunka" xfId="2207" builtinId="24" customBuiltin="1"/>
    <cellStyle name="Prepojená bunka 2" xfId="1966"/>
    <cellStyle name="Prepojená bunka 3" xfId="2519"/>
    <cellStyle name="Prepojená bunka 4" xfId="2520"/>
    <cellStyle name="Prepojená bunka 5" xfId="2521"/>
    <cellStyle name="Prepojená bunka 6" xfId="2370"/>
    <cellStyle name="Presentation" xfId="663"/>
    <cellStyle name="Presentation 2" xfId="664"/>
    <cellStyle name="Propojená buňka" xfId="2629"/>
    <cellStyle name="SAPBEXaggData" xfId="665"/>
    <cellStyle name="SAPBEXaggData 2" xfId="666"/>
    <cellStyle name="SAPBEXaggData 3" xfId="2286"/>
    <cellStyle name="SAPBEXaggDataEmph" xfId="667"/>
    <cellStyle name="SAPBEXaggItem" xfId="668"/>
    <cellStyle name="SAPBEXaggItem 2" xfId="669"/>
    <cellStyle name="SAPBEXaggItem 3" xfId="2287"/>
    <cellStyle name="SAPBEXaggItemX" xfId="670"/>
    <cellStyle name="SAPBEXexcBad" xfId="671"/>
    <cellStyle name="SAPBEXexcBad7" xfId="672"/>
    <cellStyle name="SAPBEXexcBad8" xfId="673"/>
    <cellStyle name="SAPBEXexcBad9" xfId="674"/>
    <cellStyle name="SAPBEXexcCritical" xfId="675"/>
    <cellStyle name="SAPBEXexcCritical4" xfId="676"/>
    <cellStyle name="SAPBEXexcCritical5" xfId="677"/>
    <cellStyle name="SAPBEXexcCritical6" xfId="678"/>
    <cellStyle name="SAPBEXexcGood" xfId="679"/>
    <cellStyle name="SAPBEXexcGood1" xfId="680"/>
    <cellStyle name="SAPBEXexcGood2" xfId="681"/>
    <cellStyle name="SAPBEXexcGood3" xfId="682"/>
    <cellStyle name="SAPBEXexcVeryBad" xfId="683"/>
    <cellStyle name="SAPBEXfilterDrill" xfId="684"/>
    <cellStyle name="SAPBEXfilterItem" xfId="685"/>
    <cellStyle name="SAPBEXfilterText" xfId="686"/>
    <cellStyle name="SAPBEXformats" xfId="687"/>
    <cellStyle name="SAPBEXheaderData" xfId="688"/>
    <cellStyle name="SAPBEXheaderItem" xfId="689"/>
    <cellStyle name="SAPBEXheaderText" xfId="690"/>
    <cellStyle name="SAPBEXHLevel0" xfId="691"/>
    <cellStyle name="SAPBEXHLevel0 2" xfId="2288"/>
    <cellStyle name="SAPBEXHLevel0X" xfId="692"/>
    <cellStyle name="SAPBEXHLevel1" xfId="693"/>
    <cellStyle name="SAPBEXHLevel1 2" xfId="2289"/>
    <cellStyle name="SAPBEXHLevel1X" xfId="694"/>
    <cellStyle name="SAPBEXHLevel2" xfId="695"/>
    <cellStyle name="SAPBEXHLevel2 2" xfId="696"/>
    <cellStyle name="SAPBEXHLevel2X" xfId="697"/>
    <cellStyle name="SAPBEXHLevel3" xfId="698"/>
    <cellStyle name="SAPBEXHLevel3 2" xfId="699"/>
    <cellStyle name="SAPBEXHLevel3X" xfId="700"/>
    <cellStyle name="SAPBEXchaText" xfId="701"/>
    <cellStyle name="SAPBEXchaText 2" xfId="702"/>
    <cellStyle name="SAPBEXresData" xfId="703"/>
    <cellStyle name="SAPBEXresDataEmph" xfId="704"/>
    <cellStyle name="SAPBEXresItem" xfId="705"/>
    <cellStyle name="SAPBEXresItemX" xfId="706"/>
    <cellStyle name="SAPBEXstdData" xfId="707"/>
    <cellStyle name="SAPBEXstdData 2" xfId="708"/>
    <cellStyle name="SAPBEXstdData_NPC vysvetlenie_20121025" xfId="709"/>
    <cellStyle name="SAPBEXstdDataEmph" xfId="710"/>
    <cellStyle name="SAPBEXstdItem" xfId="711"/>
    <cellStyle name="SAPBEXstdItem 2" xfId="712"/>
    <cellStyle name="SAPBEXstdItem 3" xfId="2285"/>
    <cellStyle name="SAPBEXstdItemX" xfId="713"/>
    <cellStyle name="SAPBEXsubData" xfId="714"/>
    <cellStyle name="SAPBEXsubDataEmph" xfId="715"/>
    <cellStyle name="SAPBEXsubItem" xfId="716"/>
    <cellStyle name="SAPBEXtitle" xfId="717"/>
    <cellStyle name="SAPBEXundefined" xfId="718"/>
    <cellStyle name="semestre" xfId="2273"/>
    <cellStyle name="Schlecht" xfId="719"/>
    <cellStyle name="Spolu" xfId="805" builtinId="25" customBuiltin="1"/>
    <cellStyle name="Spolu 2" xfId="1970"/>
    <cellStyle name="Spolu 3" xfId="2233"/>
    <cellStyle name="Spolu 3 2" xfId="2522"/>
    <cellStyle name="Spolu 4" xfId="2523"/>
    <cellStyle name="Spolu 5" xfId="2524"/>
    <cellStyle name="Spolu 6" xfId="2374"/>
    <cellStyle name="Správně" xfId="2630"/>
    <cellStyle name="Standaard_Kadaster prijzen per provincie" xfId="720"/>
    <cellStyle name="Standaard2" xfId="721"/>
    <cellStyle name="Style 1" xfId="2631"/>
    <cellStyle name="tête chapitre" xfId="2242"/>
    <cellStyle name="Text" xfId="722"/>
    <cellStyle name="Text 2" xfId="723"/>
    <cellStyle name="Text upozornění" xfId="2632"/>
    <cellStyle name="Text upozornenia" xfId="2141" builtinId="11" customBuiltin="1"/>
    <cellStyle name="Text upozornenia 2" xfId="1968"/>
    <cellStyle name="Text upozornenia 3" xfId="2230"/>
    <cellStyle name="Text upozornenia 3 2" xfId="2525"/>
    <cellStyle name="Text upozornenia 4" xfId="2526"/>
    <cellStyle name="Text upozornenia 5" xfId="2527"/>
    <cellStyle name="Text upozornenia 6" xfId="2372"/>
    <cellStyle name="Title" xfId="2153"/>
    <cellStyle name="Title 2" xfId="2356"/>
    <cellStyle name="Title 2 2" xfId="2633"/>
    <cellStyle name="Title 2_makro" xfId="2656"/>
    <cellStyle name="titre" xfId="2275"/>
    <cellStyle name="Titul" xfId="2197" builtinId="15" customBuiltin="1"/>
    <cellStyle name="Titul 2" xfId="1955"/>
    <cellStyle name="Titul 3" xfId="2528"/>
    <cellStyle name="Titul 4" xfId="2359"/>
    <cellStyle name="Total 2" xfId="724"/>
    <cellStyle name="Total 2 2" xfId="2027"/>
    <cellStyle name="Total 2 3" xfId="2634"/>
    <cellStyle name="Überschrift" xfId="725"/>
    <cellStyle name="Überschrift 1" xfId="726"/>
    <cellStyle name="Überschrift 2" xfId="727"/>
    <cellStyle name="Überschrift 3" xfId="728"/>
    <cellStyle name="Überschrift 4" xfId="729"/>
    <cellStyle name="USD" xfId="730"/>
    <cellStyle name="USD Paren" xfId="731"/>
    <cellStyle name="USD_Black Box 10 UNLOCKED" xfId="732"/>
    <cellStyle name="Valuta [0]_Betaalbaarheid_a" xfId="733"/>
    <cellStyle name="Valuta_Betaalbaarheid_a" xfId="734"/>
    <cellStyle name="Verknüpfte Zelle" xfId="735"/>
    <cellStyle name="Vstup" xfId="2204" builtinId="20" customBuiltin="1"/>
    <cellStyle name="Vstup 2" xfId="1963"/>
    <cellStyle name="Vstup 3" xfId="2529"/>
    <cellStyle name="Vstup 4" xfId="2530"/>
    <cellStyle name="Vstup 5" xfId="2531"/>
    <cellStyle name="Vstup 6" xfId="2367"/>
    <cellStyle name="Výpočet" xfId="2206" builtinId="22" customBuiltin="1"/>
    <cellStyle name="Výpočet 2" xfId="1965"/>
    <cellStyle name="Výpočet 3" xfId="2532"/>
    <cellStyle name="Výpočet 4" xfId="2533"/>
    <cellStyle name="Výpočet 5" xfId="2534"/>
    <cellStyle name="Výpočet 6" xfId="2369"/>
    <cellStyle name="Výstup" xfId="2205" builtinId="21" customBuiltin="1"/>
    <cellStyle name="Výstup 2" xfId="1964"/>
    <cellStyle name="Výstup 3" xfId="2535"/>
    <cellStyle name="Výstup 4" xfId="2536"/>
    <cellStyle name="Výstup 5" xfId="2537"/>
    <cellStyle name="Výstup 6" xfId="2368"/>
    <cellStyle name="Vysvětlující text" xfId="2635"/>
    <cellStyle name="Vysvetľujúci text" xfId="2209" builtinId="53" customBuiltin="1"/>
    <cellStyle name="Vysvetľujúci text 2" xfId="1969"/>
    <cellStyle name="Vysvetľujúci text 3" xfId="2538"/>
    <cellStyle name="Vysvetľujúci text 4" xfId="2539"/>
    <cellStyle name="Vysvetľujúci text 5" xfId="2540"/>
    <cellStyle name="Vysvetľujúci text 6" xfId="2373"/>
    <cellStyle name="Warnender Text" xfId="736"/>
    <cellStyle name="Warning Text 2" xfId="2636"/>
    <cellStyle name="WebAnchor1" xfId="737"/>
    <cellStyle name="WebAnchor2" xfId="738"/>
    <cellStyle name="WebAnchor3" xfId="739"/>
    <cellStyle name="WebAnchor4" xfId="740"/>
    <cellStyle name="WebAnchor5" xfId="741"/>
    <cellStyle name="WebAnchor6" xfId="742"/>
    <cellStyle name="WebAnchor7" xfId="743"/>
    <cellStyle name="WebBold" xfId="744"/>
    <cellStyle name="WebDate" xfId="745"/>
    <cellStyle name="WebExclude" xfId="746"/>
    <cellStyle name="WebFN" xfId="747"/>
    <cellStyle name="WebFN1" xfId="748"/>
    <cellStyle name="WebFN2" xfId="749"/>
    <cellStyle name="WebFN3" xfId="750"/>
    <cellStyle name="WebFN4" xfId="751"/>
    <cellStyle name="WebHR" xfId="752"/>
    <cellStyle name="WebIndent1" xfId="753"/>
    <cellStyle name="WebIndent1 2" xfId="754"/>
    <cellStyle name="WebIndent1wFN3" xfId="755"/>
    <cellStyle name="WebIndent2" xfId="756"/>
    <cellStyle name="WebIndent2 2" xfId="757"/>
    <cellStyle name="WebNoBR" xfId="758"/>
    <cellStyle name="WebNoBR 2" xfId="759"/>
    <cellStyle name="Záhlaví 1" xfId="760"/>
    <cellStyle name="Záhlaví 1 2" xfId="761"/>
    <cellStyle name="Záhlaví 1 3" xfId="806"/>
    <cellStyle name="Záhlaví 2" xfId="762"/>
    <cellStyle name="Záhlaví 2 2" xfId="763"/>
    <cellStyle name="Záhlaví 2 3" xfId="807"/>
    <cellStyle name="Zelle überprüfen" xfId="764"/>
    <cellStyle name="zero" xfId="765"/>
    <cellStyle name="zero 2" xfId="766"/>
    <cellStyle name="zero_Tab subjekty salda" xfId="767"/>
    <cellStyle name="Zlá" xfId="2202" builtinId="27" customBuiltin="1"/>
    <cellStyle name="Zlá 2" xfId="1961"/>
    <cellStyle name="Zlá 3" xfId="2541"/>
    <cellStyle name="Zlá 4" xfId="2542"/>
    <cellStyle name="Zlá 5" xfId="2543"/>
    <cellStyle name="Zlá 6" xfId="2365"/>
    <cellStyle name="Zvýraznění 1" xfId="2637"/>
    <cellStyle name="Zvýraznění 2" xfId="2638"/>
    <cellStyle name="Zvýraznění 3" xfId="2639"/>
    <cellStyle name="Zvýraznění 4" xfId="2640"/>
    <cellStyle name="Zvýraznění 5" xfId="2641"/>
    <cellStyle name="Zvýraznění 6" xfId="2642"/>
    <cellStyle name="Zvýraznenie1" xfId="2210" builtinId="29" customBuiltin="1"/>
    <cellStyle name="Zvýraznenie1 2" xfId="1971"/>
    <cellStyle name="Zvýraznenie1 3" xfId="2544"/>
    <cellStyle name="Zvýraznenie1 4" xfId="2545"/>
    <cellStyle name="Zvýraznenie1 5" xfId="2546"/>
    <cellStyle name="Zvýraznenie1 6" xfId="2375"/>
    <cellStyle name="Zvýraznenie2" xfId="2211" builtinId="33" customBuiltin="1"/>
    <cellStyle name="Zvýraznenie2 2" xfId="1975"/>
    <cellStyle name="Zvýraznenie2 3" xfId="2547"/>
    <cellStyle name="Zvýraznenie2 4" xfId="2548"/>
    <cellStyle name="Zvýraznenie2 5" xfId="2549"/>
    <cellStyle name="Zvýraznenie2 6" xfId="2379"/>
    <cellStyle name="Zvýraznenie3" xfId="2212" builtinId="37" customBuiltin="1"/>
    <cellStyle name="Zvýraznenie3 2" xfId="1979"/>
    <cellStyle name="Zvýraznenie3 3" xfId="2550"/>
    <cellStyle name="Zvýraznenie3 4" xfId="2551"/>
    <cellStyle name="Zvýraznenie3 5" xfId="2552"/>
    <cellStyle name="Zvýraznenie3 6" xfId="2383"/>
    <cellStyle name="Zvýraznenie4" xfId="2213" builtinId="41" customBuiltin="1"/>
    <cellStyle name="Zvýraznenie4 2" xfId="1983"/>
    <cellStyle name="Zvýraznenie4 3" xfId="2553"/>
    <cellStyle name="Zvýraznenie4 4" xfId="2554"/>
    <cellStyle name="Zvýraznenie4 5" xfId="2555"/>
    <cellStyle name="Zvýraznenie4 6" xfId="2387"/>
    <cellStyle name="Zvýraznenie5" xfId="2214" builtinId="45" customBuiltin="1"/>
    <cellStyle name="Zvýraznenie5 2" xfId="1987"/>
    <cellStyle name="Zvýraznenie5 3" xfId="2556"/>
    <cellStyle name="Zvýraznenie5 4" xfId="2557"/>
    <cellStyle name="Zvýraznenie5 5" xfId="2558"/>
    <cellStyle name="Zvýraznenie5 6" xfId="2391"/>
    <cellStyle name="Zvýraznenie6" xfId="2215" builtinId="49" customBuiltin="1"/>
    <cellStyle name="Zvýraznenie6 2" xfId="1991"/>
    <cellStyle name="Zvýraznenie6 3" xfId="2559"/>
    <cellStyle name="Zvýraznenie6 4" xfId="2560"/>
    <cellStyle name="Zvýraznenie6 5" xfId="2561"/>
    <cellStyle name="Zvýraznenie6 6" xfId="2395"/>
    <cellStyle name="ДАТА" xfId="768"/>
    <cellStyle name="ДАТА 2" xfId="769"/>
    <cellStyle name="ДАТА_Tab subjekty salda" xfId="770"/>
    <cellStyle name="Денежный [0]_BARNARD" xfId="771"/>
    <cellStyle name="Денежный_BARNARD" xfId="772"/>
    <cellStyle name="ЗАГОЛОВОК1" xfId="773"/>
    <cellStyle name="ЗАГОЛОВОК1 2" xfId="774"/>
    <cellStyle name="ЗАГОЛОВОК1_Tab subjekty salda" xfId="775"/>
    <cellStyle name="ЗАГОЛОВОК2" xfId="776"/>
    <cellStyle name="ЗАГОЛОВОК2 2" xfId="777"/>
    <cellStyle name="ЗАГОЛОВОК2_Tab subjekty salda" xfId="778"/>
    <cellStyle name="ИТОГОВЫЙ" xfId="779"/>
    <cellStyle name="ИТОГОВЫЙ 2" xfId="780"/>
    <cellStyle name="ИТОГОВЫЙ_Tab subjekty salda" xfId="781"/>
    <cellStyle name="Обычный_1-Б (6)_1" xfId="782"/>
    <cellStyle name="ПРОЦЕНТНЫЙ_BOPENGC" xfId="783"/>
    <cellStyle name="ТЕКСТ" xfId="784"/>
    <cellStyle name="ТЕКСТ 2" xfId="785"/>
    <cellStyle name="ТЕКСТ_Tab subjekty salda" xfId="786"/>
    <cellStyle name="ФИКСИРОВАННЫЙ" xfId="787"/>
    <cellStyle name="Финансовый [0]_BARNARD" xfId="788"/>
    <cellStyle name="Финансовый_BARNARD" xfId="789"/>
  </cellStyles>
  <dxfs count="0"/>
  <tableStyles count="0" defaultTableStyle="TableStyleMedium2" defaultPivotStyle="PivotStyleLight16"/>
  <colors>
    <mruColors>
      <color rgb="FF13B5EA"/>
      <color rgb="FFDCB47B"/>
      <color rgb="FF58595B"/>
      <color rgb="FFB2E4F8"/>
      <color rgb="FFD2DCE6"/>
      <color rgb="FFDCE6F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externalLink" Target="externalLinks/externalLink1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externalLink" Target="externalLinks/externalLink17.xml"/><Relationship Id="rId138" Type="http://schemas.openxmlformats.org/officeDocument/2006/relationships/externalLink" Target="externalLinks/externalLink22.xml"/><Relationship Id="rId154" Type="http://schemas.openxmlformats.org/officeDocument/2006/relationships/theme" Target="theme/theme1.xml"/><Relationship Id="rId159" Type="http://schemas.openxmlformats.org/officeDocument/2006/relationships/customXml" Target="../customXml/item2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externalLink" Target="externalLinks/externalLink7.xml"/><Relationship Id="rId128" Type="http://schemas.openxmlformats.org/officeDocument/2006/relationships/externalLink" Target="externalLinks/externalLink12.xml"/><Relationship Id="rId144" Type="http://schemas.openxmlformats.org/officeDocument/2006/relationships/externalLink" Target="externalLinks/externalLink28.xml"/><Relationship Id="rId149" Type="http://schemas.openxmlformats.org/officeDocument/2006/relationships/externalLink" Target="externalLinks/externalLink33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60" Type="http://schemas.openxmlformats.org/officeDocument/2006/relationships/customXml" Target="../customXml/item3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externalLink" Target="externalLinks/externalLink2.xml"/><Relationship Id="rId134" Type="http://schemas.openxmlformats.org/officeDocument/2006/relationships/externalLink" Target="externalLinks/externalLink18.xml"/><Relationship Id="rId139" Type="http://schemas.openxmlformats.org/officeDocument/2006/relationships/externalLink" Target="externalLinks/externalLink23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50" Type="http://schemas.openxmlformats.org/officeDocument/2006/relationships/externalLink" Target="externalLinks/externalLink34.xml"/><Relationship Id="rId155" Type="http://schemas.openxmlformats.org/officeDocument/2006/relationships/styles" Target="styles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externalLink" Target="externalLinks/externalLink8.xml"/><Relationship Id="rId129" Type="http://schemas.openxmlformats.org/officeDocument/2006/relationships/externalLink" Target="externalLinks/externalLink13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11" Type="http://schemas.openxmlformats.org/officeDocument/2006/relationships/worksheet" Target="worksheets/sheet111.xml"/><Relationship Id="rId132" Type="http://schemas.openxmlformats.org/officeDocument/2006/relationships/externalLink" Target="externalLinks/externalLink16.xml"/><Relationship Id="rId140" Type="http://schemas.openxmlformats.org/officeDocument/2006/relationships/externalLink" Target="externalLinks/externalLink24.xml"/><Relationship Id="rId145" Type="http://schemas.openxmlformats.org/officeDocument/2006/relationships/externalLink" Target="externalLinks/externalLink29.xml"/><Relationship Id="rId153" Type="http://schemas.openxmlformats.org/officeDocument/2006/relationships/externalLink" Target="externalLinks/externalLink3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14" Type="http://schemas.openxmlformats.org/officeDocument/2006/relationships/worksheet" Target="worksheets/sheet114.xml"/><Relationship Id="rId119" Type="http://schemas.openxmlformats.org/officeDocument/2006/relationships/externalLink" Target="externalLinks/externalLink3.xml"/><Relationship Id="rId127" Type="http://schemas.openxmlformats.org/officeDocument/2006/relationships/externalLink" Target="externalLinks/externalLink11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externalLink" Target="externalLinks/externalLink6.xml"/><Relationship Id="rId130" Type="http://schemas.openxmlformats.org/officeDocument/2006/relationships/externalLink" Target="externalLinks/externalLink14.xml"/><Relationship Id="rId135" Type="http://schemas.openxmlformats.org/officeDocument/2006/relationships/externalLink" Target="externalLinks/externalLink19.xml"/><Relationship Id="rId143" Type="http://schemas.openxmlformats.org/officeDocument/2006/relationships/externalLink" Target="externalLinks/externalLink27.xml"/><Relationship Id="rId148" Type="http://schemas.openxmlformats.org/officeDocument/2006/relationships/externalLink" Target="externalLinks/externalLink32.xml"/><Relationship Id="rId151" Type="http://schemas.openxmlformats.org/officeDocument/2006/relationships/externalLink" Target="externalLinks/externalLink35.xml"/><Relationship Id="rId156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externalLink" Target="externalLinks/externalLink4.xml"/><Relationship Id="rId125" Type="http://schemas.openxmlformats.org/officeDocument/2006/relationships/externalLink" Target="externalLinks/externalLink9.xml"/><Relationship Id="rId141" Type="http://schemas.openxmlformats.org/officeDocument/2006/relationships/externalLink" Target="externalLinks/externalLink25.xml"/><Relationship Id="rId146" Type="http://schemas.openxmlformats.org/officeDocument/2006/relationships/externalLink" Target="externalLinks/externalLink30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externalLink" Target="externalLinks/externalLink15.xml"/><Relationship Id="rId136" Type="http://schemas.openxmlformats.org/officeDocument/2006/relationships/externalLink" Target="externalLinks/externalLink20.xml"/><Relationship Id="rId157" Type="http://schemas.openxmlformats.org/officeDocument/2006/relationships/calcChain" Target="calcChain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externalLink" Target="externalLinks/externalLink36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externalLink" Target="externalLinks/externalLink10.xml"/><Relationship Id="rId147" Type="http://schemas.openxmlformats.org/officeDocument/2006/relationships/externalLink" Target="externalLinks/externalLink3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externalLink" Target="externalLinks/externalLink5.xml"/><Relationship Id="rId142" Type="http://schemas.openxmlformats.org/officeDocument/2006/relationships/externalLink" Target="externalLinks/externalLink26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externalLink" Target="externalLinks/externalLink21.xml"/><Relationship Id="rId158" Type="http://schemas.openxmlformats.org/officeDocument/2006/relationships/customXml" Target="../customXml/item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61.xml"/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1.xml"/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5.xml"/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7.xml"/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3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8.xml"/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3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0.xml"/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3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1.xml"/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2.xml"/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3.xml"/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8.xml"/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4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0.xml"/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4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1.xml"/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4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4.xml"/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6.xml"/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7.xml"/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5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4.xml"/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5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6.xml"/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5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7.xml"/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5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8.xml"/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5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9.xml"/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5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0.xml"/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5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1.xml"/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3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0.xml.rels><?xml version="1.0" encoding="UTF-8" standalone="yes"?>
<Relationships xmlns="http://schemas.openxmlformats.org/package/2006/relationships"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6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.xml"/></Relationships>
</file>

<file path=xl/charts/_rels/chart6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.xml"/></Relationships>
</file>

<file path=xl/charts/_rels/chart6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.xml"/></Relationships>
</file>

<file path=xl/charts/_rels/chart65.xml.rels><?xml version="1.0" encoding="UTF-8" standalone="yes"?>
<Relationships xmlns="http://schemas.openxmlformats.org/package/2006/relationships"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66.xml.rels><?xml version="1.0" encoding="UTF-8" standalone="yes"?>
<Relationships xmlns="http://schemas.openxmlformats.org/package/2006/relationships"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67.xml.rels><?xml version="1.0" encoding="UTF-8" standalone="yes"?>
<Relationships xmlns="http://schemas.openxmlformats.org/package/2006/relationships"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68.xml.rels><?xml version="1.0" encoding="UTF-8" standalone="yes"?>
<Relationships xmlns="http://schemas.openxmlformats.org/package/2006/relationships"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69.xml.rels><?xml version="1.0" encoding="UTF-8" standalone="yes"?>
<Relationships xmlns="http://schemas.openxmlformats.org/package/2006/relationships"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56.xml"/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7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37.xml"/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74.xml.rels><?xml version="1.0" encoding="UTF-8" standalone="yes"?>
<Relationships xmlns="http://schemas.openxmlformats.org/package/2006/relationships"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75.xml.rels><?xml version="1.0" encoding="UTF-8" standalone="yes"?>
<Relationships xmlns="http://schemas.openxmlformats.org/package/2006/relationships"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7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.xml"/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57.xml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58.xml"/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Ex1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Ex2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2007222501442637E-2"/>
          <c:y val="0.10739938757655293"/>
          <c:w val="0.90799277749855734"/>
          <c:h val="0.825265920707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'G01'!$A$2</c:f>
              <c:strCache>
                <c:ptCount val="1"/>
                <c:pt idx="0">
                  <c:v>RVS 2016-2018</c:v>
                </c:pt>
              </c:strCache>
            </c:strRef>
          </c:tx>
          <c:spPr>
            <a:solidFill>
              <a:srgbClr val="DCB47B"/>
            </a:solidFill>
            <a:ln>
              <a:solidFill>
                <a:srgbClr val="DCB47B"/>
              </a:solidFill>
            </a:ln>
            <a:effectLst/>
          </c:spPr>
          <c:invertIfNegative val="0"/>
          <c:dLbls>
            <c:dLbl>
              <c:idx val="3"/>
              <c:layout>
                <c:manualLayout>
                  <c:x val="-9.4562647754137114E-3"/>
                  <c:y val="2.00501253132832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856-47CF-A032-E5F1CD1F953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Constantia" panose="02030602050306030303" pitchFamily="18" charset="0"/>
                    <a:ea typeface="+mn-ea"/>
                    <a:cs typeface="+mn-cs"/>
                  </a:defRPr>
                </a:pPr>
                <a:endParaRPr lang="sk-SK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'G01'!$B$1:$F$1</c:f>
              <c:strCache>
                <c:ptCount val="5"/>
                <c:pt idx="0">
                  <c:v>2015</c:v>
                </c:pt>
                <c:pt idx="1">
                  <c:v>2016O</c:v>
                </c:pt>
                <c:pt idx="2">
                  <c:v>2017N</c:v>
                </c:pt>
                <c:pt idx="3">
                  <c:v>2018N</c:v>
                </c:pt>
                <c:pt idx="4">
                  <c:v>2019N</c:v>
                </c:pt>
              </c:strCache>
            </c:strRef>
          </c:cat>
          <c:val>
            <c:numRef>
              <c:f>'G01'!$B$2:$F$2</c:f>
              <c:numCache>
                <c:formatCode>0.00</c:formatCode>
                <c:ptCount val="5"/>
                <c:pt idx="0">
                  <c:v>-2.4900000000000002</c:v>
                </c:pt>
                <c:pt idx="1">
                  <c:v>-1.9300012643870841</c:v>
                </c:pt>
                <c:pt idx="2">
                  <c:v>-0.42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856-47CF-A032-E5F1CD1F9531}"/>
            </c:ext>
          </c:extLst>
        </c:ser>
        <c:ser>
          <c:idx val="1"/>
          <c:order val="1"/>
          <c:tx>
            <c:strRef>
              <c:f>'G01'!$A$3</c:f>
              <c:strCache>
                <c:ptCount val="1"/>
                <c:pt idx="0">
                  <c:v>PS 2016-2019</c:v>
                </c:pt>
              </c:strCache>
            </c:strRef>
          </c:tx>
          <c:spPr>
            <a:solidFill>
              <a:srgbClr val="B2E4F8"/>
            </a:solidFill>
            <a:ln>
              <a:solidFill>
                <a:srgbClr val="B2E4F8"/>
              </a:solidFill>
            </a:ln>
            <a:effectLst/>
          </c:spPr>
          <c:invertIfNegative val="0"/>
          <c:dLbls>
            <c:dLbl>
              <c:idx val="3"/>
              <c:layout>
                <c:manualLayout>
                  <c:x val="-1.5760441292356302E-2"/>
                  <c:y val="1.50375939849624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856-47CF-A032-E5F1CD1F953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Constantia" panose="02030602050306030303" pitchFamily="18" charset="0"/>
                    <a:ea typeface="+mn-ea"/>
                    <a:cs typeface="+mn-cs"/>
                  </a:defRPr>
                </a:pPr>
                <a:endParaRPr lang="sk-SK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'G01'!$B$1:$F$1</c:f>
              <c:strCache>
                <c:ptCount val="5"/>
                <c:pt idx="0">
                  <c:v>2015</c:v>
                </c:pt>
                <c:pt idx="1">
                  <c:v>2016O</c:v>
                </c:pt>
                <c:pt idx="2">
                  <c:v>2017N</c:v>
                </c:pt>
                <c:pt idx="3">
                  <c:v>2018N</c:v>
                </c:pt>
                <c:pt idx="4">
                  <c:v>2019N</c:v>
                </c:pt>
              </c:strCache>
            </c:strRef>
          </c:cat>
          <c:val>
            <c:numRef>
              <c:f>'G01'!$B$3:$F$3</c:f>
              <c:numCache>
                <c:formatCode>0.00</c:formatCode>
                <c:ptCount val="5"/>
                <c:pt idx="0">
                  <c:v>-2.97</c:v>
                </c:pt>
                <c:pt idx="1">
                  <c:v>-2.13</c:v>
                </c:pt>
                <c:pt idx="2">
                  <c:v>-1.29</c:v>
                </c:pt>
                <c:pt idx="3">
                  <c:v>-0.44</c:v>
                </c:pt>
                <c:pt idx="4">
                  <c:v>0.15512676216840304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856-47CF-A032-E5F1CD1F9531}"/>
            </c:ext>
          </c:extLst>
        </c:ser>
        <c:ser>
          <c:idx val="2"/>
          <c:order val="2"/>
          <c:tx>
            <c:strRef>
              <c:f>'G01'!$A$4</c:f>
              <c:strCache>
                <c:ptCount val="1"/>
                <c:pt idx="0">
                  <c:v>NRVS 2017-2019</c:v>
                </c:pt>
              </c:strCache>
            </c:strRef>
          </c:tx>
          <c:spPr>
            <a:solidFill>
              <a:srgbClr val="13B5EA"/>
            </a:solidFill>
            <a:ln>
              <a:solidFill>
                <a:srgbClr val="13B5EA"/>
              </a:solidFill>
            </a:ln>
            <a:effectLst/>
          </c:spPr>
          <c:invertIfNegative val="0"/>
          <c:dLbls>
            <c:dLbl>
              <c:idx val="2"/>
              <c:layout>
                <c:manualLayout>
                  <c:x val="9.4562647754137114E-3"/>
                  <c:y val="1.00250626566416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856-47CF-A032-E5F1CD1F953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Constantia" panose="02030602050306030303" pitchFamily="18" charset="0"/>
                    <a:ea typeface="+mn-ea"/>
                    <a:cs typeface="+mn-cs"/>
                  </a:defRPr>
                </a:pPr>
                <a:endParaRPr lang="sk-SK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'G01'!$B$1:$F$1</c:f>
              <c:strCache>
                <c:ptCount val="5"/>
                <c:pt idx="0">
                  <c:v>2015</c:v>
                </c:pt>
                <c:pt idx="1">
                  <c:v>2016O</c:v>
                </c:pt>
                <c:pt idx="2">
                  <c:v>2017N</c:v>
                </c:pt>
                <c:pt idx="3">
                  <c:v>2018N</c:v>
                </c:pt>
                <c:pt idx="4">
                  <c:v>2019N</c:v>
                </c:pt>
              </c:strCache>
            </c:strRef>
          </c:cat>
          <c:val>
            <c:numRef>
              <c:f>'G01'!$B$4:$F$4</c:f>
              <c:numCache>
                <c:formatCode>0.00</c:formatCode>
                <c:ptCount val="5"/>
                <c:pt idx="0">
                  <c:v>-2.7286855588400063</c:v>
                </c:pt>
                <c:pt idx="1">
                  <c:v>-1.970000324279477</c:v>
                </c:pt>
                <c:pt idx="2">
                  <c:v>-1.2900001435861632</c:v>
                </c:pt>
                <c:pt idx="3">
                  <c:v>-0.44000038092532345</c:v>
                </c:pt>
                <c:pt idx="4">
                  <c:v>0.15999958902343381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856-47CF-A032-E5F1CD1F95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82801360"/>
        <c:axId val="382800968"/>
      </c:barChart>
      <c:catAx>
        <c:axId val="382801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382800968"/>
        <c:crosses val="autoZero"/>
        <c:auto val="1"/>
        <c:lblAlgn val="ctr"/>
        <c:lblOffset val="100"/>
        <c:noMultiLvlLbl val="0"/>
      </c:catAx>
      <c:valAx>
        <c:axId val="382800968"/>
        <c:scaling>
          <c:orientation val="minMax"/>
          <c:min val="-3.5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prstDash val="sysDot"/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3828013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0508516222706205"/>
          <c:y val="2.8808635762634933E-2"/>
          <c:w val="0.74212865235817149"/>
          <c:h val="8.458705819667279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onstantia" panose="02030602050306030303" pitchFamily="18" charset="0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Constantia" panose="02030602050306030303" pitchFamily="18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8740157480314963E-2"/>
          <c:y val="5.9945492426825168E-2"/>
          <c:w val="0.8819292388451444"/>
          <c:h val="0.606729773532406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'G08'!$A$3</c:f>
              <c:strCache>
                <c:ptCount val="1"/>
                <c:pt idx="0">
                  <c:v>príspevky od krízy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cat>
            <c:strRef>
              <c:f>'G08'!$B$2:$T$2</c:f>
              <c:strCache>
                <c:ptCount val="19"/>
                <c:pt idx="0">
                  <c:v>Nemecko</c:v>
                </c:pt>
                <c:pt idx="1">
                  <c:v>Veľká Británia</c:v>
                </c:pt>
                <c:pt idx="2">
                  <c:v>Španielsko</c:v>
                </c:pt>
                <c:pt idx="3">
                  <c:v>Írsko</c:v>
                </c:pt>
                <c:pt idx="4">
                  <c:v>Francúzsko</c:v>
                </c:pt>
                <c:pt idx="5">
                  <c:v>V4</c:v>
                </c:pt>
                <c:pt idx="6">
                  <c:v>Švédsko</c:v>
                </c:pt>
                <c:pt idx="7">
                  <c:v>Poľsko</c:v>
                </c:pt>
                <c:pt idx="8">
                  <c:v>Taliansko</c:v>
                </c:pt>
                <c:pt idx="9">
                  <c:v>Holandsko</c:v>
                </c:pt>
                <c:pt idx="10">
                  <c:v>Belgicko</c:v>
                </c:pt>
                <c:pt idx="11">
                  <c:v>Česko</c:v>
                </c:pt>
                <c:pt idx="12">
                  <c:v>Rumunsko</c:v>
                </c:pt>
                <c:pt idx="13">
                  <c:v>Rakúsko</c:v>
                </c:pt>
                <c:pt idx="14">
                  <c:v>Slovensko</c:v>
                </c:pt>
                <c:pt idx="15">
                  <c:v>Maďarsko</c:v>
                </c:pt>
                <c:pt idx="16">
                  <c:v>Portugalsko</c:v>
                </c:pt>
                <c:pt idx="17">
                  <c:v>...</c:v>
                </c:pt>
                <c:pt idx="18">
                  <c:v>Grécko</c:v>
                </c:pt>
              </c:strCache>
            </c:strRef>
          </c:cat>
          <c:val>
            <c:numRef>
              <c:f>'G08'!$B$3:$T$3</c:f>
              <c:numCache>
                <c:formatCode>0.0</c:formatCode>
                <c:ptCount val="19"/>
                <c:pt idx="0">
                  <c:v>10.518674113356111</c:v>
                </c:pt>
                <c:pt idx="1">
                  <c:v>8.984545966014128</c:v>
                </c:pt>
                <c:pt idx="2">
                  <c:v>0.12615898286815624</c:v>
                </c:pt>
                <c:pt idx="3">
                  <c:v>2.328791180438945</c:v>
                </c:pt>
                <c:pt idx="4">
                  <c:v>4.5029838240720093</c:v>
                </c:pt>
                <c:pt idx="5">
                  <c:v>2.8846385810289119</c:v>
                </c:pt>
                <c:pt idx="6">
                  <c:v>2.0491677934272823</c:v>
                </c:pt>
                <c:pt idx="7">
                  <c:v>2.0940598651681799</c:v>
                </c:pt>
                <c:pt idx="8">
                  <c:v>-0.4960057373380794</c:v>
                </c:pt>
                <c:pt idx="9">
                  <c:v>1.1281537117949898</c:v>
                </c:pt>
                <c:pt idx="10">
                  <c:v>0.92053051205283631</c:v>
                </c:pt>
                <c:pt idx="11">
                  <c:v>0.47654511529033156</c:v>
                </c:pt>
                <c:pt idx="12">
                  <c:v>0.42905552485382337</c:v>
                </c:pt>
                <c:pt idx="13">
                  <c:v>0.70490760488284865</c:v>
                </c:pt>
                <c:pt idx="14">
                  <c:v>0.31403360057040031</c:v>
                </c:pt>
                <c:pt idx="15">
                  <c:v>0.30015995101763815</c:v>
                </c:pt>
                <c:pt idx="16">
                  <c:v>-0.11652344254078487</c:v>
                </c:pt>
                <c:pt idx="18">
                  <c:v>-1.5754347635266233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25-4CEE-8194-96FECB951C6C}"/>
            </c:ext>
          </c:extLst>
        </c:ser>
        <c:ser>
          <c:idx val="3"/>
          <c:order val="1"/>
          <c:tx>
            <c:strRef>
              <c:f>'G08'!$A$4</c:f>
              <c:strCache>
                <c:ptCount val="1"/>
                <c:pt idx="0">
                  <c:v>príspevky za posledný rok</c:v>
                </c:pt>
              </c:strCache>
            </c:strRef>
          </c:tx>
          <c:spPr>
            <a:solidFill>
              <a:sysClr val="windowText" lastClr="000000"/>
            </a:solidFill>
            <a:ln>
              <a:noFill/>
            </a:ln>
            <a:effectLst/>
          </c:spPr>
          <c:invertIfNegative val="0"/>
          <c:cat>
            <c:strRef>
              <c:f>'G08'!$B$2:$T$2</c:f>
              <c:strCache>
                <c:ptCount val="19"/>
                <c:pt idx="0">
                  <c:v>Nemecko</c:v>
                </c:pt>
                <c:pt idx="1">
                  <c:v>Veľká Británia</c:v>
                </c:pt>
                <c:pt idx="2">
                  <c:v>Španielsko</c:v>
                </c:pt>
                <c:pt idx="3">
                  <c:v>Írsko</c:v>
                </c:pt>
                <c:pt idx="4">
                  <c:v>Francúzsko</c:v>
                </c:pt>
                <c:pt idx="5">
                  <c:v>V4</c:v>
                </c:pt>
                <c:pt idx="6">
                  <c:v>Švédsko</c:v>
                </c:pt>
                <c:pt idx="7">
                  <c:v>Poľsko</c:v>
                </c:pt>
                <c:pt idx="8">
                  <c:v>Taliansko</c:v>
                </c:pt>
                <c:pt idx="9">
                  <c:v>Holandsko</c:v>
                </c:pt>
                <c:pt idx="10">
                  <c:v>Belgicko</c:v>
                </c:pt>
                <c:pt idx="11">
                  <c:v>Česko</c:v>
                </c:pt>
                <c:pt idx="12">
                  <c:v>Rumunsko</c:v>
                </c:pt>
                <c:pt idx="13">
                  <c:v>Rakúsko</c:v>
                </c:pt>
                <c:pt idx="14">
                  <c:v>Slovensko</c:v>
                </c:pt>
                <c:pt idx="15">
                  <c:v>Maďarsko</c:v>
                </c:pt>
                <c:pt idx="16">
                  <c:v>Portugalsko</c:v>
                </c:pt>
                <c:pt idx="17">
                  <c:v>...</c:v>
                </c:pt>
                <c:pt idx="18">
                  <c:v>Grécko</c:v>
                </c:pt>
              </c:strCache>
            </c:strRef>
          </c:cat>
          <c:val>
            <c:numRef>
              <c:f>'G08'!$B$4:$T$4</c:f>
              <c:numCache>
                <c:formatCode>0.0</c:formatCode>
                <c:ptCount val="19"/>
                <c:pt idx="0">
                  <c:v>1.3738969608058971</c:v>
                </c:pt>
                <c:pt idx="1">
                  <c:v>1.3560690583634636</c:v>
                </c:pt>
                <c:pt idx="2">
                  <c:v>1.0424094624149884</c:v>
                </c:pt>
                <c:pt idx="3">
                  <c:v>0.95338775411997778</c:v>
                </c:pt>
                <c:pt idx="4">
                  <c:v>0.77634747974443874</c:v>
                </c:pt>
                <c:pt idx="5">
                  <c:v>0.57784658124200727</c:v>
                </c:pt>
                <c:pt idx="6">
                  <c:v>0.47901201136206667</c:v>
                </c:pt>
                <c:pt idx="7">
                  <c:v>0.36287087895491832</c:v>
                </c:pt>
                <c:pt idx="8">
                  <c:v>0.34908409617305497</c:v>
                </c:pt>
                <c:pt idx="9">
                  <c:v>0.2792434537916631</c:v>
                </c:pt>
                <c:pt idx="10">
                  <c:v>0.15162161955149644</c:v>
                </c:pt>
                <c:pt idx="11">
                  <c:v>0.14909081162961935</c:v>
                </c:pt>
                <c:pt idx="12">
                  <c:v>0.14173427588069298</c:v>
                </c:pt>
                <c:pt idx="13">
                  <c:v>0.11265843483224647</c:v>
                </c:pt>
                <c:pt idx="14">
                  <c:v>6.5884890657469553E-2</c:v>
                </c:pt>
                <c:pt idx="15">
                  <c:v>6.1094403001354054E-2</c:v>
                </c:pt>
                <c:pt idx="16">
                  <c:v>5.9643521746553012E-2</c:v>
                </c:pt>
                <c:pt idx="18">
                  <c:v>-5.6150685414315303E-2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625-4CEE-8194-96FECB951C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9"/>
        <c:axId val="1156359408"/>
        <c:axId val="1156365008"/>
      </c:barChart>
      <c:catAx>
        <c:axId val="1156359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Calibri" panose="020F0502020204030204" pitchFamily="34" charset="0"/>
              </a:defRPr>
            </a:pPr>
            <a:endParaRPr lang="sk-SK"/>
          </a:p>
        </c:txPr>
        <c:crossAx val="1156365008"/>
        <c:crosses val="autoZero"/>
        <c:auto val="1"/>
        <c:lblAlgn val="ctr"/>
        <c:lblOffset val="100"/>
        <c:noMultiLvlLbl val="0"/>
      </c:catAx>
      <c:valAx>
        <c:axId val="11563650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ysClr val="window" lastClr="FFFFFF">
                  <a:lumMod val="85000"/>
                </a:sysClr>
              </a:solidFill>
              <a:prstDash val="dash"/>
              <a:round/>
            </a:ln>
            <a:effectLst/>
          </c:spPr>
        </c:majorGridlines>
        <c:numFmt formatCode="#,##0.0" sourceLinked="0"/>
        <c:majorTickMark val="none"/>
        <c:minorTickMark val="none"/>
        <c:tickLblPos val="nextTo"/>
        <c:spPr>
          <a:noFill/>
          <a:ln>
            <a:solidFill>
              <a:sysClr val="window" lastClr="FFFFFF">
                <a:lumMod val="85000"/>
              </a:sysClr>
            </a:solidFill>
            <a:prstDash val="dashDot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Calibri" panose="020F0502020204030204" pitchFamily="34" charset="0"/>
              </a:defRPr>
            </a:pPr>
            <a:endParaRPr lang="sk-SK"/>
          </a:p>
        </c:txPr>
        <c:crossAx val="1156359408"/>
        <c:crosses val="autoZero"/>
        <c:crossBetween val="between"/>
      </c:valAx>
      <c:spPr>
        <a:noFill/>
        <a:ln>
          <a:solidFill>
            <a:sysClr val="window" lastClr="FFFFFF">
              <a:lumMod val="85000"/>
            </a:sysClr>
          </a:solidFill>
          <a:prstDash val="dash"/>
        </a:ln>
        <a:effectLst/>
      </c:spPr>
    </c:plotArea>
    <c:legend>
      <c:legendPos val="r"/>
      <c:layout>
        <c:manualLayout>
          <c:xMode val="edge"/>
          <c:yMode val="edge"/>
          <c:x val="0.37326635170603678"/>
          <c:y val="0.15936778394503967"/>
          <c:w val="0.50588073490813645"/>
          <c:h val="0.12024439568004819"/>
        </c:manualLayout>
      </c:layout>
      <c:overlay val="0"/>
      <c:spPr>
        <a:solidFill>
          <a:sysClr val="window" lastClr="FFFFFF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onstantia" panose="02030602050306030303" pitchFamily="18" charset="0"/>
              <a:ea typeface="+mn-ea"/>
              <a:cs typeface="Calibri" panose="020F0502020204030204" pitchFamily="34" charset="0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>
          <a:latin typeface="Constantia" panose="02030602050306030303" pitchFamily="18" charset="0"/>
          <a:cs typeface="Calibri" panose="020F0502020204030204" pitchFamily="34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521431623931624"/>
          <c:y val="4.5920061728395065E-2"/>
          <c:w val="0.87213418803418807"/>
          <c:h val="0.8329070987654321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'G09'!$A$4</c:f>
              <c:strCache>
                <c:ptCount val="1"/>
                <c:pt idx="0">
                  <c:v> Október 2015</c:v>
                </c:pt>
              </c:strCache>
            </c:strRef>
          </c:tx>
          <c:spPr>
            <a:solidFill>
              <a:srgbClr val="DCB47B"/>
            </a:solidFill>
            <a:ln>
              <a:noFill/>
            </a:ln>
            <a:effectLst/>
          </c:spPr>
          <c:invertIfNegative val="0"/>
          <c:cat>
            <c:strRef>
              <c:f>'G09'!$B$2:$E$2</c:f>
              <c:strCache>
                <c:ptCount val="4"/>
                <c:pt idx="0">
                  <c:v>IFO</c:v>
                </c:pt>
                <c:pt idx="1">
                  <c:v>ZEW</c:v>
                </c:pt>
                <c:pt idx="2">
                  <c:v>DAX</c:v>
                </c:pt>
                <c:pt idx="3">
                  <c:v>Export (DE)</c:v>
                </c:pt>
              </c:strCache>
            </c:strRef>
          </c:cat>
          <c:val>
            <c:numRef>
              <c:f>'G09'!$B$4:$E$4</c:f>
              <c:numCache>
                <c:formatCode>0.000</c:formatCode>
                <c:ptCount val="4"/>
                <c:pt idx="0">
                  <c:v>-4.1334290866905876E-2</c:v>
                </c:pt>
                <c:pt idx="1">
                  <c:v>6.3256427667771564E-2</c:v>
                </c:pt>
                <c:pt idx="2">
                  <c:v>-0.12266735323556655</c:v>
                </c:pt>
                <c:pt idx="3">
                  <c:v>4.1816738027096512E-2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7C7-4721-AA4C-152405BAB65E}"/>
            </c:ext>
          </c:extLst>
        </c:ser>
        <c:ser>
          <c:idx val="0"/>
          <c:order val="1"/>
          <c:tx>
            <c:strRef>
              <c:f>'G09'!$A$3</c:f>
              <c:strCache>
                <c:ptCount val="1"/>
                <c:pt idx="0">
                  <c:v> Apríl 2016</c:v>
                </c:pt>
              </c:strCache>
            </c:strRef>
          </c:tx>
          <c:spPr>
            <a:solidFill>
              <a:schemeClr val="tx1">
                <a:lumMod val="50000"/>
                <a:lumOff val="50000"/>
              </a:schemeClr>
            </a:solidFill>
            <a:ln>
              <a:noFill/>
            </a:ln>
            <a:effectLst/>
          </c:spPr>
          <c:invertIfNegative val="0"/>
          <c:cat>
            <c:strRef>
              <c:f>'G09'!$B$2:$E$2</c:f>
              <c:strCache>
                <c:ptCount val="4"/>
                <c:pt idx="0">
                  <c:v>IFO</c:v>
                </c:pt>
                <c:pt idx="1">
                  <c:v>ZEW</c:v>
                </c:pt>
                <c:pt idx="2">
                  <c:v>DAX</c:v>
                </c:pt>
                <c:pt idx="3">
                  <c:v>Export (DE)</c:v>
                </c:pt>
              </c:strCache>
            </c:strRef>
          </c:cat>
          <c:val>
            <c:numRef>
              <c:f>'G09'!$B$3:$E$3</c:f>
              <c:numCache>
                <c:formatCode>0.000</c:formatCode>
                <c:ptCount val="4"/>
                <c:pt idx="0">
                  <c:v>-2.2780288375755298E-2</c:v>
                </c:pt>
                <c:pt idx="1">
                  <c:v>3.4196409014767171E-2</c:v>
                </c:pt>
                <c:pt idx="2">
                  <c:v>-6.3903317494953482E-2</c:v>
                </c:pt>
                <c:pt idx="3">
                  <c:v>2.1560169361527493E-2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7C7-4721-AA4C-152405BAB6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775496544"/>
        <c:axId val="1769173824"/>
      </c:barChart>
      <c:catAx>
        <c:axId val="1775496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1769173824"/>
        <c:crosses val="autoZero"/>
        <c:auto val="1"/>
        <c:lblAlgn val="ctr"/>
        <c:lblOffset val="100"/>
        <c:noMultiLvlLbl val="0"/>
      </c:catAx>
      <c:valAx>
        <c:axId val="1769173824"/>
        <c:scaling>
          <c:orientation val="minMax"/>
          <c:max val="0.1400000000000000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#,##0.0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1775496544"/>
        <c:crosses val="autoZero"/>
        <c:crossBetween val="between"/>
        <c:majorUnit val="2.0000000000000004E-2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54587414529914535"/>
          <c:y val="7.5507716049382778E-2"/>
          <c:w val="0.25700470085470084"/>
          <c:h val="0.15126851851851852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Constantia" panose="02030602050306030303" pitchFamily="18" charset="0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100">
          <a:solidFill>
            <a:sysClr val="windowText" lastClr="000000"/>
          </a:solidFill>
          <a:latin typeface="Constantia" panose="02030602050306030303" pitchFamily="18" charset="0"/>
        </a:defRPr>
      </a:pPr>
      <a:endParaRPr lang="sk-SK"/>
    </a:p>
  </c:txPr>
  <c:printSettings>
    <c:headerFooter/>
    <c:pageMargins b="0.75" l="0.7" r="0.7" t="0.75" header="0.3" footer="0.3"/>
    <c:pageSetup/>
  </c:printSettings>
  <c:userShapes r:id="rId3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338034188034184E-2"/>
          <c:y val="4.831111111111111E-2"/>
          <c:w val="0.88402094017094013"/>
          <c:h val="0.78622176132088895"/>
        </c:manualLayout>
      </c:layout>
      <c:areaChart>
        <c:grouping val="stacked"/>
        <c:varyColors val="0"/>
        <c:ser>
          <c:idx val="1"/>
          <c:order val="1"/>
          <c:tx>
            <c:strRef>
              <c:f>'G10,G11'!$A$4</c:f>
              <c:strCache>
                <c:ptCount val="1"/>
                <c:pt idx="0">
                  <c:v>Fiškálne scenáre návrhu rozpočtu (min)</c:v>
                </c:pt>
              </c:strCache>
            </c:strRef>
          </c:tx>
          <c:spPr>
            <a:solidFill>
              <a:schemeClr val="bg1">
                <a:alpha val="59000"/>
              </a:schemeClr>
            </a:solidFill>
            <a:ln>
              <a:noFill/>
            </a:ln>
            <a:effectLst/>
          </c:spPr>
          <c:cat>
            <c:strRef>
              <c:f>'G10,G11'!$B$2:$F$2</c:f>
              <c:strCache>
                <c:ptCount val="5"/>
                <c:pt idx="0">
                  <c:v>2015*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</c:strCache>
            </c:strRef>
          </c:cat>
          <c:val>
            <c:numRef>
              <c:f>'G10,G11'!$B$4:$F$4</c:f>
              <c:numCache>
                <c:formatCode>0.0</c:formatCode>
                <c:ptCount val="5"/>
                <c:pt idx="0">
                  <c:v>3.8</c:v>
                </c:pt>
                <c:pt idx="1">
                  <c:v>3.6</c:v>
                </c:pt>
                <c:pt idx="2">
                  <c:v>2.8130858680181632</c:v>
                </c:pt>
                <c:pt idx="3">
                  <c:v>3.9</c:v>
                </c:pt>
                <c:pt idx="4">
                  <c:v>4.5999999999999996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B21-45B6-98F1-91C458F53215}"/>
            </c:ext>
          </c:extLst>
        </c:ser>
        <c:ser>
          <c:idx val="2"/>
          <c:order val="2"/>
          <c:tx>
            <c:strRef>
              <c:f>'G10,G11'!$A$5</c:f>
              <c:strCache>
                <c:ptCount val="1"/>
                <c:pt idx="0">
                  <c:v>Fiškálne scenáre návrhu rozpočtu</c:v>
                </c:pt>
              </c:strCache>
            </c:strRef>
          </c:tx>
          <c:spPr>
            <a:solidFill>
              <a:srgbClr val="FF0000"/>
            </a:solidFill>
            <a:ln w="63500" cap="flat">
              <a:noFill/>
              <a:bevel/>
            </a:ln>
            <a:effectLst/>
          </c:spPr>
          <c:cat>
            <c:strRef>
              <c:f>'G10,G11'!$B$2:$F$2</c:f>
              <c:strCache>
                <c:ptCount val="5"/>
                <c:pt idx="0">
                  <c:v>2015*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</c:strCache>
            </c:strRef>
          </c:cat>
          <c:val>
            <c:numRef>
              <c:f>'G10,G11'!$B$5:$F$5</c:f>
              <c:numCache>
                <c:formatCode>0.0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0.386914131981837</c:v>
                </c:pt>
                <c:pt idx="3">
                  <c:v>0.34418461529761268</c:v>
                </c:pt>
                <c:pt idx="4">
                  <c:v>0.40639928953241089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B21-45B6-98F1-91C458F532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6654336"/>
        <c:axId val="796659328"/>
      </c:areaChart>
      <c:lineChart>
        <c:grouping val="standard"/>
        <c:varyColors val="0"/>
        <c:ser>
          <c:idx val="0"/>
          <c:order val="0"/>
          <c:tx>
            <c:strRef>
              <c:f>'G10,G11'!$A$3</c:f>
              <c:strCache>
                <c:ptCount val="1"/>
                <c:pt idx="0">
                  <c:v>Oficiálna prognóza VpMP</c:v>
                </c:pt>
              </c:strCache>
            </c:strRef>
          </c:tx>
          <c:spPr>
            <a:ln w="1905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strRef>
              <c:f>'G10,G11'!$B$2:$F$2</c:f>
              <c:strCache>
                <c:ptCount val="5"/>
                <c:pt idx="0">
                  <c:v>2015*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</c:strCache>
            </c:strRef>
          </c:cat>
          <c:val>
            <c:numRef>
              <c:f>'G10,G11'!$B$3:$F$3</c:f>
              <c:numCache>
                <c:formatCode>0.0</c:formatCode>
                <c:ptCount val="5"/>
                <c:pt idx="0">
                  <c:v>3.8</c:v>
                </c:pt>
                <c:pt idx="1">
                  <c:v>3.6</c:v>
                </c:pt>
                <c:pt idx="2">
                  <c:v>3.5</c:v>
                </c:pt>
                <c:pt idx="3">
                  <c:v>3.9</c:v>
                </c:pt>
                <c:pt idx="4">
                  <c:v>4.4000000000000004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B21-45B6-98F1-91C458F532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96654336"/>
        <c:axId val="796659328"/>
      </c:lineChart>
      <c:catAx>
        <c:axId val="7966543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50000"/>
                    <a:lumOff val="50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796659328"/>
        <c:crosses val="autoZero"/>
        <c:auto val="1"/>
        <c:lblAlgn val="ctr"/>
        <c:lblOffset val="100"/>
        <c:noMultiLvlLbl val="0"/>
      </c:catAx>
      <c:valAx>
        <c:axId val="796659328"/>
        <c:scaling>
          <c:orientation val="minMax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50000"/>
                    <a:lumOff val="50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7966543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ayout>
        <c:manualLayout>
          <c:xMode val="edge"/>
          <c:yMode val="edge"/>
          <c:x val="0.10965943806204552"/>
          <c:y val="0.60259498960014601"/>
          <c:w val="0.76606837055204158"/>
          <c:h val="0.1895054633662346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50000"/>
                  <a:lumOff val="50000"/>
                </a:schemeClr>
              </a:solidFill>
              <a:latin typeface="Constantia" panose="02030602050306030303" pitchFamily="18" charset="0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>
          <a:solidFill>
            <a:schemeClr val="tx1">
              <a:lumMod val="50000"/>
              <a:lumOff val="50000"/>
            </a:schemeClr>
          </a:solidFill>
          <a:latin typeface="Constantia" panose="02030602050306030303" pitchFamily="18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6765384615384614E-2"/>
          <c:y val="4.831111111111111E-2"/>
          <c:w val="0.8785935897435897"/>
          <c:h val="0.807862122617516"/>
        </c:manualLayout>
      </c:layout>
      <c:areaChart>
        <c:grouping val="stacked"/>
        <c:varyColors val="0"/>
        <c:ser>
          <c:idx val="1"/>
          <c:order val="1"/>
          <c:tx>
            <c:strRef>
              <c:f>'G10,G11'!$A$13</c:f>
              <c:strCache>
                <c:ptCount val="1"/>
                <c:pt idx="0">
                  <c:v>Fiškálne scenáre RRZ (min)</c:v>
                </c:pt>
              </c:strCache>
            </c:strRef>
          </c:tx>
          <c:spPr>
            <a:solidFill>
              <a:schemeClr val="bg1">
                <a:alpha val="54000"/>
              </a:schemeClr>
            </a:solidFill>
            <a:ln w="25400">
              <a:noFill/>
            </a:ln>
            <a:effectLst/>
          </c:spPr>
          <c:cat>
            <c:strRef>
              <c:f>'G10,G11'!$B$2:$F$2</c:f>
              <c:strCache>
                <c:ptCount val="5"/>
                <c:pt idx="0">
                  <c:v>2015*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</c:strCache>
            </c:strRef>
          </c:cat>
          <c:val>
            <c:numRef>
              <c:f>'G10,G11'!$B$13:$F$13</c:f>
              <c:numCache>
                <c:formatCode>0.0</c:formatCode>
                <c:ptCount val="5"/>
                <c:pt idx="0">
                  <c:v>3.8</c:v>
                </c:pt>
                <c:pt idx="1">
                  <c:v>3.6</c:v>
                </c:pt>
                <c:pt idx="2">
                  <c:v>3.6057931670834193</c:v>
                </c:pt>
                <c:pt idx="3">
                  <c:v>3.7390103328589674</c:v>
                </c:pt>
                <c:pt idx="4">
                  <c:v>4.4883463920065907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545-46F3-9F34-1FEB47E10ED0}"/>
            </c:ext>
          </c:extLst>
        </c:ser>
        <c:ser>
          <c:idx val="2"/>
          <c:order val="2"/>
          <c:tx>
            <c:strRef>
              <c:f>'G10,G11'!$A$14</c:f>
              <c:strCache>
                <c:ptCount val="1"/>
                <c:pt idx="0">
                  <c:v>Fiškálne scenáre RRZ</c:v>
                </c:pt>
              </c:strCache>
            </c:strRef>
          </c:tx>
          <c:spPr>
            <a:solidFill>
              <a:srgbClr val="00B0F0"/>
            </a:solidFill>
            <a:ln w="25400">
              <a:noFill/>
            </a:ln>
            <a:effectLst/>
          </c:spPr>
          <c:cat>
            <c:strRef>
              <c:f>'G10,G11'!$B$2:$F$2</c:f>
              <c:strCache>
                <c:ptCount val="5"/>
                <c:pt idx="0">
                  <c:v>2015*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</c:strCache>
            </c:strRef>
          </c:cat>
          <c:val>
            <c:numRef>
              <c:f>'G10,G11'!$B$14:$F$14</c:f>
              <c:numCache>
                <c:formatCode>0.0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0.19420683291658047</c:v>
                </c:pt>
                <c:pt idx="3">
                  <c:v>0.26098966714103256</c:v>
                </c:pt>
                <c:pt idx="4">
                  <c:v>0.21165360799340949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545-46F3-9F34-1FEB47E10E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6654336"/>
        <c:axId val="796659328"/>
      </c:areaChart>
      <c:lineChart>
        <c:grouping val="standard"/>
        <c:varyColors val="0"/>
        <c:ser>
          <c:idx val="0"/>
          <c:order val="0"/>
          <c:tx>
            <c:strRef>
              <c:f>'G10,G11'!$A$3</c:f>
              <c:strCache>
                <c:ptCount val="1"/>
                <c:pt idx="0">
                  <c:v>Oficiálna prognóza VpMP</c:v>
                </c:pt>
              </c:strCache>
            </c:strRef>
          </c:tx>
          <c:spPr>
            <a:ln w="1905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strRef>
              <c:f>'G10,G11'!$B$2:$F$2</c:f>
              <c:strCache>
                <c:ptCount val="5"/>
                <c:pt idx="0">
                  <c:v>2015*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</c:strCache>
            </c:strRef>
          </c:cat>
          <c:val>
            <c:numRef>
              <c:f>'G10,G11'!$B$3:$F$3</c:f>
              <c:numCache>
                <c:formatCode>0.0</c:formatCode>
                <c:ptCount val="5"/>
                <c:pt idx="0">
                  <c:v>3.8</c:v>
                </c:pt>
                <c:pt idx="1">
                  <c:v>3.6</c:v>
                </c:pt>
                <c:pt idx="2">
                  <c:v>3.5</c:v>
                </c:pt>
                <c:pt idx="3">
                  <c:v>3.9</c:v>
                </c:pt>
                <c:pt idx="4">
                  <c:v>4.4000000000000004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545-46F3-9F34-1FEB47E10E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96654336"/>
        <c:axId val="796659328"/>
      </c:lineChart>
      <c:catAx>
        <c:axId val="7966543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50000"/>
                    <a:lumOff val="50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796659328"/>
        <c:crosses val="autoZero"/>
        <c:auto val="1"/>
        <c:lblAlgn val="ctr"/>
        <c:lblOffset val="100"/>
        <c:noMultiLvlLbl val="0"/>
      </c:catAx>
      <c:valAx>
        <c:axId val="796659328"/>
        <c:scaling>
          <c:orientation val="minMax"/>
          <c:max val="5.5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50000"/>
                    <a:lumOff val="50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796654336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r"/>
      <c:legendEntry>
        <c:idx val="1"/>
        <c:delete val="1"/>
      </c:legendEntry>
      <c:layout>
        <c:manualLayout>
          <c:xMode val="edge"/>
          <c:yMode val="edge"/>
          <c:x val="0.12326495726495726"/>
          <c:y val="0.62681348054616348"/>
          <c:w val="0.67863675213675223"/>
          <c:h val="0.1765000000000000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50000"/>
                  <a:lumOff val="50000"/>
                </a:schemeClr>
              </a:solidFill>
              <a:latin typeface="Constantia" panose="02030602050306030303" pitchFamily="18" charset="0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>
          <a:solidFill>
            <a:schemeClr val="tx1">
              <a:lumMod val="50000"/>
              <a:lumOff val="50000"/>
            </a:schemeClr>
          </a:solidFill>
          <a:latin typeface="Constantia" panose="02030602050306030303" pitchFamily="18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2126709401709401"/>
          <c:y val="5.3889506172839517E-2"/>
          <c:w val="0.84577628205128208"/>
          <c:h val="0.8283765432098765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'G12'!$A$3</c:f>
              <c:strCache>
                <c:ptCount val="1"/>
                <c:pt idx="0">
                  <c:v>Spotreba domácností</c:v>
                </c:pt>
              </c:strCache>
            </c:strRef>
          </c:tx>
          <c:spPr>
            <a:solidFill>
              <a:srgbClr val="13B5EA"/>
            </a:solidFill>
            <a:ln>
              <a:noFill/>
            </a:ln>
            <a:effectLst/>
          </c:spPr>
          <c:invertIfNegative val="0"/>
          <c:cat>
            <c:numRef>
              <c:f>'G12'!$B$2:$L$2</c:f>
              <c:numCache>
                <c:formatCode>General</c:formatCode>
                <c:ptCount val="1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</c:numCache>
            </c:numRef>
          </c:cat>
          <c:val>
            <c:numRef>
              <c:f>'G12'!$B$3:$L$3</c:f>
              <c:numCache>
                <c:formatCode>0.0</c:formatCode>
                <c:ptCount val="11"/>
                <c:pt idx="0">
                  <c:v>2.8000000002066372E-2</c:v>
                </c:pt>
                <c:pt idx="1">
                  <c:v>7.8000000012252713E-2</c:v>
                </c:pt>
                <c:pt idx="2">
                  <c:v>1.8999999992956873E-2</c:v>
                </c:pt>
                <c:pt idx="3">
                  <c:v>4.0000000008149073E-3</c:v>
                </c:pt>
                <c:pt idx="4">
                  <c:v>-7.9999999943538569E-3</c:v>
                </c:pt>
                <c:pt idx="5">
                  <c:v>2.1000000015192199E-2</c:v>
                </c:pt>
                <c:pt idx="6">
                  <c:v>7.9999999652500264E-3</c:v>
                </c:pt>
                <c:pt idx="7">
                  <c:v>1.0999999998603016E-2</c:v>
                </c:pt>
                <c:pt idx="8">
                  <c:v>1.0059999999066349</c:v>
                </c:pt>
                <c:pt idx="9">
                  <c:v>-388.76000000000204</c:v>
                </c:pt>
                <c:pt idx="10">
                  <c:v>-485.77900000000227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BE-4684-A4CD-09FE22E3A4B6}"/>
            </c:ext>
          </c:extLst>
        </c:ser>
        <c:ser>
          <c:idx val="1"/>
          <c:order val="1"/>
          <c:tx>
            <c:strRef>
              <c:f>'G12'!$A$4</c:f>
              <c:strCache>
                <c:ptCount val="1"/>
                <c:pt idx="0">
                  <c:v>Investície</c:v>
                </c:pt>
              </c:strCache>
            </c:strRef>
          </c:tx>
          <c:spPr>
            <a:solidFill>
              <a:sysClr val="window" lastClr="FFFFFF">
                <a:lumMod val="50000"/>
              </a:sysClr>
            </a:solidFill>
            <a:ln>
              <a:noFill/>
            </a:ln>
            <a:effectLst/>
          </c:spPr>
          <c:invertIfNegative val="0"/>
          <c:cat>
            <c:numRef>
              <c:f>'G12'!$B$2:$L$2</c:f>
              <c:numCache>
                <c:formatCode>General</c:formatCode>
                <c:ptCount val="1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</c:numCache>
            </c:numRef>
          </c:cat>
          <c:val>
            <c:numRef>
              <c:f>'G12'!$B$4:$L$4</c:f>
              <c:numCache>
                <c:formatCode>0.0</c:formatCode>
                <c:ptCount val="11"/>
                <c:pt idx="0">
                  <c:v>-2.8000000000247383E-2</c:v>
                </c:pt>
                <c:pt idx="1">
                  <c:v>1.8999999998413841E-2</c:v>
                </c:pt>
                <c:pt idx="2">
                  <c:v>4.3999999987136107E-2</c:v>
                </c:pt>
                <c:pt idx="3">
                  <c:v>1.4999999999417923E-2</c:v>
                </c:pt>
                <c:pt idx="4">
                  <c:v>1.2000000000625732E-2</c:v>
                </c:pt>
                <c:pt idx="5">
                  <c:v>3.9999999989959178E-3</c:v>
                </c:pt>
                <c:pt idx="6">
                  <c:v>2.8000000002066372E-2</c:v>
                </c:pt>
                <c:pt idx="7">
                  <c:v>41.18199999999888</c:v>
                </c:pt>
                <c:pt idx="8">
                  <c:v>82.252000000000407</c:v>
                </c:pt>
                <c:pt idx="9">
                  <c:v>-270.62199999999939</c:v>
                </c:pt>
                <c:pt idx="10">
                  <c:v>139.23600000000079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6BE-4684-A4CD-09FE22E3A4B6}"/>
            </c:ext>
          </c:extLst>
        </c:ser>
        <c:ser>
          <c:idx val="2"/>
          <c:order val="2"/>
          <c:tx>
            <c:strRef>
              <c:f>'G12'!$A$5</c:f>
              <c:strCache>
                <c:ptCount val="1"/>
                <c:pt idx="0">
                  <c:v>Verejná správa</c:v>
                </c:pt>
              </c:strCache>
            </c:strRef>
          </c:tx>
          <c:spPr>
            <a:solidFill>
              <a:sysClr val="windowText" lastClr="000000"/>
            </a:solidFill>
            <a:ln>
              <a:noFill/>
            </a:ln>
            <a:effectLst/>
          </c:spPr>
          <c:invertIfNegative val="0"/>
          <c:cat>
            <c:numRef>
              <c:f>'G12'!$B$2:$L$2</c:f>
              <c:numCache>
                <c:formatCode>General</c:formatCode>
                <c:ptCount val="1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</c:numCache>
            </c:numRef>
          </c:cat>
          <c:val>
            <c:numRef>
              <c:f>'G12'!$B$5:$L$5</c:f>
              <c:numCache>
                <c:formatCode>0.0</c:formatCode>
                <c:ptCount val="11"/>
                <c:pt idx="0">
                  <c:v>164.43200000000797</c:v>
                </c:pt>
                <c:pt idx="1">
                  <c:v>165.57599999999729</c:v>
                </c:pt>
                <c:pt idx="2">
                  <c:v>169.39899999999943</c:v>
                </c:pt>
                <c:pt idx="3">
                  <c:v>169.10999999998967</c:v>
                </c:pt>
                <c:pt idx="4">
                  <c:v>204.52200000000084</c:v>
                </c:pt>
                <c:pt idx="5">
                  <c:v>190.19200000000092</c:v>
                </c:pt>
                <c:pt idx="6">
                  <c:v>183.65799999999945</c:v>
                </c:pt>
                <c:pt idx="7">
                  <c:v>242.33100000000013</c:v>
                </c:pt>
                <c:pt idx="8">
                  <c:v>251.46400000001086</c:v>
                </c:pt>
                <c:pt idx="9">
                  <c:v>179.21300000000156</c:v>
                </c:pt>
                <c:pt idx="10">
                  <c:v>454.40000000000146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6BE-4684-A4CD-09FE22E3A4B6}"/>
            </c:ext>
          </c:extLst>
        </c:ser>
        <c:ser>
          <c:idx val="3"/>
          <c:order val="3"/>
          <c:tx>
            <c:strRef>
              <c:f>'G12'!$A$6</c:f>
              <c:strCache>
                <c:ptCount val="1"/>
                <c:pt idx="0">
                  <c:v>Čistý export</c:v>
                </c:pt>
              </c:strCache>
            </c:strRef>
          </c:tx>
          <c:spPr>
            <a:pattFill prst="smConfetti">
              <a:fgClr>
                <a:sysClr val="windowText" lastClr="000000">
                  <a:lumMod val="95000"/>
                  <a:lumOff val="5000"/>
                </a:sysClr>
              </a:fgClr>
              <a:bgClr>
                <a:sysClr val="window" lastClr="FFFFFF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'G12'!$B$2:$L$2</c:f>
              <c:numCache>
                <c:formatCode>General</c:formatCode>
                <c:ptCount val="1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</c:numCache>
            </c:numRef>
          </c:cat>
          <c:val>
            <c:numRef>
              <c:f>'G12'!$B$6:$L$6</c:f>
              <c:numCache>
                <c:formatCode>0.0</c:formatCode>
                <c:ptCount val="11"/>
                <c:pt idx="0">
                  <c:v>2.9999999991559889E-2</c:v>
                </c:pt>
                <c:pt idx="1">
                  <c:v>3.0000000915606506E-3</c:v>
                </c:pt>
                <c:pt idx="2">
                  <c:v>7.9999999907158781E-2</c:v>
                </c:pt>
                <c:pt idx="3">
                  <c:v>-1.0000000096624717E-2</c:v>
                </c:pt>
                <c:pt idx="4">
                  <c:v>2.0000001022708602E-3</c:v>
                </c:pt>
                <c:pt idx="5">
                  <c:v>-9.9999999874853529E-3</c:v>
                </c:pt>
                <c:pt idx="6">
                  <c:v>-2.1000000007916242E-2</c:v>
                </c:pt>
                <c:pt idx="7">
                  <c:v>-7.2759576141834259E-12</c:v>
                </c:pt>
                <c:pt idx="8">
                  <c:v>8.5720000000001164</c:v>
                </c:pt>
                <c:pt idx="9">
                  <c:v>-37.571000000098138</c:v>
                </c:pt>
                <c:pt idx="10">
                  <c:v>24.661999999982072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6BE-4684-A4CD-09FE22E3A4B6}"/>
            </c:ext>
          </c:extLst>
        </c:ser>
        <c:ser>
          <c:idx val="5"/>
          <c:order val="4"/>
          <c:tx>
            <c:strRef>
              <c:f>'G12'!$A$7</c:f>
              <c:strCache>
                <c:ptCount val="1"/>
                <c:pt idx="0">
                  <c:v>Zmena stavu zásob</c:v>
                </c:pt>
              </c:strCache>
            </c:strRef>
          </c:tx>
          <c:spPr>
            <a:solidFill>
              <a:srgbClr val="DCB47B"/>
            </a:solidFill>
            <a:ln w="19050">
              <a:noFill/>
              <a:prstDash val="dash"/>
            </a:ln>
            <a:effectLst/>
          </c:spPr>
          <c:invertIfNegative val="0"/>
          <c:cat>
            <c:numRef>
              <c:f>'G12'!$B$2:$L$2</c:f>
              <c:numCache>
                <c:formatCode>General</c:formatCode>
                <c:ptCount val="1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</c:numCache>
            </c:numRef>
          </c:cat>
          <c:val>
            <c:numRef>
              <c:f>'G12'!$B$7:$L$7</c:f>
              <c:numCache>
                <c:formatCode>0.0</c:formatCode>
                <c:ptCount val="11"/>
                <c:pt idx="0">
                  <c:v>1.1000000029525836E-2</c:v>
                </c:pt>
                <c:pt idx="1">
                  <c:v>-4.6000000105777872E-2</c:v>
                </c:pt>
                <c:pt idx="2">
                  <c:v>-4.7000000075058779E-2</c:v>
                </c:pt>
                <c:pt idx="3">
                  <c:v>-6.400000009307405E-2</c:v>
                </c:pt>
                <c:pt idx="4">
                  <c:v>-9.0000003074237611E-3</c:v>
                </c:pt>
                <c:pt idx="5">
                  <c:v>-4.9000000108208042E-2</c:v>
                </c:pt>
                <c:pt idx="6">
                  <c:v>-5.0000001610897016E-3</c:v>
                </c:pt>
                <c:pt idx="7">
                  <c:v>5.2000000006955815E-2</c:v>
                </c:pt>
                <c:pt idx="8">
                  <c:v>-5.4569682106375694E-12</c:v>
                </c:pt>
                <c:pt idx="9">
                  <c:v>914.52200000009907</c:v>
                </c:pt>
                <c:pt idx="10">
                  <c:v>235.17599999999584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6BE-4684-A4CD-09FE22E3A4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67564968"/>
        <c:axId val="467555168"/>
      </c:barChart>
      <c:lineChart>
        <c:grouping val="standard"/>
        <c:varyColors val="0"/>
        <c:ser>
          <c:idx val="6"/>
          <c:order val="5"/>
          <c:tx>
            <c:strRef>
              <c:f>'G12'!$A$8</c:f>
              <c:strCache>
                <c:ptCount val="1"/>
                <c:pt idx="0">
                  <c:v>HDP</c:v>
                </c:pt>
              </c:strCache>
            </c:strRef>
          </c:tx>
          <c:spPr>
            <a:ln w="19050" cap="rnd">
              <a:solidFill>
                <a:sysClr val="windowText" lastClr="00000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'G12'!$B$2:$L$2</c:f>
              <c:numCache>
                <c:formatCode>General</c:formatCode>
                <c:ptCount val="1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</c:numCache>
            </c:numRef>
          </c:cat>
          <c:val>
            <c:numRef>
              <c:f>'G12'!$B$8:$L$8</c:f>
              <c:numCache>
                <c:formatCode>0.0</c:formatCode>
                <c:ptCount val="11"/>
                <c:pt idx="0">
                  <c:v>164.45999999999913</c:v>
                </c:pt>
                <c:pt idx="1">
                  <c:v>165.65200000000186</c:v>
                </c:pt>
                <c:pt idx="2">
                  <c:v>169.39400000000751</c:v>
                </c:pt>
                <c:pt idx="3">
                  <c:v>169.05399999990186</c:v>
                </c:pt>
                <c:pt idx="4">
                  <c:v>204.5949999998993</c:v>
                </c:pt>
                <c:pt idx="5">
                  <c:v>190.1579999999085</c:v>
                </c:pt>
                <c:pt idx="6">
                  <c:v>183.68399999989197</c:v>
                </c:pt>
                <c:pt idx="7">
                  <c:v>283.49700000000303</c:v>
                </c:pt>
                <c:pt idx="8">
                  <c:v>334.81199999988894</c:v>
                </c:pt>
                <c:pt idx="9">
                  <c:v>385.9429999999993</c:v>
                </c:pt>
                <c:pt idx="10">
                  <c:v>614.78699999999662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6BE-4684-A4CD-09FE22E3A4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7564968"/>
        <c:axId val="467555168"/>
      </c:lineChart>
      <c:catAx>
        <c:axId val="467564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467555168"/>
        <c:crosses val="autoZero"/>
        <c:auto val="1"/>
        <c:lblAlgn val="ctr"/>
        <c:lblOffset val="0"/>
        <c:noMultiLvlLbl val="0"/>
      </c:catAx>
      <c:valAx>
        <c:axId val="4675551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onstantia" panose="02030602050306030303" pitchFamily="18" charset="0"/>
                    <a:ea typeface="+mn-ea"/>
                    <a:cs typeface="+mn-cs"/>
                  </a:defRPr>
                </a:pPr>
                <a:r>
                  <a:rPr lang="sk-SK"/>
                  <a:t>mil. eur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onstantia" panose="02030602050306030303" pitchFamily="18" charset="0"/>
                  <a:ea typeface="+mn-ea"/>
                  <a:cs typeface="+mn-cs"/>
                </a:defRPr>
              </a:pPr>
              <a:endParaRPr lang="sk-SK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4675649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1397435897435898"/>
          <c:y val="6.5141975308641978E-2"/>
          <c:w val="0.75848290598290602"/>
          <c:h val="0.1788185185185185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onstantia" panose="02030602050306030303" pitchFamily="18" charset="0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100">
          <a:latin typeface="Constantia" panose="02030602050306030303" pitchFamily="18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9540075096246785E-2"/>
          <c:y val="5.6467532467532465E-2"/>
          <c:w val="0.85191843977249326"/>
          <c:h val="0.85557761801513932"/>
        </c:manualLayout>
      </c:layout>
      <c:areaChart>
        <c:grouping val="stacked"/>
        <c:varyColors val="0"/>
        <c:ser>
          <c:idx val="0"/>
          <c:order val="0"/>
          <c:tx>
            <c:strRef>
              <c:f>'G13'!$B$2</c:f>
              <c:strCache>
                <c:ptCount val="1"/>
                <c:pt idx="0">
                  <c:v>Min</c:v>
                </c:pt>
              </c:strCache>
            </c:strRef>
          </c:tx>
          <c:spPr>
            <a:solidFill>
              <a:schemeClr val="bg1">
                <a:alpha val="35000"/>
              </a:schemeClr>
            </a:solidFill>
            <a:ln w="25400">
              <a:noFill/>
            </a:ln>
          </c:spPr>
          <c:cat>
            <c:numRef>
              <c:f>'G13'!$A$3:$A$9</c:f>
              <c:numCache>
                <c:formatCode>General</c:formatCode>
                <c:ptCount val="7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</c:numCache>
            </c:numRef>
          </c:cat>
          <c:val>
            <c:numRef>
              <c:f>'G13'!$B$3:$B$9</c:f>
              <c:numCache>
                <c:formatCode>0.00</c:formatCode>
                <c:ptCount val="7"/>
                <c:pt idx="0">
                  <c:v>4.6574160675413943</c:v>
                </c:pt>
                <c:pt idx="1">
                  <c:v>2.457416067541391</c:v>
                </c:pt>
                <c:pt idx="2">
                  <c:v>1.3574160675413969</c:v>
                </c:pt>
                <c:pt idx="3">
                  <c:v>1.157416067541394</c:v>
                </c:pt>
                <c:pt idx="4">
                  <c:v>2.2574160675413881</c:v>
                </c:pt>
                <c:pt idx="5">
                  <c:v>3.457416067541391</c:v>
                </c:pt>
                <c:pt idx="6">
                  <c:v>3.3352116380105628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FA-4C25-B244-ED2440271069}"/>
            </c:ext>
          </c:extLst>
        </c:ser>
        <c:ser>
          <c:idx val="6"/>
          <c:order val="1"/>
          <c:tx>
            <c:strRef>
              <c:f>'G13'!$C$2</c:f>
              <c:strCache>
                <c:ptCount val="1"/>
                <c:pt idx="0">
                  <c:v>d80</c:v>
                </c:pt>
              </c:strCache>
            </c:strRef>
          </c:tx>
          <c:spPr>
            <a:solidFill>
              <a:srgbClr val="ECD8BA"/>
            </a:solidFill>
            <a:ln w="25400">
              <a:noFill/>
            </a:ln>
          </c:spPr>
          <c:cat>
            <c:numRef>
              <c:f>'G13'!$A$3:$A$9</c:f>
              <c:numCache>
                <c:formatCode>General</c:formatCode>
                <c:ptCount val="7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</c:numCache>
            </c:numRef>
          </c:cat>
          <c:val>
            <c:numRef>
              <c:f>'G13'!$C$3:$C$9</c:f>
              <c:numCache>
                <c:formatCode>0.00</c:formatCode>
                <c:ptCount val="7"/>
                <c:pt idx="0">
                  <c:v>0.11760202803125913</c:v>
                </c:pt>
                <c:pt idx="1">
                  <c:v>0.11760202803125913</c:v>
                </c:pt>
                <c:pt idx="2">
                  <c:v>0.11760202803125913</c:v>
                </c:pt>
                <c:pt idx="3">
                  <c:v>0.11760202803125913</c:v>
                </c:pt>
                <c:pt idx="4">
                  <c:v>0.11760202803125913</c:v>
                </c:pt>
                <c:pt idx="5">
                  <c:v>0.11760202803125913</c:v>
                </c:pt>
                <c:pt idx="6">
                  <c:v>8.2671275953586809E-2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5FA-4C25-B244-ED2440271069}"/>
            </c:ext>
          </c:extLst>
        </c:ser>
        <c:ser>
          <c:idx val="7"/>
          <c:order val="2"/>
          <c:tx>
            <c:strRef>
              <c:f>'G13'!$D$2</c:f>
              <c:strCache>
                <c:ptCount val="1"/>
                <c:pt idx="0">
                  <c:v>d60</c:v>
                </c:pt>
              </c:strCache>
            </c:strRef>
          </c:tx>
          <c:spPr>
            <a:solidFill>
              <a:srgbClr val="E5C99F"/>
            </a:solidFill>
            <a:ln w="25400">
              <a:noFill/>
            </a:ln>
          </c:spPr>
          <c:cat>
            <c:numRef>
              <c:f>'G13'!$A$3:$A$9</c:f>
              <c:numCache>
                <c:formatCode>General</c:formatCode>
                <c:ptCount val="7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</c:numCache>
            </c:numRef>
          </c:cat>
          <c:val>
            <c:numRef>
              <c:f>'G13'!$D$3:$D$9</c:f>
              <c:numCache>
                <c:formatCode>0.00</c:formatCode>
                <c:ptCount val="7"/>
                <c:pt idx="0">
                  <c:v>8.4799336158635608E-2</c:v>
                </c:pt>
                <c:pt idx="1">
                  <c:v>8.4799336158635608E-2</c:v>
                </c:pt>
                <c:pt idx="2">
                  <c:v>8.4799336158635608E-2</c:v>
                </c:pt>
                <c:pt idx="3">
                  <c:v>8.4799336158635608E-2</c:v>
                </c:pt>
                <c:pt idx="4">
                  <c:v>8.4799336158635608E-2</c:v>
                </c:pt>
                <c:pt idx="5">
                  <c:v>8.4799336158635608E-2</c:v>
                </c:pt>
                <c:pt idx="6">
                  <c:v>5.9611806340517534E-2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5FA-4C25-B244-ED2440271069}"/>
            </c:ext>
          </c:extLst>
        </c:ser>
        <c:ser>
          <c:idx val="8"/>
          <c:order val="3"/>
          <c:tx>
            <c:strRef>
              <c:f>'G13'!$E$2</c:f>
              <c:strCache>
                <c:ptCount val="1"/>
                <c:pt idx="0">
                  <c:v>d40</c:v>
                </c:pt>
              </c:strCache>
            </c:strRef>
          </c:tx>
          <c:spPr>
            <a:solidFill>
              <a:srgbClr val="DCB47B"/>
            </a:solidFill>
            <a:ln w="25400">
              <a:noFill/>
            </a:ln>
          </c:spPr>
          <c:cat>
            <c:numRef>
              <c:f>'G13'!$A$3:$A$9</c:f>
              <c:numCache>
                <c:formatCode>General</c:formatCode>
                <c:ptCount val="7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</c:numCache>
            </c:numRef>
          </c:cat>
          <c:val>
            <c:numRef>
              <c:f>'G13'!$E$3:$E$9</c:f>
              <c:numCache>
                <c:formatCode>0.00</c:formatCode>
                <c:ptCount val="7"/>
                <c:pt idx="0">
                  <c:v>7.2457906068033123E-2</c:v>
                </c:pt>
                <c:pt idx="1">
                  <c:v>7.2457906068033123E-2</c:v>
                </c:pt>
                <c:pt idx="2">
                  <c:v>7.2457906068033123E-2</c:v>
                </c:pt>
                <c:pt idx="3">
                  <c:v>7.2457906068033123E-2</c:v>
                </c:pt>
                <c:pt idx="4">
                  <c:v>7.2457906068033123E-2</c:v>
                </c:pt>
                <c:pt idx="5">
                  <c:v>7.2457906068033123E-2</c:v>
                </c:pt>
                <c:pt idx="6">
                  <c:v>5.0936090540693924E-2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5FA-4C25-B244-ED2440271069}"/>
            </c:ext>
          </c:extLst>
        </c:ser>
        <c:ser>
          <c:idx val="9"/>
          <c:order val="4"/>
          <c:tx>
            <c:strRef>
              <c:f>'G13'!$F$2</c:f>
              <c:strCache>
                <c:ptCount val="1"/>
                <c:pt idx="0">
                  <c:v>d20</c:v>
                </c:pt>
              </c:strCache>
            </c:strRef>
          </c:tx>
          <c:spPr>
            <a:solidFill>
              <a:srgbClr val="CB923D"/>
            </a:solidFill>
            <a:ln w="25400">
              <a:noFill/>
            </a:ln>
          </c:spPr>
          <c:cat>
            <c:numRef>
              <c:f>'G13'!$A$3:$A$9</c:f>
              <c:numCache>
                <c:formatCode>General</c:formatCode>
                <c:ptCount val="7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</c:numCache>
            </c:numRef>
          </c:cat>
          <c:val>
            <c:numRef>
              <c:f>'G13'!$F$3:$F$9</c:f>
              <c:numCache>
                <c:formatCode>0.00</c:formatCode>
                <c:ptCount val="7"/>
                <c:pt idx="0">
                  <c:v>6.772466220067816E-2</c:v>
                </c:pt>
                <c:pt idx="1">
                  <c:v>6.772466220067816E-2</c:v>
                </c:pt>
                <c:pt idx="2">
                  <c:v>6.772466220067816E-2</c:v>
                </c:pt>
                <c:pt idx="3">
                  <c:v>6.772466220067816E-2</c:v>
                </c:pt>
                <c:pt idx="4">
                  <c:v>6.772466220067816E-2</c:v>
                </c:pt>
                <c:pt idx="5">
                  <c:v>6.772466220067816E-2</c:v>
                </c:pt>
                <c:pt idx="6">
                  <c:v>4.7608738823513366E-2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5FA-4C25-B244-ED2440271069}"/>
            </c:ext>
          </c:extLst>
        </c:ser>
        <c:ser>
          <c:idx val="1"/>
          <c:order val="5"/>
          <c:tx>
            <c:strRef>
              <c:f>'G13'!$G$2</c:f>
              <c:strCache>
                <c:ptCount val="1"/>
                <c:pt idx="0">
                  <c:v>h20</c:v>
                </c:pt>
              </c:strCache>
            </c:strRef>
          </c:tx>
          <c:spPr>
            <a:solidFill>
              <a:srgbClr val="CB923D"/>
            </a:solidFill>
            <a:ln w="25400">
              <a:noFill/>
            </a:ln>
          </c:spPr>
          <c:cat>
            <c:numRef>
              <c:f>'G13'!$A$3:$A$9</c:f>
              <c:numCache>
                <c:formatCode>General</c:formatCode>
                <c:ptCount val="7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</c:numCache>
            </c:numRef>
          </c:cat>
          <c:val>
            <c:numRef>
              <c:f>'G13'!$G$3:$G$9</c:f>
              <c:numCache>
                <c:formatCode>0.00</c:formatCode>
                <c:ptCount val="7"/>
                <c:pt idx="0">
                  <c:v>6.772466220067816E-2</c:v>
                </c:pt>
                <c:pt idx="1">
                  <c:v>6.772466220067816E-2</c:v>
                </c:pt>
                <c:pt idx="2">
                  <c:v>6.772466220067816E-2</c:v>
                </c:pt>
                <c:pt idx="3">
                  <c:v>6.772466220067816E-2</c:v>
                </c:pt>
                <c:pt idx="4">
                  <c:v>6.772466220067816E-2</c:v>
                </c:pt>
                <c:pt idx="5">
                  <c:v>6.772466220067816E-2</c:v>
                </c:pt>
                <c:pt idx="6">
                  <c:v>4.7608738823513366E-2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5FA-4C25-B244-ED2440271069}"/>
            </c:ext>
          </c:extLst>
        </c:ser>
        <c:ser>
          <c:idx val="5"/>
          <c:order val="6"/>
          <c:tx>
            <c:strRef>
              <c:f>'G13'!$H$2</c:f>
              <c:strCache>
                <c:ptCount val="1"/>
                <c:pt idx="0">
                  <c:v>h40</c:v>
                </c:pt>
              </c:strCache>
            </c:strRef>
          </c:tx>
          <c:spPr>
            <a:solidFill>
              <a:srgbClr val="DCB47B"/>
            </a:solidFill>
            <a:ln w="25400">
              <a:noFill/>
            </a:ln>
          </c:spPr>
          <c:cat>
            <c:numRef>
              <c:f>'G13'!$A$3:$A$9</c:f>
              <c:numCache>
                <c:formatCode>General</c:formatCode>
                <c:ptCount val="7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</c:numCache>
            </c:numRef>
          </c:cat>
          <c:val>
            <c:numRef>
              <c:f>'G13'!$H$3:$H$9</c:f>
              <c:numCache>
                <c:formatCode>0.00</c:formatCode>
                <c:ptCount val="7"/>
                <c:pt idx="0">
                  <c:v>7.2457906068033123E-2</c:v>
                </c:pt>
                <c:pt idx="1">
                  <c:v>7.2457906068033123E-2</c:v>
                </c:pt>
                <c:pt idx="2">
                  <c:v>7.2457906068033123E-2</c:v>
                </c:pt>
                <c:pt idx="3">
                  <c:v>7.2457906068033123E-2</c:v>
                </c:pt>
                <c:pt idx="4">
                  <c:v>7.2457906068033123E-2</c:v>
                </c:pt>
                <c:pt idx="5">
                  <c:v>7.2457906068033123E-2</c:v>
                </c:pt>
                <c:pt idx="6">
                  <c:v>5.0936090540693924E-2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5FA-4C25-B244-ED2440271069}"/>
            </c:ext>
          </c:extLst>
        </c:ser>
        <c:ser>
          <c:idx val="2"/>
          <c:order val="7"/>
          <c:tx>
            <c:strRef>
              <c:f>'G13'!$I$2</c:f>
              <c:strCache>
                <c:ptCount val="1"/>
                <c:pt idx="0">
                  <c:v>h60</c:v>
                </c:pt>
              </c:strCache>
            </c:strRef>
          </c:tx>
          <c:spPr>
            <a:solidFill>
              <a:srgbClr val="E5C99F"/>
            </a:solidFill>
            <a:ln w="25400">
              <a:noFill/>
            </a:ln>
          </c:spPr>
          <c:cat>
            <c:numRef>
              <c:f>'G13'!$A$3:$A$9</c:f>
              <c:numCache>
                <c:formatCode>General</c:formatCode>
                <c:ptCount val="7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</c:numCache>
            </c:numRef>
          </c:cat>
          <c:val>
            <c:numRef>
              <c:f>'G13'!$I$3:$I$9</c:f>
              <c:numCache>
                <c:formatCode>0.00</c:formatCode>
                <c:ptCount val="7"/>
                <c:pt idx="0">
                  <c:v>8.4799336158635608E-2</c:v>
                </c:pt>
                <c:pt idx="1">
                  <c:v>8.4799336158635608E-2</c:v>
                </c:pt>
                <c:pt idx="2">
                  <c:v>8.4799336158635608E-2</c:v>
                </c:pt>
                <c:pt idx="3">
                  <c:v>8.4799336158635608E-2</c:v>
                </c:pt>
                <c:pt idx="4">
                  <c:v>8.4799336158635608E-2</c:v>
                </c:pt>
                <c:pt idx="5">
                  <c:v>8.4799336158635608E-2</c:v>
                </c:pt>
                <c:pt idx="6">
                  <c:v>5.9611806340517534E-2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5FA-4C25-B244-ED2440271069}"/>
            </c:ext>
          </c:extLst>
        </c:ser>
        <c:ser>
          <c:idx val="3"/>
          <c:order val="8"/>
          <c:tx>
            <c:strRef>
              <c:f>'G13'!$J$2</c:f>
              <c:strCache>
                <c:ptCount val="1"/>
                <c:pt idx="0">
                  <c:v>Max</c:v>
                </c:pt>
              </c:strCache>
            </c:strRef>
          </c:tx>
          <c:spPr>
            <a:solidFill>
              <a:srgbClr val="ECD8BA"/>
            </a:solidFill>
            <a:ln w="25400">
              <a:noFill/>
            </a:ln>
          </c:spPr>
          <c:cat>
            <c:numRef>
              <c:f>'G13'!$A$3:$A$9</c:f>
              <c:numCache>
                <c:formatCode>General</c:formatCode>
                <c:ptCount val="7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</c:numCache>
            </c:numRef>
          </c:cat>
          <c:val>
            <c:numRef>
              <c:f>'G13'!$J$3:$J$9</c:f>
              <c:numCache>
                <c:formatCode>0.00</c:formatCode>
                <c:ptCount val="7"/>
                <c:pt idx="0">
                  <c:v>0.11760202803125913</c:v>
                </c:pt>
                <c:pt idx="1">
                  <c:v>0.11760202803125913</c:v>
                </c:pt>
                <c:pt idx="2">
                  <c:v>0.11760202803125913</c:v>
                </c:pt>
                <c:pt idx="3">
                  <c:v>0.11760202803125913</c:v>
                </c:pt>
                <c:pt idx="4">
                  <c:v>0.11760202803125913</c:v>
                </c:pt>
                <c:pt idx="5">
                  <c:v>0.11760202803125913</c:v>
                </c:pt>
                <c:pt idx="6">
                  <c:v>8.2671275953586809E-2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C5FA-4C25-B244-ED24402710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6931920"/>
        <c:axId val="1"/>
      </c:areaChart>
      <c:lineChart>
        <c:grouping val="standard"/>
        <c:varyColors val="0"/>
        <c:ser>
          <c:idx val="4"/>
          <c:order val="9"/>
          <c:tx>
            <c:strRef>
              <c:f>'G13'!$K$2</c:f>
              <c:strCache>
                <c:ptCount val="1"/>
                <c:pt idx="0">
                  <c:v>Rast HDP v %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numRef>
              <c:f>'G13'!$A$3:$A$9</c:f>
              <c:numCache>
                <c:formatCode>General</c:formatCode>
                <c:ptCount val="7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</c:numCache>
            </c:numRef>
          </c:cat>
          <c:val>
            <c:numRef>
              <c:f>'G13'!$K$3:$K$9</c:f>
              <c:numCache>
                <c:formatCode>0.00</c:formatCode>
                <c:ptCount val="7"/>
                <c:pt idx="0">
                  <c:v>5</c:v>
                </c:pt>
                <c:pt idx="1">
                  <c:v>2.7999999999999972</c:v>
                </c:pt>
                <c:pt idx="2">
                  <c:v>1.7000000000000028</c:v>
                </c:pt>
                <c:pt idx="3">
                  <c:v>1.5</c:v>
                </c:pt>
                <c:pt idx="4">
                  <c:v>2.5999999999999943</c:v>
                </c:pt>
                <c:pt idx="5">
                  <c:v>3.7999999999999972</c:v>
                </c:pt>
                <c:pt idx="6">
                  <c:v>3.5760395496688746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5FA-4C25-B244-ED24402710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6931920"/>
        <c:axId val="1"/>
      </c:lineChart>
      <c:catAx>
        <c:axId val="846931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bg2">
                <a:lumMod val="7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/>
            </a:pPr>
            <a:endParaRPr lang="sk-SK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#,##0.0" sourceLinked="0"/>
        <c:majorTickMark val="none"/>
        <c:minorTickMark val="none"/>
        <c:tickLblPos val="nextTo"/>
        <c:spPr>
          <a:noFill/>
          <a:ln>
            <a:solidFill>
              <a:schemeClr val="tx1">
                <a:lumMod val="15000"/>
                <a:lumOff val="85000"/>
              </a:schemeClr>
            </a:solidFill>
          </a:ln>
          <a:effectLst/>
        </c:spPr>
        <c:txPr>
          <a:bodyPr rot="0" vert="horz"/>
          <a:lstStyle/>
          <a:p>
            <a:pPr>
              <a:defRPr/>
            </a:pPr>
            <a:endParaRPr lang="sk-SK"/>
          </a:p>
        </c:txPr>
        <c:crossAx val="846931920"/>
        <c:crosses val="autoZero"/>
        <c:crossBetween val="midCat"/>
        <c:majorUnit val="0.5"/>
      </c:valAx>
      <c:spPr>
        <a:noFill/>
        <a:ln w="25400">
          <a:noFill/>
        </a:ln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egendEntry>
        <c:idx val="8"/>
        <c:delete val="1"/>
      </c:legendEntry>
      <c:layout>
        <c:manualLayout>
          <c:xMode val="edge"/>
          <c:yMode val="edge"/>
          <c:x val="0.22642000053023675"/>
          <c:y val="6.8088401993229158E-2"/>
          <c:w val="0.54927606776425675"/>
          <c:h val="9.9865038609304277E-2"/>
        </c:manualLayout>
      </c:layout>
      <c:overlay val="1"/>
      <c:spPr>
        <a:noFill/>
        <a:ln w="25400">
          <a:noFill/>
        </a:ln>
      </c:sp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 b="0" i="0" u="none" strike="noStrike" baseline="0">
          <a:solidFill>
            <a:schemeClr val="tx1">
              <a:lumMod val="50000"/>
              <a:lumOff val="50000"/>
            </a:schemeClr>
          </a:solidFill>
          <a:latin typeface="Constantia"/>
          <a:ea typeface="Constantia"/>
          <a:cs typeface="Constantia"/>
        </a:defRPr>
      </a:pPr>
      <a:endParaRPr lang="sk-SK"/>
    </a:p>
  </c:txPr>
  <c:printSettings>
    <c:headerFooter/>
    <c:pageMargins b="0.75" l="0.7" r="0.7" t="0.75" header="0.3" footer="0.3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50690170940171"/>
          <c:y val="4.831111111111111E-2"/>
          <c:w val="0.8363425213675213"/>
          <c:h val="0.78150586419753088"/>
        </c:manualLayout>
      </c:layout>
      <c:scatterChart>
        <c:scatterStyle val="lineMarker"/>
        <c:varyColors val="0"/>
        <c:ser>
          <c:idx val="0"/>
          <c:order val="0"/>
          <c:tx>
            <c:strRef>
              <c:f>'G14'!$K$5</c:f>
              <c:strCache>
                <c:ptCount val="1"/>
                <c:pt idx="0">
                  <c:v>Chyba IMF v. VpMP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7"/>
            <c:spPr>
              <a:solidFill>
                <a:schemeClr val="tx1"/>
              </a:solidFill>
              <a:ln w="9525">
                <a:noFill/>
              </a:ln>
              <a:effectLst/>
            </c:spPr>
          </c:marker>
          <c:xVal>
            <c:numRef>
              <c:f>'G14'!$B$5:$J$5</c:f>
              <c:numCache>
                <c:formatCode>0.0</c:formatCode>
                <c:ptCount val="9"/>
                <c:pt idx="0">
                  <c:v>-0.71499999999999986</c:v>
                </c:pt>
                <c:pt idx="1">
                  <c:v>1.6270000000000002</c:v>
                </c:pt>
                <c:pt idx="2">
                  <c:v>4.4349999999999996</c:v>
                </c:pt>
                <c:pt idx="3">
                  <c:v>-1.706</c:v>
                </c:pt>
                <c:pt idx="4">
                  <c:v>0.2410000000000001</c:v>
                </c:pt>
                <c:pt idx="5">
                  <c:v>1.7410000000000001</c:v>
                </c:pt>
                <c:pt idx="6">
                  <c:v>0.43899999999999995</c:v>
                </c:pt>
                <c:pt idx="7">
                  <c:v>-0.1150000000000001</c:v>
                </c:pt>
                <c:pt idx="8">
                  <c:v>-0.68899999999999983</c:v>
                </c:pt>
              </c:numCache>
            </c:numRef>
          </c:xVal>
          <c:yVal>
            <c:numRef>
              <c:f>'G14'!$B$3:$J$3</c:f>
              <c:numCache>
                <c:formatCode>0.0</c:formatCode>
                <c:ptCount val="9"/>
                <c:pt idx="0">
                  <c:v>-3.5972804266267246</c:v>
                </c:pt>
                <c:pt idx="1">
                  <c:v>1.366134129176686</c:v>
                </c:pt>
                <c:pt idx="2">
                  <c:v>9.8902580570950871</c:v>
                </c:pt>
                <c:pt idx="3">
                  <c:v>-2.9273425602212968</c:v>
                </c:pt>
                <c:pt idx="4">
                  <c:v>0.59567134836723579</c:v>
                </c:pt>
                <c:pt idx="5">
                  <c:v>9.7992878036561093E-2</c:v>
                </c:pt>
                <c:pt idx="6">
                  <c:v>0.67530487766619851</c:v>
                </c:pt>
                <c:pt idx="7">
                  <c:v>-0.32193358746743961</c:v>
                </c:pt>
                <c:pt idx="8">
                  <c:v>-0.99493390031484275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0F4-4297-AA9A-4B873411DE5B}"/>
            </c:ext>
          </c:extLst>
        </c:ser>
        <c:ser>
          <c:idx val="1"/>
          <c:order val="1"/>
          <c:tx>
            <c:strRef>
              <c:f>'G14'!$K$6</c:f>
              <c:strCache>
                <c:ptCount val="1"/>
                <c:pt idx="0">
                  <c:v>Chyba OECD v. VpMP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7"/>
            <c:spPr>
              <a:solidFill>
                <a:srgbClr val="00B0F0"/>
              </a:solidFill>
              <a:ln w="6350">
                <a:noFill/>
              </a:ln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og"/>
            <c:dispRSqr val="0"/>
            <c:dispEq val="0"/>
          </c:trendline>
          <c:xVal>
            <c:numRef>
              <c:f>'G14'!$B$6:$J$6</c:f>
              <c:numCache>
                <c:formatCode>0.0</c:formatCode>
                <c:ptCount val="9"/>
                <c:pt idx="0">
                  <c:v>-0.57099999999999973</c:v>
                </c:pt>
                <c:pt idx="1">
                  <c:v>1.8408000000000002</c:v>
                </c:pt>
                <c:pt idx="2">
                  <c:v>5.6368999999999998</c:v>
                </c:pt>
                <c:pt idx="3">
                  <c:v>-2.0470800000000002</c:v>
                </c:pt>
                <c:pt idx="4">
                  <c:v>0.25100000000000011</c:v>
                </c:pt>
                <c:pt idx="5">
                  <c:v>2.6550000000000002</c:v>
                </c:pt>
                <c:pt idx="6">
                  <c:v>1.1819999999999999</c:v>
                </c:pt>
                <c:pt idx="7">
                  <c:v>-1.8000000000000016E-2</c:v>
                </c:pt>
                <c:pt idx="8">
                  <c:v>-0.37799999999999989</c:v>
                </c:pt>
              </c:numCache>
            </c:numRef>
          </c:xVal>
          <c:yVal>
            <c:numRef>
              <c:f>'G14'!$B$4:$J$4</c:f>
              <c:numCache>
                <c:formatCode>0.0</c:formatCode>
                <c:ptCount val="9"/>
                <c:pt idx="0">
                  <c:v>-3.5811718090948634</c:v>
                </c:pt>
                <c:pt idx="1">
                  <c:v>1.3662752756217031</c:v>
                </c:pt>
                <c:pt idx="2">
                  <c:v>11.790258057095087</c:v>
                </c:pt>
                <c:pt idx="3">
                  <c:v>-3.7273425602212966</c:v>
                </c:pt>
                <c:pt idx="4">
                  <c:v>1.0956713483672358</c:v>
                </c:pt>
                <c:pt idx="5">
                  <c:v>2.7979928780365615</c:v>
                </c:pt>
                <c:pt idx="6">
                  <c:v>1.1753048776661985</c:v>
                </c:pt>
                <c:pt idx="7">
                  <c:v>-0.1076431521559007</c:v>
                </c:pt>
                <c:pt idx="8">
                  <c:v>-0.58588844410296659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0F4-4297-AA9A-4B873411DE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59061632"/>
        <c:axId val="1"/>
      </c:scatterChart>
      <c:valAx>
        <c:axId val="559061632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chemeClr val="bg1">
                  <a:lumMod val="85000"/>
                </a:schemeClr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onstantia" panose="02030602050306030303" pitchFamily="18" charset="0"/>
                    <a:ea typeface="+mn-ea"/>
                    <a:cs typeface="+mn-cs"/>
                  </a:defRPr>
                </a:pPr>
                <a:r>
                  <a:rPr lang="sk-SK"/>
                  <a:t>Chyba prognózy</a:t>
                </a:r>
                <a:r>
                  <a:rPr lang="sk-SK" baseline="0"/>
                  <a:t> eurozóny (IMF, OECD) v p.p.</a:t>
                </a:r>
                <a:endParaRPr lang="sk-SK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50000"/>
                <a:lumOff val="50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333333"/>
                </a:solidFill>
                <a:latin typeface="Constantia"/>
                <a:ea typeface="Constantia"/>
                <a:cs typeface="Constantia"/>
              </a:defRPr>
            </a:pPr>
            <a:endParaRPr lang="sk-SK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chemeClr val="bg1">
                  <a:lumMod val="85000"/>
                </a:schemeClr>
              </a:solidFill>
              <a:prstDash val="dash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onstantia" panose="02030602050306030303" pitchFamily="18" charset="0"/>
                    <a:ea typeface="+mn-ea"/>
                    <a:cs typeface="+mn-cs"/>
                  </a:defRPr>
                </a:pPr>
                <a:r>
                  <a:rPr lang="sk-SK"/>
                  <a:t>Chyba prognózy VpMP v p.p.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65000"/>
                <a:lumOff val="3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559061632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legendEntry>
        <c:idx val="2"/>
        <c:delete val="1"/>
      </c:legendEntry>
      <c:layout>
        <c:manualLayout>
          <c:xMode val="edge"/>
          <c:yMode val="edge"/>
          <c:x val="0.57982904886380038"/>
          <c:y val="0.65182769800833718"/>
          <c:w val="0.36861106211010786"/>
          <c:h val="0.13927620812104369"/>
        </c:manualLayout>
      </c:layout>
      <c:overlay val="0"/>
      <c:spPr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onstantia" panose="02030602050306030303" pitchFamily="18" charset="0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>
          <a:latin typeface="Constantia" panose="02030602050306030303" pitchFamily="18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073182028716997"/>
          <c:y val="4.7790277777777779E-2"/>
          <c:w val="0.81167708581881814"/>
          <c:h val="0.85557761801513932"/>
        </c:manualLayout>
      </c:layout>
      <c:areaChart>
        <c:grouping val="stacked"/>
        <c:varyColors val="0"/>
        <c:ser>
          <c:idx val="0"/>
          <c:order val="0"/>
          <c:tx>
            <c:strRef>
              <c:f>'G15'!$B$2</c:f>
              <c:strCache>
                <c:ptCount val="1"/>
                <c:pt idx="0">
                  <c:v>Min</c:v>
                </c:pt>
              </c:strCache>
            </c:strRef>
          </c:tx>
          <c:spPr>
            <a:noFill/>
            <a:ln w="25400">
              <a:noFill/>
            </a:ln>
          </c:spPr>
          <c:cat>
            <c:numRef>
              <c:f>'G15'!$A$3:$A$11</c:f>
              <c:numCache>
                <c:formatCode>General</c:formatCode>
                <c:ptCount val="9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</c:numCache>
            </c:numRef>
          </c:cat>
          <c:val>
            <c:numRef>
              <c:f>'G15'!$B$3:$B$11</c:f>
              <c:numCache>
                <c:formatCode>0.00</c:formatCode>
                <c:ptCount val="9"/>
                <c:pt idx="2">
                  <c:v>1.4906461212620457</c:v>
                </c:pt>
                <c:pt idx="3">
                  <c:v>2.570769752269257</c:v>
                </c:pt>
                <c:pt idx="4">
                  <c:v>3.8311101923579116</c:v>
                </c:pt>
                <c:pt idx="5">
                  <c:v>2.7664035729350935</c:v>
                </c:pt>
                <c:pt idx="6">
                  <c:v>1.7109125913833634</c:v>
                </c:pt>
                <c:pt idx="7">
                  <c:v>1.8201352204933947</c:v>
                </c:pt>
                <c:pt idx="8">
                  <c:v>1.1596902262686384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7C-4D77-BD74-43B8EC3219C3}"/>
            </c:ext>
          </c:extLst>
        </c:ser>
        <c:ser>
          <c:idx val="6"/>
          <c:order val="1"/>
          <c:tx>
            <c:strRef>
              <c:f>'G15'!$C$2</c:f>
              <c:strCache>
                <c:ptCount val="1"/>
                <c:pt idx="0">
                  <c:v>d80</c:v>
                </c:pt>
              </c:strCache>
            </c:strRef>
          </c:tx>
          <c:spPr>
            <a:solidFill>
              <a:srgbClr val="9FE2F7"/>
            </a:solidFill>
          </c:spPr>
          <c:cat>
            <c:numRef>
              <c:f>'G15'!$A$3:$A$11</c:f>
              <c:numCache>
                <c:formatCode>General</c:formatCode>
                <c:ptCount val="9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</c:numCache>
            </c:numRef>
          </c:cat>
          <c:val>
            <c:numRef>
              <c:f>'G15'!$C$3:$C$11</c:f>
              <c:numCache>
                <c:formatCode>0.00</c:formatCode>
                <c:ptCount val="9"/>
                <c:pt idx="5">
                  <c:v>0.2779314025256181</c:v>
                </c:pt>
                <c:pt idx="6">
                  <c:v>0.62508638873991518</c:v>
                </c:pt>
                <c:pt idx="7">
                  <c:v>0.70484515885710541</c:v>
                </c:pt>
                <c:pt idx="8">
                  <c:v>1.1090673885937377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7C-4D77-BD74-43B8EC3219C3}"/>
            </c:ext>
          </c:extLst>
        </c:ser>
        <c:ser>
          <c:idx val="7"/>
          <c:order val="2"/>
          <c:tx>
            <c:strRef>
              <c:f>'G15'!$D$2</c:f>
              <c:strCache>
                <c:ptCount val="1"/>
                <c:pt idx="0">
                  <c:v>d60</c:v>
                </c:pt>
              </c:strCache>
            </c:strRef>
          </c:tx>
          <c:spPr>
            <a:solidFill>
              <a:srgbClr val="64D0F2"/>
            </a:solidFill>
          </c:spPr>
          <c:cat>
            <c:numRef>
              <c:f>'G15'!$A$3:$A$11</c:f>
              <c:numCache>
                <c:formatCode>General</c:formatCode>
                <c:ptCount val="9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</c:numCache>
            </c:numRef>
          </c:cat>
          <c:val>
            <c:numRef>
              <c:f>'G15'!$D$3:$D$11</c:f>
              <c:numCache>
                <c:formatCode>0.00</c:formatCode>
                <c:ptCount val="9"/>
                <c:pt idx="5">
                  <c:v>0.20040809522048675</c:v>
                </c:pt>
                <c:pt idx="6">
                  <c:v>0.45073126453953805</c:v>
                </c:pt>
                <c:pt idx="7">
                  <c:v>0.50824294926124347</c:v>
                </c:pt>
                <c:pt idx="8">
                  <c:v>0.79971561615367803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17C-4D77-BD74-43B8EC3219C3}"/>
            </c:ext>
          </c:extLst>
        </c:ser>
        <c:ser>
          <c:idx val="8"/>
          <c:order val="3"/>
          <c:tx>
            <c:strRef>
              <c:f>'G15'!$E$2</c:f>
              <c:strCache>
                <c:ptCount val="1"/>
                <c:pt idx="0">
                  <c:v>d40</c:v>
                </c:pt>
              </c:strCache>
            </c:strRef>
          </c:tx>
          <c:spPr>
            <a:solidFill>
              <a:srgbClr val="13B5EA"/>
            </a:solidFill>
          </c:spPr>
          <c:cat>
            <c:numRef>
              <c:f>'G15'!$A$3:$A$11</c:f>
              <c:numCache>
                <c:formatCode>General</c:formatCode>
                <c:ptCount val="9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</c:numCache>
            </c:numRef>
          </c:cat>
          <c:val>
            <c:numRef>
              <c:f>'G15'!$E$3:$E$11</c:f>
              <c:numCache>
                <c:formatCode>0.00</c:formatCode>
                <c:ptCount val="9"/>
                <c:pt idx="5">
                  <c:v>0.17124132801693764</c:v>
                </c:pt>
                <c:pt idx="6">
                  <c:v>0.38513324640697433</c:v>
                </c:pt>
                <c:pt idx="7">
                  <c:v>0.43427486045904734</c:v>
                </c:pt>
                <c:pt idx="8">
                  <c:v>0.68332750728145308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17C-4D77-BD74-43B8EC3219C3}"/>
            </c:ext>
          </c:extLst>
        </c:ser>
        <c:ser>
          <c:idx val="9"/>
          <c:order val="4"/>
          <c:tx>
            <c:strRef>
              <c:f>'G15'!$F$2</c:f>
              <c:strCache>
                <c:ptCount val="1"/>
                <c:pt idx="0">
                  <c:v>d20</c:v>
                </c:pt>
              </c:strCache>
            </c:strRef>
          </c:tx>
          <c:spPr>
            <a:solidFill>
              <a:srgbClr val="009DDC"/>
            </a:solidFill>
          </c:spPr>
          <c:cat>
            <c:numRef>
              <c:f>'G15'!$A$3:$A$11</c:f>
              <c:numCache>
                <c:formatCode>General</c:formatCode>
                <c:ptCount val="9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</c:numCache>
            </c:numRef>
          </c:cat>
          <c:val>
            <c:numRef>
              <c:f>'G15'!$F$3:$F$11</c:f>
              <c:numCache>
                <c:formatCode>0.00</c:formatCode>
                <c:ptCount val="9"/>
                <c:pt idx="5">
                  <c:v>0.16005515097073836</c:v>
                </c:pt>
                <c:pt idx="6">
                  <c:v>0.35997478302329999</c:v>
                </c:pt>
                <c:pt idx="7">
                  <c:v>0.4059062678297734</c:v>
                </c:pt>
                <c:pt idx="8">
                  <c:v>0.63868978713814584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17C-4D77-BD74-43B8EC3219C3}"/>
            </c:ext>
          </c:extLst>
        </c:ser>
        <c:ser>
          <c:idx val="1"/>
          <c:order val="5"/>
          <c:tx>
            <c:strRef>
              <c:f>'G15'!$G$2</c:f>
              <c:strCache>
                <c:ptCount val="1"/>
                <c:pt idx="0">
                  <c:v>h20</c:v>
                </c:pt>
              </c:strCache>
            </c:strRef>
          </c:tx>
          <c:spPr>
            <a:solidFill>
              <a:srgbClr val="009DDC"/>
            </a:solidFill>
          </c:spPr>
          <c:cat>
            <c:numRef>
              <c:f>'G15'!$A$3:$A$11</c:f>
              <c:numCache>
                <c:formatCode>General</c:formatCode>
                <c:ptCount val="9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</c:numCache>
            </c:numRef>
          </c:cat>
          <c:val>
            <c:numRef>
              <c:f>'G15'!$G$3:$G$11</c:f>
              <c:numCache>
                <c:formatCode>0.00</c:formatCode>
                <c:ptCount val="9"/>
                <c:pt idx="5">
                  <c:v>0.16005515097073836</c:v>
                </c:pt>
                <c:pt idx="6">
                  <c:v>0.35997478302329999</c:v>
                </c:pt>
                <c:pt idx="7">
                  <c:v>0.4059062678297734</c:v>
                </c:pt>
                <c:pt idx="8">
                  <c:v>0.63868978713814584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17C-4D77-BD74-43B8EC3219C3}"/>
            </c:ext>
          </c:extLst>
        </c:ser>
        <c:ser>
          <c:idx val="5"/>
          <c:order val="6"/>
          <c:tx>
            <c:strRef>
              <c:f>'G15'!$H$2</c:f>
              <c:strCache>
                <c:ptCount val="1"/>
                <c:pt idx="0">
                  <c:v>h40</c:v>
                </c:pt>
              </c:strCache>
            </c:strRef>
          </c:tx>
          <c:spPr>
            <a:solidFill>
              <a:srgbClr val="13B5EA"/>
            </a:solidFill>
          </c:spPr>
          <c:cat>
            <c:numRef>
              <c:f>'G15'!$A$3:$A$11</c:f>
              <c:numCache>
                <c:formatCode>General</c:formatCode>
                <c:ptCount val="9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</c:numCache>
            </c:numRef>
          </c:cat>
          <c:val>
            <c:numRef>
              <c:f>'G15'!$H$3:$H$11</c:f>
              <c:numCache>
                <c:formatCode>0.00</c:formatCode>
                <c:ptCount val="9"/>
                <c:pt idx="5">
                  <c:v>0.17124132801693764</c:v>
                </c:pt>
                <c:pt idx="6">
                  <c:v>0.38513324640697433</c:v>
                </c:pt>
                <c:pt idx="7">
                  <c:v>0.43427486045904734</c:v>
                </c:pt>
                <c:pt idx="8">
                  <c:v>0.68332750728145308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17C-4D77-BD74-43B8EC3219C3}"/>
            </c:ext>
          </c:extLst>
        </c:ser>
        <c:ser>
          <c:idx val="2"/>
          <c:order val="7"/>
          <c:tx>
            <c:strRef>
              <c:f>'G15'!$I$2</c:f>
              <c:strCache>
                <c:ptCount val="1"/>
                <c:pt idx="0">
                  <c:v>h60</c:v>
                </c:pt>
              </c:strCache>
            </c:strRef>
          </c:tx>
          <c:spPr>
            <a:solidFill>
              <a:srgbClr val="64D0F2"/>
            </a:solidFill>
          </c:spPr>
          <c:cat>
            <c:numRef>
              <c:f>'G15'!$A$3:$A$11</c:f>
              <c:numCache>
                <c:formatCode>General</c:formatCode>
                <c:ptCount val="9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</c:numCache>
            </c:numRef>
          </c:cat>
          <c:val>
            <c:numRef>
              <c:f>'G15'!$I$3:$I$11</c:f>
              <c:numCache>
                <c:formatCode>0.00</c:formatCode>
                <c:ptCount val="9"/>
                <c:pt idx="5">
                  <c:v>0.20040809522048675</c:v>
                </c:pt>
                <c:pt idx="6">
                  <c:v>0.45073126453953805</c:v>
                </c:pt>
                <c:pt idx="7">
                  <c:v>0.50824294926124347</c:v>
                </c:pt>
                <c:pt idx="8">
                  <c:v>0.79971561615367803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17C-4D77-BD74-43B8EC3219C3}"/>
            </c:ext>
          </c:extLst>
        </c:ser>
        <c:ser>
          <c:idx val="3"/>
          <c:order val="8"/>
          <c:tx>
            <c:strRef>
              <c:f>'G15'!$J$2</c:f>
              <c:strCache>
                <c:ptCount val="1"/>
                <c:pt idx="0">
                  <c:v>Max</c:v>
                </c:pt>
              </c:strCache>
            </c:strRef>
          </c:tx>
          <c:spPr>
            <a:solidFill>
              <a:srgbClr val="9FE2F7"/>
            </a:solidFill>
          </c:spPr>
          <c:cat>
            <c:numRef>
              <c:f>'G15'!$A$3:$A$11</c:f>
              <c:numCache>
                <c:formatCode>General</c:formatCode>
                <c:ptCount val="9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</c:numCache>
            </c:numRef>
          </c:cat>
          <c:val>
            <c:numRef>
              <c:f>'G15'!$J$3:$J$11</c:f>
              <c:numCache>
                <c:formatCode>0.00</c:formatCode>
                <c:ptCount val="9"/>
                <c:pt idx="5">
                  <c:v>0.2779314025256181</c:v>
                </c:pt>
                <c:pt idx="6">
                  <c:v>0.62508638873991518</c:v>
                </c:pt>
                <c:pt idx="7">
                  <c:v>0.70484515885710541</c:v>
                </c:pt>
                <c:pt idx="8">
                  <c:v>1.1090673885937377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17C-4D77-BD74-43B8EC3219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44242592"/>
        <c:axId val="244243152"/>
      </c:areaChart>
      <c:lineChart>
        <c:grouping val="standard"/>
        <c:varyColors val="0"/>
        <c:ser>
          <c:idx val="4"/>
          <c:order val="9"/>
          <c:tx>
            <c:strRef>
              <c:f>'G15'!$K$2</c:f>
              <c:strCache>
                <c:ptCount val="1"/>
                <c:pt idx="0">
                  <c:v>Prognóza VpMP (september 2016)</c:v>
                </c:pt>
              </c:strCache>
            </c:strRef>
          </c:tx>
          <c:spPr>
            <a:ln>
              <a:solidFill>
                <a:sysClr val="windowText" lastClr="000000"/>
              </a:solidFill>
            </a:ln>
          </c:spPr>
          <c:marker>
            <c:symbol val="none"/>
          </c:marker>
          <c:cat>
            <c:numRef>
              <c:f>'G15'!$A$3:$A$11</c:f>
              <c:numCache>
                <c:formatCode>General</c:formatCode>
                <c:ptCount val="9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</c:numCache>
            </c:numRef>
          </c:cat>
          <c:val>
            <c:numRef>
              <c:f>'G15'!$K$3:$K$11</c:f>
              <c:numCache>
                <c:formatCode>0.00</c:formatCode>
                <c:ptCount val="9"/>
                <c:pt idx="0">
                  <c:v>2.8191419307962633</c:v>
                </c:pt>
                <c:pt idx="1">
                  <c:v>1.6571102898000163</c:v>
                </c:pt>
                <c:pt idx="2">
                  <c:v>1.4906461212620457</c:v>
                </c:pt>
                <c:pt idx="3">
                  <c:v>2.570769752269257</c:v>
                </c:pt>
                <c:pt idx="4">
                  <c:v>3.8311101923579116</c:v>
                </c:pt>
                <c:pt idx="5">
                  <c:v>3.5760395496688746</c:v>
                </c:pt>
                <c:pt idx="6">
                  <c:v>3.5318382740930909</c:v>
                </c:pt>
                <c:pt idx="7">
                  <c:v>3.8734044569005643</c:v>
                </c:pt>
                <c:pt idx="8">
                  <c:v>4.390490525435653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E17C-4D77-BD74-43B8EC3219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4242592"/>
        <c:axId val="244243152"/>
      </c:lineChart>
      <c:catAx>
        <c:axId val="2442425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bg2">
                <a:lumMod val="7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/>
            </a:pPr>
            <a:endParaRPr lang="sk-SK"/>
          </a:p>
        </c:txPr>
        <c:crossAx val="244243152"/>
        <c:crosses val="autoZero"/>
        <c:auto val="1"/>
        <c:lblAlgn val="ctr"/>
        <c:lblOffset val="100"/>
        <c:noMultiLvlLbl val="0"/>
      </c:catAx>
      <c:valAx>
        <c:axId val="244243152"/>
        <c:scaling>
          <c:orientation val="minMax"/>
          <c:max val="10"/>
          <c:min val="-6"/>
        </c:scaling>
        <c:delete val="0"/>
        <c:axPos val="l"/>
        <c:majorGridlines>
          <c:spPr>
            <a:ln w="9525" cap="flat" cmpd="sng" algn="ctr">
              <a:solidFill>
                <a:sysClr val="windowText" lastClr="000000">
                  <a:lumMod val="15000"/>
                  <a:lumOff val="85000"/>
                </a:sysClr>
              </a:solidFill>
              <a:prstDash val="dash"/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sk-SK"/>
                  <a:t>rast HDP v %</a:t>
                </a:r>
                <a:endParaRPr lang="en-GB"/>
              </a:p>
            </c:rich>
          </c:tx>
          <c:layout>
            <c:manualLayout>
              <c:xMode val="edge"/>
              <c:yMode val="edge"/>
              <c:x val="6.4986111111111113E-3"/>
              <c:y val="0.30953229166666668"/>
            </c:manualLayout>
          </c:layout>
          <c:overlay val="0"/>
        </c:title>
        <c:numFmt formatCode="#,##0.0" sourceLinked="0"/>
        <c:majorTickMark val="none"/>
        <c:minorTickMark val="none"/>
        <c:tickLblPos val="nextTo"/>
        <c:spPr>
          <a:noFill/>
          <a:ln>
            <a:solidFill>
              <a:schemeClr val="tx1">
                <a:lumMod val="15000"/>
                <a:lumOff val="85000"/>
              </a:schemeClr>
            </a:solidFill>
          </a:ln>
          <a:effectLst/>
        </c:spPr>
        <c:txPr>
          <a:bodyPr rot="0" vert="horz"/>
          <a:lstStyle/>
          <a:p>
            <a:pPr>
              <a:defRPr/>
            </a:pPr>
            <a:endParaRPr lang="sk-SK"/>
          </a:p>
        </c:txPr>
        <c:crossAx val="244242592"/>
        <c:crosses val="autoZero"/>
        <c:crossBetween val="midCat"/>
      </c:valAx>
      <c:spPr>
        <a:noFill/>
        <a:ln w="25400">
          <a:noFill/>
        </a:ln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egendEntry>
        <c:idx val="8"/>
        <c:delete val="1"/>
      </c:legendEntry>
      <c:layout>
        <c:manualLayout>
          <c:xMode val="edge"/>
          <c:yMode val="edge"/>
          <c:x val="0.17574650043744533"/>
          <c:y val="0.68020596383785359"/>
          <c:w val="0.65417546296296292"/>
          <c:h val="8.5088541666666656E-2"/>
        </c:manualLayout>
      </c:layout>
      <c:overlay val="1"/>
      <c:spPr>
        <a:noFill/>
        <a:ln w="25400">
          <a:noFill/>
        </a:ln>
      </c:sp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100" b="0" i="0" u="none" strike="noStrike" baseline="0">
          <a:solidFill>
            <a:schemeClr val="tx1">
              <a:lumMod val="50000"/>
              <a:lumOff val="50000"/>
            </a:schemeClr>
          </a:solidFill>
          <a:latin typeface="Constantia"/>
          <a:ea typeface="Constantia"/>
          <a:cs typeface="Constantia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535185185185179E-2"/>
          <c:y val="3.7629629629629631E-2"/>
          <c:w val="0.90776574074074068"/>
          <c:h val="0.79739555555555552"/>
        </c:manualLayout>
      </c:layout>
      <c:barChart>
        <c:barDir val="col"/>
        <c:grouping val="stacked"/>
        <c:varyColors val="0"/>
        <c:ser>
          <c:idx val="0"/>
          <c:order val="0"/>
          <c:tx>
            <c:v>bez novej legisl.</c:v>
          </c:tx>
          <c:spPr>
            <a:solidFill>
              <a:srgbClr val="13B5EA"/>
            </a:solidFill>
            <a:ln>
              <a:solidFill>
                <a:srgbClr val="13B5EA"/>
              </a:solidFill>
            </a:ln>
            <a:effectLst/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B40-4C87-9F66-F9C7CFDA27A0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B40-4C87-9F66-F9C7CFDA27A0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B40-4C87-9F66-F9C7CFDA27A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B40-4C87-9F66-F9C7CFDA27A0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B40-4C87-9F66-F9C7CFDA27A0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B40-4C87-9F66-F9C7CFDA27A0}"/>
                </c:ext>
              </c:extLst>
            </c:dLbl>
            <c:dLbl>
              <c:idx val="6"/>
              <c:numFmt formatCode="0.0%" sourceLinked="0"/>
              <c:spPr>
                <a:solidFill>
                  <a:srgbClr val="13B5EA"/>
                </a:solidFill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1" i="0" u="none" strike="noStrike" kern="1200" baseline="0">
                      <a:solidFill>
                        <a:schemeClr val="bg1"/>
                      </a:solidFill>
                      <a:latin typeface="Constantia" panose="02030602050306030303" pitchFamily="18" charset="0"/>
                      <a:ea typeface="+mn-ea"/>
                      <a:cs typeface="+mn-cs"/>
                    </a:defRPr>
                  </a:pPr>
                  <a:endParaRPr lang="sk-SK"/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6-BB40-4C87-9F66-F9C7CFDA27A0}"/>
                </c:ext>
              </c:extLst>
            </c:dLbl>
            <c:dLbl>
              <c:idx val="7"/>
              <c:numFmt formatCode="0.0%" sourceLinked="0"/>
              <c:spPr>
                <a:solidFill>
                  <a:srgbClr val="13B5EA"/>
                </a:solidFill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1" i="0" u="none" strike="noStrike" kern="1200" baseline="0">
                      <a:solidFill>
                        <a:schemeClr val="bg1"/>
                      </a:solidFill>
                      <a:latin typeface="Constantia" panose="02030602050306030303" pitchFamily="18" charset="0"/>
                      <a:ea typeface="+mn-ea"/>
                      <a:cs typeface="+mn-cs"/>
                    </a:defRPr>
                  </a:pPr>
                  <a:endParaRPr lang="sk-SK"/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7-BB40-4C87-9F66-F9C7CFDA27A0}"/>
                </c:ext>
              </c:extLst>
            </c:dLbl>
            <c:dLbl>
              <c:idx val="8"/>
              <c:numFmt formatCode="0.0%" sourceLinked="0"/>
              <c:spPr>
                <a:solidFill>
                  <a:srgbClr val="13B5EA"/>
                </a:solidFill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1" i="0" u="none" strike="noStrike" kern="1200" baseline="0">
                      <a:solidFill>
                        <a:schemeClr val="bg1"/>
                      </a:solidFill>
                      <a:latin typeface="Constantia" panose="02030602050306030303" pitchFamily="18" charset="0"/>
                      <a:ea typeface="+mn-ea"/>
                      <a:cs typeface="+mn-cs"/>
                    </a:defRPr>
                  </a:pPr>
                  <a:endParaRPr lang="sk-SK"/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8-BB40-4C87-9F66-F9C7CFDA27A0}"/>
                </c:ext>
              </c:extLst>
            </c:dLbl>
            <c:numFmt formatCode="0.0%" sourceLinked="0"/>
            <c:spPr>
              <a:solidFill>
                <a:srgbClr val="13B5EA"/>
              </a:solidFill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Constantia" panose="02030602050306030303" pitchFamily="18" charset="0"/>
                    <a:ea typeface="+mn-ea"/>
                    <a:cs typeface="+mn-cs"/>
                  </a:defRPr>
                </a:pPr>
                <a:endParaRPr lang="sk-SK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'G16'!$B$2:$J$2</c:f>
              <c:strCache>
                <c:ptCount val="9"/>
                <c:pt idx="0">
                  <c:v>2011 S</c:v>
                </c:pt>
                <c:pt idx="1">
                  <c:v>2012 S</c:v>
                </c:pt>
                <c:pt idx="2">
                  <c:v>2013 S</c:v>
                </c:pt>
                <c:pt idx="3">
                  <c:v>2014 S</c:v>
                </c:pt>
                <c:pt idx="4">
                  <c:v>2015 S</c:v>
                </c:pt>
                <c:pt idx="5">
                  <c:v>2016 O</c:v>
                </c:pt>
                <c:pt idx="6">
                  <c:v>2017 O</c:v>
                </c:pt>
                <c:pt idx="7">
                  <c:v>2018 O</c:v>
                </c:pt>
                <c:pt idx="8">
                  <c:v>2019 O</c:v>
                </c:pt>
              </c:strCache>
            </c:strRef>
          </c:cat>
          <c:val>
            <c:numRef>
              <c:f>'G16'!$B$5:$J$5</c:f>
              <c:numCache>
                <c:formatCode>0.00%</c:formatCode>
                <c:ptCount val="9"/>
                <c:pt idx="0">
                  <c:v>0.26567321630420015</c:v>
                </c:pt>
                <c:pt idx="1">
                  <c:v>0.26102708421424009</c:v>
                </c:pt>
                <c:pt idx="2">
                  <c:v>0.28106339004313069</c:v>
                </c:pt>
                <c:pt idx="3">
                  <c:v>0.29288545582476594</c:v>
                </c:pt>
                <c:pt idx="4">
                  <c:v>0.30339130322930746</c:v>
                </c:pt>
                <c:pt idx="5">
                  <c:v>0.30768939297371783</c:v>
                </c:pt>
                <c:pt idx="6">
                  <c:v>0.30670500865250649</c:v>
                </c:pt>
                <c:pt idx="7">
                  <c:v>0.30474136561066839</c:v>
                </c:pt>
                <c:pt idx="8">
                  <c:v>0.30174619712149708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B40-4C87-9F66-F9C7CFDA27A0}"/>
            </c:ext>
          </c:extLst>
        </c:ser>
        <c:ser>
          <c:idx val="1"/>
          <c:order val="1"/>
          <c:tx>
            <c:v>legisl. zahrnutá v NRVS</c:v>
          </c:tx>
          <c:spPr>
            <a:solidFill>
              <a:srgbClr val="FF0000"/>
            </a:solidFill>
            <a:ln>
              <a:solidFill>
                <a:srgbClr val="FF0000"/>
              </a:solidFill>
            </a:ln>
            <a:effectLst/>
          </c:spPr>
          <c:invertIfNegative val="0"/>
          <c:cat>
            <c:strRef>
              <c:f>'G16'!$B$2:$J$2</c:f>
              <c:strCache>
                <c:ptCount val="9"/>
                <c:pt idx="0">
                  <c:v>2011 S</c:v>
                </c:pt>
                <c:pt idx="1">
                  <c:v>2012 S</c:v>
                </c:pt>
                <c:pt idx="2">
                  <c:v>2013 S</c:v>
                </c:pt>
                <c:pt idx="3">
                  <c:v>2014 S</c:v>
                </c:pt>
                <c:pt idx="4">
                  <c:v>2015 S</c:v>
                </c:pt>
                <c:pt idx="5">
                  <c:v>2016 O</c:v>
                </c:pt>
                <c:pt idx="6">
                  <c:v>2017 O</c:v>
                </c:pt>
                <c:pt idx="7">
                  <c:v>2018 O</c:v>
                </c:pt>
                <c:pt idx="8">
                  <c:v>2019 O</c:v>
                </c:pt>
              </c:strCache>
            </c:strRef>
          </c:cat>
          <c:val>
            <c:numRef>
              <c:f>'G16'!$B$6:$J$6</c:f>
              <c:numCache>
                <c:formatCode>0.0%</c:formatCode>
                <c:ptCount val="9"/>
                <c:pt idx="6" formatCode="0.00%">
                  <c:v>1.9589684724235154E-3</c:v>
                </c:pt>
                <c:pt idx="7" formatCode="0.00%">
                  <c:v>2.4122449591851315E-3</c:v>
                </c:pt>
                <c:pt idx="8" formatCode="0.00%">
                  <c:v>2.1184344827291182E-3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B40-4C87-9F66-F9C7CFDA27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503409776"/>
        <c:axId val="503414368"/>
      </c:barChart>
      <c:lineChart>
        <c:grouping val="stacked"/>
        <c:varyColors val="0"/>
        <c:ser>
          <c:idx val="3"/>
          <c:order val="2"/>
          <c:spPr>
            <a:ln w="25400" cap="rnd">
              <a:noFill/>
              <a:round/>
            </a:ln>
            <a:effectLst/>
          </c:spPr>
          <c:marker>
            <c:symbol val="none"/>
          </c:marker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Constantia" panose="02030602050306030303" pitchFamily="18" charset="0"/>
                    <a:ea typeface="+mn-ea"/>
                    <a:cs typeface="+mn-cs"/>
                  </a:defRPr>
                </a:pPr>
                <a:endParaRPr lang="sk-SK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'G16'!$B$7:$J$7</c:f>
              <c:numCache>
                <c:formatCode>0.0%</c:formatCode>
                <c:ptCount val="9"/>
                <c:pt idx="0">
                  <c:v>0.26567321630420015</c:v>
                </c:pt>
                <c:pt idx="1">
                  <c:v>0.26102708421424009</c:v>
                </c:pt>
                <c:pt idx="2">
                  <c:v>0.28106339004313069</c:v>
                </c:pt>
                <c:pt idx="3">
                  <c:v>0.29288545582476594</c:v>
                </c:pt>
                <c:pt idx="4">
                  <c:v>0.30339130322930746</c:v>
                </c:pt>
                <c:pt idx="5">
                  <c:v>0.30768939297371783</c:v>
                </c:pt>
                <c:pt idx="6" formatCode="0.00%">
                  <c:v>0.30866397712492999</c:v>
                </c:pt>
                <c:pt idx="7" formatCode="0.00%">
                  <c:v>0.30715361056985352</c:v>
                </c:pt>
                <c:pt idx="8" formatCode="0.00%">
                  <c:v>0.30386463160422622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BB40-4C87-9F66-F9C7CFDA27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3409776"/>
        <c:axId val="503414368"/>
      </c:lineChart>
      <c:catAx>
        <c:axId val="5034097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503414368"/>
        <c:crosses val="autoZero"/>
        <c:auto val="1"/>
        <c:lblAlgn val="ctr"/>
        <c:lblOffset val="100"/>
        <c:noMultiLvlLbl val="0"/>
      </c:catAx>
      <c:valAx>
        <c:axId val="503414368"/>
        <c:scaling>
          <c:orientation val="minMax"/>
          <c:min val="0.24000000000000002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onstantia" panose="02030602050306030303" pitchFamily="18" charset="0"/>
                    <a:ea typeface="+mn-ea"/>
                    <a:cs typeface="+mn-cs"/>
                  </a:defRPr>
                </a:pPr>
                <a:r>
                  <a:rPr lang="sk-SK" sz="800" i="1"/>
                  <a:t>% HDP</a:t>
                </a:r>
                <a:endParaRPr lang="en-GB" sz="800" i="1"/>
              </a:p>
            </c:rich>
          </c:tx>
          <c:layout>
            <c:manualLayout>
              <c:xMode val="edge"/>
              <c:yMode val="edge"/>
              <c:x val="7.3495370370370364E-2"/>
              <c:y val="2.21192592592592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onstantia" panose="02030602050306030303" pitchFamily="18" charset="0"/>
                  <a:ea typeface="+mn-ea"/>
                  <a:cs typeface="+mn-cs"/>
                </a:defRPr>
              </a:pPr>
              <a:endParaRPr lang="sk-SK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5034097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2"/>
        <c:delete val="1"/>
      </c:legendEntry>
      <c:layout>
        <c:manualLayout>
          <c:xMode val="edge"/>
          <c:yMode val="edge"/>
          <c:x val="8.8425925925925929E-3"/>
          <c:y val="0.91121703703703705"/>
          <c:w val="0.98231481481481486"/>
          <c:h val="8.878296296296296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onstantia" panose="02030602050306030303" pitchFamily="18" charset="0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latin typeface="Constantia" panose="02030602050306030303" pitchFamily="18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5390228267007484E-2"/>
          <c:y val="3.1297966312840764E-2"/>
          <c:w val="0.876397796867048"/>
          <c:h val="0.8883826499055542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'G17'!$A$2</c:f>
              <c:strCache>
                <c:ptCount val="1"/>
                <c:pt idx="0">
                  <c:v>OO v regul. odvet.</c:v>
                </c:pt>
              </c:strCache>
            </c:strRef>
          </c:tx>
          <c:spPr>
            <a:solidFill>
              <a:srgbClr val="13B5EA"/>
            </a:solidFill>
            <a:ln>
              <a:solidFill>
                <a:srgbClr val="13B5EA"/>
              </a:solidFill>
            </a:ln>
            <a:effectLst/>
          </c:spPr>
          <c:invertIfNegative val="0"/>
          <c:dLbls>
            <c:dLbl>
              <c:idx val="0"/>
              <c:layout>
                <c:manualLayout>
                  <c:x val="-2.9398148148148148E-3"/>
                  <c:y val="1.88148148148148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F83-4124-8687-A2A14636FA9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Constantia" panose="02030602050306030303" pitchFamily="18" charset="0"/>
                    <a:ea typeface="+mn-ea"/>
                    <a:cs typeface="+mn-cs"/>
                  </a:defRPr>
                </a:pPr>
                <a:endParaRPr lang="sk-SK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'G17'!$B$1:$D$1</c:f>
              <c:numCache>
                <c:formatCode>General</c:formatCode>
                <c:ptCount val="3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</c:numCache>
            </c:numRef>
          </c:cat>
          <c:val>
            <c:numRef>
              <c:f>'G17'!$B$2:$D$2</c:f>
              <c:numCache>
                <c:formatCode>0.0</c:formatCode>
                <c:ptCount val="3"/>
                <c:pt idx="0">
                  <c:v>167.16399999999999</c:v>
                </c:pt>
                <c:pt idx="1">
                  <c:v>171.904</c:v>
                </c:pt>
                <c:pt idx="2">
                  <c:v>133.3125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F83-4124-8687-A2A14636FA96}"/>
            </c:ext>
          </c:extLst>
        </c:ser>
        <c:ser>
          <c:idx val="1"/>
          <c:order val="1"/>
          <c:tx>
            <c:strRef>
              <c:f>'G17'!$A$5</c:f>
              <c:strCache>
                <c:ptCount val="1"/>
                <c:pt idx="0">
                  <c:v>OO finanč. inštit.</c:v>
                </c:pt>
              </c:strCache>
            </c:strRef>
          </c:tx>
          <c:spPr>
            <a:solidFill>
              <a:srgbClr val="92D050"/>
            </a:solidFill>
            <a:ln>
              <a:solidFill>
                <a:srgbClr val="92D05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Constantia" panose="02030602050306030303" pitchFamily="18" charset="0"/>
                    <a:ea typeface="+mn-ea"/>
                    <a:cs typeface="+mn-cs"/>
                  </a:defRPr>
                </a:pPr>
                <a:endParaRPr lang="sk-SK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'G17'!$B$1:$D$1</c:f>
              <c:numCache>
                <c:formatCode>General</c:formatCode>
                <c:ptCount val="3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</c:numCache>
            </c:numRef>
          </c:cat>
          <c:val>
            <c:numRef>
              <c:f>'G17'!$B$5:$D$5</c:f>
              <c:numCache>
                <c:formatCode>0.0</c:formatCode>
                <c:ptCount val="3"/>
                <c:pt idx="0">
                  <c:v>50.043340000000001</c:v>
                </c:pt>
                <c:pt idx="1">
                  <c:v>51.972124999999998</c:v>
                </c:pt>
                <c:pt idx="2">
                  <c:v>54.791239999999995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F83-4124-8687-A2A14636FA96}"/>
            </c:ext>
          </c:extLst>
        </c:ser>
        <c:ser>
          <c:idx val="2"/>
          <c:order val="2"/>
          <c:tx>
            <c:strRef>
              <c:f>'G17'!$A$6</c:f>
              <c:strCache>
                <c:ptCount val="1"/>
                <c:pt idx="0">
                  <c:v>Daň z dividend</c:v>
                </c:pt>
              </c:strCache>
            </c:strRef>
          </c:tx>
          <c:spPr>
            <a:solidFill>
              <a:schemeClr val="tx1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F83-4124-8687-A2A14636FA9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Constantia" panose="02030602050306030303" pitchFamily="18" charset="0"/>
                    <a:ea typeface="+mn-ea"/>
                    <a:cs typeface="+mn-cs"/>
                  </a:defRPr>
                </a:pPr>
                <a:endParaRPr lang="sk-SK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'G17'!$B$1:$D$1</c:f>
              <c:numCache>
                <c:formatCode>General</c:formatCode>
                <c:ptCount val="3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</c:numCache>
            </c:numRef>
          </c:cat>
          <c:val>
            <c:numRef>
              <c:f>'G17'!$B$6:$D$6</c:f>
              <c:numCache>
                <c:formatCode>0.0</c:formatCode>
                <c:ptCount val="3"/>
                <c:pt idx="0">
                  <c:v>0</c:v>
                </c:pt>
                <c:pt idx="1">
                  <c:v>50.5</c:v>
                </c:pt>
                <c:pt idx="2">
                  <c:v>50.300000000000004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F83-4124-8687-A2A14636FA96}"/>
            </c:ext>
          </c:extLst>
        </c:ser>
        <c:ser>
          <c:idx val="3"/>
          <c:order val="3"/>
          <c:tx>
            <c:strRef>
              <c:f>'G17'!$A$7</c:f>
              <c:strCache>
                <c:ptCount val="1"/>
                <c:pt idx="0">
                  <c:v>Tabak</c:v>
                </c:pt>
              </c:strCache>
            </c:strRef>
          </c:tx>
          <c:spPr>
            <a:solidFill>
              <a:srgbClr val="7030A0"/>
            </a:solidFill>
            <a:ln>
              <a:solidFill>
                <a:srgbClr val="7030A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Constantia" panose="02030602050306030303" pitchFamily="18" charset="0"/>
                    <a:ea typeface="+mn-ea"/>
                    <a:cs typeface="+mn-cs"/>
                  </a:defRPr>
                </a:pPr>
                <a:endParaRPr lang="sk-SK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'G17'!$B$1:$D$1</c:f>
              <c:numCache>
                <c:formatCode>General</c:formatCode>
                <c:ptCount val="3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</c:numCache>
            </c:numRef>
          </c:cat>
          <c:val>
            <c:numRef>
              <c:f>'G17'!$B$7:$D$7</c:f>
              <c:numCache>
                <c:formatCode>0.0</c:formatCode>
                <c:ptCount val="3"/>
                <c:pt idx="0">
                  <c:v>29.565999999999999</c:v>
                </c:pt>
                <c:pt idx="1">
                  <c:v>32.475000000000001</c:v>
                </c:pt>
                <c:pt idx="2">
                  <c:v>68.343999999999994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F83-4124-8687-A2A14636FA96}"/>
            </c:ext>
          </c:extLst>
        </c:ser>
        <c:ser>
          <c:idx val="4"/>
          <c:order val="4"/>
          <c:tx>
            <c:strRef>
              <c:f>'G17'!$A$8</c:f>
              <c:strCache>
                <c:ptCount val="1"/>
                <c:pt idx="0">
                  <c:v>Ostatné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'G17'!$B$1:$D$1</c:f>
              <c:numCache>
                <c:formatCode>General</c:formatCode>
                <c:ptCount val="3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</c:numCache>
            </c:numRef>
          </c:cat>
          <c:val>
            <c:numRef>
              <c:f>'G17'!$B$8:$D$8</c:f>
              <c:numCache>
                <c:formatCode>0.0</c:formatCode>
                <c:ptCount val="3"/>
                <c:pt idx="0">
                  <c:v>-8.7750000000000004</c:v>
                </c:pt>
                <c:pt idx="1">
                  <c:v>-8.7750000000000004</c:v>
                </c:pt>
                <c:pt idx="2">
                  <c:v>-8.7750000000000004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F83-4124-8687-A2A14636FA96}"/>
            </c:ext>
          </c:extLst>
        </c:ser>
        <c:ser>
          <c:idx val="6"/>
          <c:order val="5"/>
          <c:tx>
            <c:strRef>
              <c:f>'G17'!$A$9</c:f>
              <c:strCache>
                <c:ptCount val="1"/>
                <c:pt idx="0">
                  <c:v>Paušálne výdavky</c:v>
                </c:pt>
              </c:strCache>
            </c:strRef>
          </c:tx>
          <c:spPr>
            <a:solidFill>
              <a:schemeClr val="tx2"/>
            </a:solidFill>
            <a:ln>
              <a:solidFill>
                <a:schemeClr val="tx2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Constantia" panose="02030602050306030303" pitchFamily="18" charset="0"/>
                    <a:ea typeface="+mn-ea"/>
                    <a:cs typeface="+mn-cs"/>
                  </a:defRPr>
                </a:pPr>
                <a:endParaRPr lang="sk-SK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'G17'!$B$1:$D$1</c:f>
              <c:numCache>
                <c:formatCode>General</c:formatCode>
                <c:ptCount val="3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</c:numCache>
            </c:numRef>
          </c:cat>
          <c:val>
            <c:numRef>
              <c:f>'G17'!$B$9:$D$9</c:f>
              <c:numCache>
                <c:formatCode>0.0</c:formatCode>
                <c:ptCount val="3"/>
                <c:pt idx="0">
                  <c:v>-13.4</c:v>
                </c:pt>
                <c:pt idx="1">
                  <c:v>-20.6</c:v>
                </c:pt>
                <c:pt idx="2">
                  <c:v>-24.6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8F83-4124-8687-A2A14636FA96}"/>
            </c:ext>
          </c:extLst>
        </c:ser>
        <c:ser>
          <c:idx val="7"/>
          <c:order val="6"/>
          <c:tx>
            <c:strRef>
              <c:f>'G17'!$A$10</c:f>
              <c:strCache>
                <c:ptCount val="1"/>
                <c:pt idx="0">
                  <c:v>Sadzba DPPO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rgbClr val="FF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Constantia" panose="02030602050306030303" pitchFamily="18" charset="0"/>
                    <a:ea typeface="+mn-ea"/>
                    <a:cs typeface="+mn-cs"/>
                  </a:defRPr>
                </a:pPr>
                <a:endParaRPr lang="sk-SK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'G17'!$B$1:$D$1</c:f>
              <c:numCache>
                <c:formatCode>General</c:formatCode>
                <c:ptCount val="3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</c:numCache>
            </c:numRef>
          </c:cat>
          <c:val>
            <c:numRef>
              <c:f>'G17'!$B$10:$D$10</c:f>
              <c:numCache>
                <c:formatCode>0.0</c:formatCode>
                <c:ptCount val="3"/>
                <c:pt idx="0">
                  <c:v>-141.14071871277457</c:v>
                </c:pt>
                <c:pt idx="1">
                  <c:v>-146.95564233908163</c:v>
                </c:pt>
                <c:pt idx="2">
                  <c:v>-159.80496023430584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F83-4124-8687-A2A14636FA96}"/>
            </c:ext>
          </c:extLst>
        </c:ser>
        <c:ser>
          <c:idx val="8"/>
          <c:order val="7"/>
          <c:tx>
            <c:strRef>
              <c:f>'G17'!$A$11</c:f>
              <c:strCache>
                <c:ptCount val="1"/>
                <c:pt idx="0">
                  <c:v>Hazard</c:v>
                </c:pt>
              </c:strCache>
            </c:strRef>
          </c:tx>
          <c:spPr>
            <a:solidFill>
              <a:srgbClr val="FFC000"/>
            </a:solidFill>
            <a:ln>
              <a:solidFill>
                <a:srgbClr val="FFC000"/>
              </a:solidFill>
            </a:ln>
            <a:effectLst/>
          </c:spPr>
          <c:invertIfNegative val="0"/>
          <c:cat>
            <c:numRef>
              <c:f>'G17'!$B$1:$D$1</c:f>
              <c:numCache>
                <c:formatCode>General</c:formatCode>
                <c:ptCount val="3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</c:numCache>
            </c:numRef>
          </c:cat>
          <c:val>
            <c:numRef>
              <c:f>'G17'!$B$11:$D$11</c:f>
              <c:numCache>
                <c:formatCode>0.0</c:formatCode>
                <c:ptCount val="3"/>
                <c:pt idx="0">
                  <c:v>17.899999999999999</c:v>
                </c:pt>
                <c:pt idx="1">
                  <c:v>17.899999999999999</c:v>
                </c:pt>
                <c:pt idx="2">
                  <c:v>17.899999999999999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8F83-4124-8687-A2A14636FA96}"/>
            </c:ext>
          </c:extLst>
        </c:ser>
        <c:ser>
          <c:idx val="5"/>
          <c:order val="9"/>
          <c:tx>
            <c:strRef>
              <c:f>'G17'!$A$12</c:f>
              <c:strCache>
                <c:ptCount val="1"/>
                <c:pt idx="0">
                  <c:v>Poplatky EOSA*</c:v>
                </c:pt>
              </c:strCache>
            </c:strRef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Constantia" panose="02030602050306030303" pitchFamily="18" charset="0"/>
                    <a:ea typeface="+mn-ea"/>
                    <a:cs typeface="+mn-cs"/>
                  </a:defRPr>
                </a:pPr>
                <a:endParaRPr lang="sk-SK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'G17'!$B$12:$D$12</c:f>
              <c:numCache>
                <c:formatCode>0.0</c:formatCode>
                <c:ptCount val="3"/>
                <c:pt idx="0">
                  <c:v>64.474536125198995</c:v>
                </c:pt>
                <c:pt idx="1">
                  <c:v>66.796076983100804</c:v>
                </c:pt>
                <c:pt idx="2">
                  <c:v>69.691412480621395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8F83-4124-8687-A2A14636FA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35287632"/>
        <c:axId val="435284680"/>
      </c:barChart>
      <c:lineChart>
        <c:grouping val="stacked"/>
        <c:varyColors val="0"/>
        <c:ser>
          <c:idx val="9"/>
          <c:order val="8"/>
          <c:tx>
            <c:v>SPOLU</c:v>
          </c:tx>
          <c:spPr>
            <a:ln w="28575" cap="rnd">
              <a:solidFill>
                <a:sysClr val="windowText" lastClr="00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ysClr val="windowText" lastClr="000000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5.549027777777775E-2"/>
                  <c:y val="-0.2523870370370370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F83-4124-8687-A2A14636FA96}"/>
                </c:ext>
              </c:extLst>
            </c:dLbl>
            <c:dLbl>
              <c:idx val="1"/>
              <c:layout>
                <c:manualLayout>
                  <c:x val="-5.2938194444444447E-2"/>
                  <c:y val="-0.253989259259259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F83-4124-8687-A2A14636FA96}"/>
                </c:ext>
              </c:extLst>
            </c:dLbl>
            <c:dLbl>
              <c:idx val="2"/>
              <c:layout>
                <c:manualLayout>
                  <c:x val="-5.0385879629629739E-2"/>
                  <c:y val="-0.272701111111111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F83-4124-8687-A2A14636FA9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Constantia" panose="02030602050306030303" pitchFamily="18" charset="0"/>
                    <a:ea typeface="+mn-ea"/>
                    <a:cs typeface="+mn-cs"/>
                  </a:defRPr>
                </a:pPr>
                <a:endParaRPr lang="sk-SK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'G17'!$B$13:$D$13</c:f>
              <c:numCache>
                <c:formatCode>0.0</c:formatCode>
                <c:ptCount val="3"/>
                <c:pt idx="0">
                  <c:v>165.83215741242441</c:v>
                </c:pt>
                <c:pt idx="1">
                  <c:v>215.21655964401918</c:v>
                </c:pt>
                <c:pt idx="2">
                  <c:v>201.15919224631557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8F83-4124-8687-A2A14636FA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5287632"/>
        <c:axId val="435284680"/>
      </c:lineChart>
      <c:catAx>
        <c:axId val="4352876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435284680"/>
        <c:crosses val="autoZero"/>
        <c:auto val="1"/>
        <c:lblAlgn val="ctr"/>
        <c:lblOffset val="100"/>
        <c:noMultiLvlLbl val="0"/>
      </c:catAx>
      <c:valAx>
        <c:axId val="435284680"/>
        <c:scaling>
          <c:orientation val="minMax"/>
          <c:max val="500"/>
          <c:min val="-4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onstantia" panose="02030602050306030303" pitchFamily="18" charset="0"/>
                    <a:ea typeface="+mn-ea"/>
                    <a:cs typeface="+mn-cs"/>
                  </a:defRPr>
                </a:pPr>
                <a:r>
                  <a:rPr lang="sk-SK" i="1"/>
                  <a:t>mil.eur</a:t>
                </a:r>
                <a:endParaRPr lang="en-GB" i="1"/>
              </a:p>
            </c:rich>
          </c:tx>
          <c:layout>
            <c:manualLayout>
              <c:xMode val="edge"/>
              <c:yMode val="edge"/>
              <c:x val="8.6773214045283639E-2"/>
              <c:y val="3.8163477337391234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onstantia" panose="02030602050306030303" pitchFamily="18" charset="0"/>
                  <a:ea typeface="+mn-ea"/>
                  <a:cs typeface="+mn-cs"/>
                </a:defRPr>
              </a:pPr>
              <a:endParaRPr lang="sk-SK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4352876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9"/>
        <c:delete val="1"/>
      </c:legendEntry>
      <c:layout>
        <c:manualLayout>
          <c:xMode val="edge"/>
          <c:yMode val="edge"/>
          <c:x val="0.1152877314814815"/>
          <c:y val="0.72683999999999993"/>
          <c:w val="0.81622685185185173"/>
          <c:h val="0.1699229629629629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onstantia" panose="02030602050306030303" pitchFamily="18" charset="0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Constantia" panose="02030602050306030303" pitchFamily="18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380336832895888"/>
          <c:y val="5.0925925925925923E-2"/>
          <c:w val="0.84030774278215226"/>
          <c:h val="0.82720545348498109"/>
        </c:manualLayout>
      </c:layout>
      <c:areaChart>
        <c:grouping val="standard"/>
        <c:varyColors val="0"/>
        <c:ser>
          <c:idx val="4"/>
          <c:order val="0"/>
          <c:tx>
            <c:v>NRVS 2016-2018</c:v>
          </c:tx>
          <c:spPr>
            <a:solidFill>
              <a:srgbClr val="13B5EA"/>
            </a:solidFill>
            <a:ln w="25400">
              <a:noFill/>
            </a:ln>
            <a:effectLst/>
          </c:spP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4AB-420F-B22C-2A57917C1B0B}"/>
                </c:ext>
              </c:extLst>
            </c:dLbl>
            <c:dLbl>
              <c:idx val="1"/>
              <c:layout>
                <c:manualLayout>
                  <c:x val="-5.5555555555555558E-3"/>
                  <c:y val="-0.337962962962962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4AB-420F-B22C-2A57917C1B0B}"/>
                </c:ext>
              </c:extLst>
            </c:dLbl>
            <c:dLbl>
              <c:idx val="2"/>
              <c:layout>
                <c:manualLayout>
                  <c:x val="-8.3333333333333835E-3"/>
                  <c:y val="-0.3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4AB-420F-B22C-2A57917C1B0B}"/>
                </c:ext>
              </c:extLst>
            </c:dLbl>
            <c:dLbl>
              <c:idx val="3"/>
              <c:layout>
                <c:manualLayout>
                  <c:x val="-1.3888888888888888E-2"/>
                  <c:y val="-0.328703703703703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4AB-420F-B22C-2A57917C1B0B}"/>
                </c:ext>
              </c:extLst>
            </c:dLbl>
            <c:dLbl>
              <c:idx val="4"/>
              <c:layout>
                <c:manualLayout>
                  <c:x val="-5.5555555555555558E-3"/>
                  <c:y val="-0.268518518518518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4AB-420F-B22C-2A57917C1B0B}"/>
                </c:ext>
              </c:extLst>
            </c:dLbl>
            <c:dLbl>
              <c:idx val="5"/>
              <c:layout>
                <c:manualLayout>
                  <c:x val="-2.5000000000000001E-2"/>
                  <c:y val="-0.189814814814814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4AB-420F-B22C-2A57917C1B0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Constantia" panose="02030602050306030303" pitchFamily="18" charset="0"/>
                    <a:ea typeface="+mn-ea"/>
                    <a:cs typeface="+mn-cs"/>
                  </a:defRPr>
                </a:pPr>
                <a:endParaRPr lang="sk-SK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'G02'!$B$2:$G$2</c:f>
              <c:numCache>
                <c:formatCode>General</c:formatCode>
                <c:ptCount val="6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</c:numCache>
            </c:numRef>
          </c:cat>
          <c:val>
            <c:numRef>
              <c:f>'G02'!$B$4:$G$4</c:f>
              <c:numCache>
                <c:formatCode>#\ ##0.0</c:formatCode>
                <c:ptCount val="6"/>
                <c:pt idx="0">
                  <c:v>53.897262691251328</c:v>
                </c:pt>
                <c:pt idx="1">
                  <c:v>52.891725362204191</c:v>
                </c:pt>
                <c:pt idx="2">
                  <c:v>53.494940800548299</c:v>
                </c:pt>
                <c:pt idx="3">
                  <c:v>52.72445468792283</c:v>
                </c:pt>
                <c:pt idx="4">
                  <c:v>51.40232554356453</c:v>
                </c:pt>
                <c:pt idx="5">
                  <c:v>49.061389249467879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4AB-420F-B22C-2A57917C1B0B}"/>
            </c:ext>
          </c:extLst>
        </c:ser>
        <c:ser>
          <c:idx val="0"/>
          <c:order val="1"/>
          <c:tx>
            <c:v>Hotovosť na úrovni RVS 2015-2017</c:v>
          </c:tx>
          <c:spPr>
            <a:solidFill>
              <a:srgbClr val="58595B"/>
            </a:solidFill>
            <a:ln w="25400">
              <a:noFill/>
            </a:ln>
            <a:effectLst/>
          </c:spPr>
          <c:dLbls>
            <c:dLbl>
              <c:idx val="0"/>
              <c:layout>
                <c:manualLayout>
                  <c:x val="8.3333333333333332E-3"/>
                  <c:y val="-0.3611111111111111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Constantia" panose="02030602050306030303" pitchFamily="18" charset="0"/>
                      <a:ea typeface="+mn-ea"/>
                      <a:cs typeface="+mn-cs"/>
                    </a:defRPr>
                  </a:pPr>
                  <a:endParaRPr lang="sk-SK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4AB-420F-B22C-2A57917C1B0B}"/>
                </c:ext>
              </c:extLst>
            </c:dLbl>
            <c:dLbl>
              <c:idx val="1"/>
              <c:layout>
                <c:manualLayout>
                  <c:x val="-1.1111111111111112E-2"/>
                  <c:y val="-0.231481481481481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4AB-420F-B22C-2A57917C1B0B}"/>
                </c:ext>
              </c:extLst>
            </c:dLbl>
            <c:dLbl>
              <c:idx val="2"/>
              <c:layout>
                <c:manualLayout>
                  <c:x val="0"/>
                  <c:y val="-0.175925925925925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4AB-420F-B22C-2A57917C1B0B}"/>
                </c:ext>
              </c:extLst>
            </c:dLbl>
            <c:dLbl>
              <c:idx val="3"/>
              <c:layout>
                <c:manualLayout>
                  <c:x val="-1.6666666666666666E-2"/>
                  <c:y val="-0.166666666666666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4AB-420F-B22C-2A57917C1B0B}"/>
                </c:ext>
              </c:extLst>
            </c:dLbl>
            <c:dLbl>
              <c:idx val="4"/>
              <c:layout>
                <c:manualLayout>
                  <c:x val="0"/>
                  <c:y val="-0.106481481481481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4AB-420F-B22C-2A57917C1B0B}"/>
                </c:ext>
              </c:extLst>
            </c:dLbl>
            <c:dLbl>
              <c:idx val="5"/>
              <c:layout>
                <c:manualLayout>
                  <c:x val="-2.7777777777777676E-2"/>
                  <c:y val="-4.16666666666666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4AB-420F-B22C-2A57917C1B0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Constantia" panose="02030602050306030303" pitchFamily="18" charset="0"/>
                    <a:ea typeface="+mn-ea"/>
                    <a:cs typeface="+mn-cs"/>
                  </a:defRPr>
                </a:pPr>
                <a:endParaRPr lang="sk-SK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'G02'!$B$2:$G$2</c:f>
              <c:numCache>
                <c:formatCode>General</c:formatCode>
                <c:ptCount val="6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</c:numCache>
            </c:numRef>
          </c:cat>
          <c:val>
            <c:numRef>
              <c:f>'G02'!$B$5:$G$5</c:f>
              <c:numCache>
                <c:formatCode>0.0</c:formatCode>
                <c:ptCount val="6"/>
                <c:pt idx="0" formatCode="#\ ##0.0">
                  <c:v>53.897262691251328</c:v>
                </c:pt>
                <c:pt idx="1">
                  <c:v>52.462449839071098</c:v>
                </c:pt>
                <c:pt idx="2">
                  <c:v>51.502772575069301</c:v>
                </c:pt>
                <c:pt idx="3">
                  <c:v>51.472033990364388</c:v>
                </c:pt>
                <c:pt idx="4">
                  <c:v>49.760603251274027</c:v>
                </c:pt>
                <c:pt idx="5">
                  <c:v>47.481873446842911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24AB-420F-B22C-2A57917C1B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1590088"/>
        <c:axId val="181590480"/>
      </c:areaChart>
      <c:lineChart>
        <c:grouping val="standard"/>
        <c:varyColors val="0"/>
        <c:ser>
          <c:idx val="1"/>
          <c:order val="2"/>
          <c:tx>
            <c:v>RVS 2015-2017</c:v>
          </c:tx>
          <c:spPr>
            <a:ln w="28575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'G02'!$B$2:$G$2</c:f>
              <c:numCache>
                <c:formatCode>General</c:formatCode>
                <c:ptCount val="6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</c:numCache>
            </c:numRef>
          </c:cat>
          <c:val>
            <c:numRef>
              <c:f>'G02'!$B$3:$F$3</c:f>
              <c:numCache>
                <c:formatCode>#\ ##0.0</c:formatCode>
                <c:ptCount val="5"/>
                <c:pt idx="0">
                  <c:v>53.575651898759425</c:v>
                </c:pt>
                <c:pt idx="1">
                  <c:v>52.772981719922264</c:v>
                </c:pt>
                <c:pt idx="2">
                  <c:v>52.109294983868125</c:v>
                </c:pt>
                <c:pt idx="3">
                  <c:v>51.312991270223598</c:v>
                </c:pt>
                <c:pt idx="4">
                  <c:v>48.940700344112564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24AB-420F-B22C-2A57917C1B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1590088"/>
        <c:axId val="181590480"/>
      </c:lineChart>
      <c:catAx>
        <c:axId val="181590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181590480"/>
        <c:crosses val="autoZero"/>
        <c:auto val="1"/>
        <c:lblAlgn val="ctr"/>
        <c:lblOffset val="100"/>
        <c:noMultiLvlLbl val="0"/>
      </c:catAx>
      <c:valAx>
        <c:axId val="181590480"/>
        <c:scaling>
          <c:orientation val="minMax"/>
          <c:max val="56"/>
          <c:min val="46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#\ 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18159008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6743832020997378"/>
          <c:y val="6.42344706911636E-2"/>
          <c:w val="0.47700612423447059"/>
          <c:h val="0.1429403616214639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onstantia" panose="02030602050306030303" pitchFamily="18" charset="0"/>
              <a:ea typeface="+mn-ea"/>
              <a:cs typeface="+mn-cs"/>
            </a:defRPr>
          </a:pPr>
          <a:endParaRPr lang="sk-SK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Constantia" panose="02030602050306030303" pitchFamily="18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2692038495188102E-2"/>
          <c:y val="5.0925925925925923E-2"/>
          <c:w val="0.92508573928258986"/>
          <c:h val="0.8648228346456693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'G18'!$C$1</c:f>
              <c:strCache>
                <c:ptCount val="1"/>
                <c:pt idx="0">
                  <c:v>daň z príjmov</c:v>
                </c:pt>
              </c:strCache>
            </c:strRef>
          </c:tx>
          <c:spPr>
            <a:solidFill>
              <a:srgbClr val="00B0F0"/>
            </a:solidFill>
            <a:ln>
              <a:solidFill>
                <a:srgbClr val="00B0F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Constantia" panose="02030602050306030303" pitchFamily="18" charset="0"/>
                    <a:ea typeface="+mn-ea"/>
                    <a:cs typeface="+mn-cs"/>
                  </a:defRPr>
                </a:pPr>
                <a:endParaRPr lang="sk-SK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'G18'!$A$2:$A$13</c:f>
              <c:numCache>
                <c:formatCode>General</c:formatCode>
                <c:ptCount val="12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</c:numCache>
            </c:numRef>
          </c:cat>
          <c:val>
            <c:numRef>
              <c:f>'G18'!$C$2:$C$13</c:f>
              <c:numCache>
                <c:formatCode>General</c:formatCode>
                <c:ptCount val="12"/>
                <c:pt idx="0">
                  <c:v>7</c:v>
                </c:pt>
                <c:pt idx="1">
                  <c:v>4</c:v>
                </c:pt>
                <c:pt idx="2">
                  <c:v>1</c:v>
                </c:pt>
                <c:pt idx="3">
                  <c:v>7</c:v>
                </c:pt>
                <c:pt idx="4">
                  <c:v>5</c:v>
                </c:pt>
                <c:pt idx="5">
                  <c:v>5</c:v>
                </c:pt>
                <c:pt idx="6">
                  <c:v>2</c:v>
                </c:pt>
                <c:pt idx="7">
                  <c:v>8</c:v>
                </c:pt>
                <c:pt idx="8">
                  <c:v>6</c:v>
                </c:pt>
                <c:pt idx="9">
                  <c:v>4</c:v>
                </c:pt>
                <c:pt idx="10">
                  <c:v>5</c:v>
                </c:pt>
                <c:pt idx="11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57-471E-B477-A80E1957B78A}"/>
            </c:ext>
          </c:extLst>
        </c:ser>
        <c:ser>
          <c:idx val="1"/>
          <c:order val="1"/>
          <c:tx>
            <c:strRef>
              <c:f>'G18'!$D$1</c:f>
              <c:strCache>
                <c:ptCount val="1"/>
                <c:pt idx="0">
                  <c:v>dph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bg1">
                  <a:lumMod val="50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Constantia" panose="02030602050306030303" pitchFamily="18" charset="0"/>
                    <a:ea typeface="+mn-ea"/>
                    <a:cs typeface="+mn-cs"/>
                  </a:defRPr>
                </a:pPr>
                <a:endParaRPr lang="sk-SK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'G18'!$A$2:$A$13</c:f>
              <c:numCache>
                <c:formatCode>General</c:formatCode>
                <c:ptCount val="12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</c:numCache>
            </c:numRef>
          </c:cat>
          <c:val>
            <c:numRef>
              <c:f>'G18'!$D$2:$D$13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1</c:v>
                </c:pt>
                <c:pt idx="3">
                  <c:v>2</c:v>
                </c:pt>
                <c:pt idx="4">
                  <c:v>2</c:v>
                </c:pt>
                <c:pt idx="5">
                  <c:v>4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1</c:v>
                </c:pt>
                <c:pt idx="10">
                  <c:v>1</c:v>
                </c:pt>
                <c:pt idx="11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57-471E-B477-A80E1957B78A}"/>
            </c:ext>
          </c:extLst>
        </c:ser>
        <c:ser>
          <c:idx val="2"/>
          <c:order val="2"/>
          <c:tx>
            <c:strRef>
              <c:f>'G18'!$E$1</c:f>
              <c:strCache>
                <c:ptCount val="1"/>
                <c:pt idx="0">
                  <c:v>soc.poistenie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rgbClr val="FF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Constantia" panose="02030602050306030303" pitchFamily="18" charset="0"/>
                    <a:ea typeface="+mn-ea"/>
                    <a:cs typeface="+mn-cs"/>
                  </a:defRPr>
                </a:pPr>
                <a:endParaRPr lang="sk-SK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'G18'!$A$2:$A$13</c:f>
              <c:numCache>
                <c:formatCode>General</c:formatCode>
                <c:ptCount val="12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</c:numCache>
            </c:numRef>
          </c:cat>
          <c:val>
            <c:numRef>
              <c:f>'G18'!$E$2:$E$13</c:f>
              <c:numCache>
                <c:formatCode>General</c:formatCode>
                <c:ptCount val="12"/>
                <c:pt idx="0">
                  <c:v>8</c:v>
                </c:pt>
                <c:pt idx="1">
                  <c:v>5</c:v>
                </c:pt>
                <c:pt idx="2">
                  <c:v>6</c:v>
                </c:pt>
                <c:pt idx="3">
                  <c:v>4</c:v>
                </c:pt>
                <c:pt idx="4">
                  <c:v>4</c:v>
                </c:pt>
                <c:pt idx="5">
                  <c:v>6</c:v>
                </c:pt>
                <c:pt idx="6">
                  <c:v>4</c:v>
                </c:pt>
                <c:pt idx="7">
                  <c:v>6</c:v>
                </c:pt>
                <c:pt idx="8">
                  <c:v>3</c:v>
                </c:pt>
                <c:pt idx="9">
                  <c:v>3</c:v>
                </c:pt>
                <c:pt idx="10">
                  <c:v>5</c:v>
                </c:pt>
                <c:pt idx="11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157-471E-B477-A80E1957B78A}"/>
            </c:ext>
          </c:extLst>
        </c:ser>
        <c:ser>
          <c:idx val="3"/>
          <c:order val="3"/>
          <c:tx>
            <c:strRef>
              <c:f>'G18'!$F$1</c:f>
              <c:strCache>
                <c:ptCount val="1"/>
                <c:pt idx="0">
                  <c:v>zdravot. poistenie</c:v>
                </c:pt>
              </c:strCache>
            </c:strRef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  <a:effectLst/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157-471E-B477-A80E1957B78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Constantia" panose="02030602050306030303" pitchFamily="18" charset="0"/>
                    <a:ea typeface="+mn-ea"/>
                    <a:cs typeface="+mn-cs"/>
                  </a:defRPr>
                </a:pPr>
                <a:endParaRPr lang="sk-SK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'G18'!$A$2:$A$13</c:f>
              <c:numCache>
                <c:formatCode>General</c:formatCode>
                <c:ptCount val="12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</c:numCache>
            </c:numRef>
          </c:cat>
          <c:val>
            <c:numRef>
              <c:f>'G18'!$F$2:$F$13</c:f>
              <c:numCache>
                <c:formatCode>General</c:formatCode>
                <c:ptCount val="12"/>
                <c:pt idx="0">
                  <c:v>0</c:v>
                </c:pt>
                <c:pt idx="1">
                  <c:v>3</c:v>
                </c:pt>
                <c:pt idx="2">
                  <c:v>3</c:v>
                </c:pt>
                <c:pt idx="3">
                  <c:v>4</c:v>
                </c:pt>
                <c:pt idx="4">
                  <c:v>3</c:v>
                </c:pt>
                <c:pt idx="5">
                  <c:v>3</c:v>
                </c:pt>
                <c:pt idx="6">
                  <c:v>4</c:v>
                </c:pt>
                <c:pt idx="7">
                  <c:v>2</c:v>
                </c:pt>
                <c:pt idx="8">
                  <c:v>4</c:v>
                </c:pt>
                <c:pt idx="9">
                  <c:v>5</c:v>
                </c:pt>
                <c:pt idx="10">
                  <c:v>2</c:v>
                </c:pt>
                <c:pt idx="11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157-471E-B477-A80E1957B7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24959920"/>
        <c:axId val="424958608"/>
      </c:barChart>
      <c:lineChart>
        <c:grouping val="stacked"/>
        <c:varyColors val="0"/>
        <c:ser>
          <c:idx val="4"/>
          <c:order val="4"/>
          <c:tx>
            <c:strRef>
              <c:f>'G18'!$B$1</c:f>
              <c:strCache>
                <c:ptCount val="1"/>
                <c:pt idx="0">
                  <c:v>spolu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Constantia" panose="02030602050306030303" pitchFamily="18" charset="0"/>
                    <a:ea typeface="+mn-ea"/>
                    <a:cs typeface="+mn-cs"/>
                  </a:defRPr>
                </a:pPr>
                <a:endParaRPr lang="sk-SK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'G18'!$A$2:$A$13</c:f>
              <c:numCache>
                <c:formatCode>General</c:formatCode>
                <c:ptCount val="12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</c:numCache>
            </c:numRef>
          </c:cat>
          <c:val>
            <c:numRef>
              <c:f>'G18'!$B$2:$B$13</c:f>
              <c:numCache>
                <c:formatCode>General</c:formatCode>
                <c:ptCount val="12"/>
                <c:pt idx="0">
                  <c:v>16</c:v>
                </c:pt>
                <c:pt idx="1">
                  <c:v>14</c:v>
                </c:pt>
                <c:pt idx="2">
                  <c:v>11</c:v>
                </c:pt>
                <c:pt idx="3">
                  <c:v>17</c:v>
                </c:pt>
                <c:pt idx="4">
                  <c:v>14</c:v>
                </c:pt>
                <c:pt idx="5">
                  <c:v>18</c:v>
                </c:pt>
                <c:pt idx="6">
                  <c:v>12</c:v>
                </c:pt>
                <c:pt idx="7">
                  <c:v>18</c:v>
                </c:pt>
                <c:pt idx="8">
                  <c:v>15</c:v>
                </c:pt>
                <c:pt idx="9">
                  <c:v>13</c:v>
                </c:pt>
                <c:pt idx="10">
                  <c:v>13</c:v>
                </c:pt>
                <c:pt idx="11">
                  <c:v>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157-471E-B477-A80E1957B7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4959920"/>
        <c:axId val="424958608"/>
      </c:lineChart>
      <c:catAx>
        <c:axId val="4249599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424958608"/>
        <c:crosses val="autoZero"/>
        <c:auto val="1"/>
        <c:lblAlgn val="ctr"/>
        <c:lblOffset val="100"/>
        <c:noMultiLvlLbl val="0"/>
      </c:catAx>
      <c:valAx>
        <c:axId val="424958608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onstantia" panose="02030602050306030303" pitchFamily="18" charset="0"/>
                    <a:ea typeface="+mn-ea"/>
                    <a:cs typeface="+mn-cs"/>
                  </a:defRPr>
                </a:pPr>
                <a:r>
                  <a:rPr lang="sk-SK" sz="900" i="1"/>
                  <a:t>počet noviel</a:t>
                </a:r>
                <a:endParaRPr lang="en-GB" sz="900" i="1"/>
              </a:p>
            </c:rich>
          </c:tx>
          <c:layout>
            <c:manualLayout>
              <c:xMode val="edge"/>
              <c:yMode val="edge"/>
              <c:x val="5.5856481481481479E-2"/>
              <c:y val="5.4344074074074086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onstantia" panose="02030602050306030303" pitchFamily="18" charset="0"/>
                  <a:ea typeface="+mn-ea"/>
                  <a:cs typeface="+mn-cs"/>
                </a:defRPr>
              </a:pPr>
              <a:endParaRPr lang="sk-S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4249599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4"/>
        <c:delete val="1"/>
      </c:legendEntry>
      <c:layout>
        <c:manualLayout>
          <c:xMode val="edge"/>
          <c:yMode val="edge"/>
          <c:x val="0.13235277777777779"/>
          <c:y val="6.0096666666666666E-2"/>
          <c:w val="0.58836481481481484"/>
          <c:h val="0.136797407407407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onstantia" panose="02030602050306030303" pitchFamily="18" charset="0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Constantia" panose="02030602050306030303" pitchFamily="18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5483814523184598E-2"/>
          <c:y val="5.0925925925925923E-2"/>
          <c:w val="0.91451618547681535"/>
          <c:h val="0.86482283464566934"/>
        </c:manualLayout>
      </c:layout>
      <c:barChart>
        <c:barDir val="col"/>
        <c:grouping val="clustered"/>
        <c:varyColors val="0"/>
        <c:ser>
          <c:idx val="0"/>
          <c:order val="0"/>
          <c:tx>
            <c:v>Prognóza vlády</c:v>
          </c:tx>
          <c:spPr>
            <a:solidFill>
              <a:srgbClr val="13B5EA"/>
            </a:solidFill>
            <a:ln>
              <a:solidFill>
                <a:schemeClr val="tx1">
                  <a:lumMod val="15000"/>
                  <a:lumOff val="85000"/>
                </a:schemeClr>
              </a:solidFill>
            </a:ln>
            <a:effectLst/>
          </c:spPr>
          <c:invertIfNegative val="0"/>
          <c:cat>
            <c:numRef>
              <c:f>'G23'!$B$2:$F$2</c:f>
              <c:numCache>
                <c:formatCode>General</c:formatCode>
                <c:ptCount val="5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</c:numCache>
            </c:numRef>
          </c:cat>
          <c:val>
            <c:numRef>
              <c:f>'G23'!$B$4:$F$4</c:f>
              <c:numCache>
                <c:formatCode>0.0</c:formatCode>
                <c:ptCount val="5"/>
                <c:pt idx="0">
                  <c:v>52.891725362204191</c:v>
                </c:pt>
                <c:pt idx="1">
                  <c:v>53.494940800548285</c:v>
                </c:pt>
                <c:pt idx="2">
                  <c:v>52.724454687922815</c:v>
                </c:pt>
                <c:pt idx="3">
                  <c:v>51.40232554356453</c:v>
                </c:pt>
                <c:pt idx="4">
                  <c:v>49.061389249467865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E0E-4A2E-8307-591E33424055}"/>
            </c:ext>
          </c:extLst>
        </c:ser>
        <c:ser>
          <c:idx val="1"/>
          <c:order val="1"/>
          <c:tx>
            <c:v>RRZ riziká</c:v>
          </c:tx>
          <c:spPr>
            <a:solidFill>
              <a:srgbClr val="DCB47B"/>
            </a:solidFill>
            <a:ln>
              <a:noFill/>
            </a:ln>
            <a:effectLst/>
          </c:spPr>
          <c:invertIfNegative val="0"/>
          <c:cat>
            <c:numRef>
              <c:f>'G23'!$B$2:$F$2</c:f>
              <c:numCache>
                <c:formatCode>General</c:formatCode>
                <c:ptCount val="5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</c:numCache>
            </c:numRef>
          </c:cat>
          <c:val>
            <c:numRef>
              <c:f>'G23'!$B$6:$F$6</c:f>
              <c:numCache>
                <c:formatCode>0.0</c:formatCode>
                <c:ptCount val="5"/>
                <c:pt idx="0">
                  <c:v>52.478465947673691</c:v>
                </c:pt>
                <c:pt idx="1">
                  <c:v>53.900826823013638</c:v>
                </c:pt>
                <c:pt idx="2">
                  <c:v>53.195649894287335</c:v>
                </c:pt>
                <c:pt idx="3">
                  <c:v>52.051650982707173</c:v>
                </c:pt>
                <c:pt idx="4">
                  <c:v>49.667726453171319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E0E-4A2E-8307-591E334240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73360184"/>
        <c:axId val="673360968"/>
      </c:barChart>
      <c:lineChart>
        <c:grouping val="standard"/>
        <c:varyColors val="0"/>
        <c:ser>
          <c:idx val="2"/>
          <c:order val="2"/>
          <c:tx>
            <c:v>RRZ riziká + oddlžovanie</c:v>
          </c:tx>
          <c:spPr>
            <a:ln w="28575" cap="rnd">
              <a:solidFill>
                <a:srgbClr val="58595B"/>
              </a:solidFill>
              <a:round/>
            </a:ln>
            <a:effectLst/>
          </c:spPr>
          <c:marker>
            <c:symbol val="none"/>
          </c:marker>
          <c:cat>
            <c:numRef>
              <c:f>'G23'!$B$2:$F$2</c:f>
              <c:numCache>
                <c:formatCode>General</c:formatCode>
                <c:ptCount val="5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</c:numCache>
            </c:numRef>
          </c:cat>
          <c:val>
            <c:numRef>
              <c:f>'G23'!$B$8:$F$8</c:f>
              <c:numCache>
                <c:formatCode>0.0</c:formatCode>
                <c:ptCount val="5"/>
                <c:pt idx="0">
                  <c:v>52.478465947673691</c:v>
                </c:pt>
                <c:pt idx="1">
                  <c:v>53.47968298656194</c:v>
                </c:pt>
                <c:pt idx="2">
                  <c:v>53.31905815369219</c:v>
                </c:pt>
                <c:pt idx="3">
                  <c:v>52.158856799453254</c:v>
                </c:pt>
                <c:pt idx="4">
                  <c:v>49.762528943645954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E0E-4A2E-8307-591E334240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73360184"/>
        <c:axId val="673360968"/>
      </c:lineChart>
      <c:catAx>
        <c:axId val="6733601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673360968"/>
        <c:crosses val="autoZero"/>
        <c:auto val="1"/>
        <c:lblAlgn val="ctr"/>
        <c:lblOffset val="100"/>
        <c:noMultiLvlLbl val="0"/>
      </c:catAx>
      <c:valAx>
        <c:axId val="673360968"/>
        <c:scaling>
          <c:orientation val="minMax"/>
          <c:max val="56"/>
          <c:min val="46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6733601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4067410323709544"/>
          <c:y val="4.0492855059784203E-3"/>
          <c:w val="0.55932589676290467"/>
          <c:h val="0.2494240303295421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onstantia" panose="02030602050306030303" pitchFamily="18" charset="0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latin typeface="Constantia" panose="02030602050306030303" pitchFamily="18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12292213473316E-2"/>
          <c:y val="5.0925925925925923E-2"/>
          <c:w val="0.88332152230971128"/>
          <c:h val="0.9068270632837561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'G24'!$A$4</c:f>
              <c:strCache>
                <c:ptCount val="1"/>
                <c:pt idx="0">
                  <c:v>Dane</c:v>
                </c:pt>
              </c:strCache>
            </c:strRef>
          </c:tx>
          <c:spPr>
            <a:solidFill>
              <a:srgbClr val="13B5EA"/>
            </a:solidFill>
            <a:ln>
              <a:noFill/>
            </a:ln>
            <a:effectLst/>
          </c:spPr>
          <c:invertIfNegative val="0"/>
          <c:cat>
            <c:strRef>
              <c:f>'G24'!$B$2:$E$2</c:f>
              <c:strCache>
                <c:ptCount val="4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kumulatívne</c:v>
                </c:pt>
              </c:strCache>
            </c:strRef>
          </c:cat>
          <c:val>
            <c:numRef>
              <c:f>'G24'!$B$4:$E$4</c:f>
              <c:numCache>
                <c:formatCode>#\ ##0.0</c:formatCode>
                <c:ptCount val="4"/>
                <c:pt idx="0">
                  <c:v>-4.0088335148855236E-2</c:v>
                </c:pt>
                <c:pt idx="1">
                  <c:v>-0.13277069236707817</c:v>
                </c:pt>
                <c:pt idx="2">
                  <c:v>-0.34151315422418804</c:v>
                </c:pt>
                <c:pt idx="3">
                  <c:v>-0.51437218174012145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C5-4435-A469-7F7576791E35}"/>
            </c:ext>
          </c:extLst>
        </c:ser>
        <c:ser>
          <c:idx val="1"/>
          <c:order val="1"/>
          <c:tx>
            <c:strRef>
              <c:f>'G24'!$A$5</c:f>
              <c:strCache>
                <c:ptCount val="1"/>
                <c:pt idx="0">
                  <c:v>Nedaňové príjmy</c:v>
                </c:pt>
              </c:strCache>
            </c:strRef>
          </c:tx>
          <c:spPr>
            <a:solidFill>
              <a:srgbClr val="B1E8F9"/>
            </a:solidFill>
            <a:ln>
              <a:noFill/>
            </a:ln>
            <a:effectLst/>
          </c:spPr>
          <c:invertIfNegative val="0"/>
          <c:cat>
            <c:strRef>
              <c:f>'G24'!$B$2:$E$2</c:f>
              <c:strCache>
                <c:ptCount val="4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kumulatívne</c:v>
                </c:pt>
              </c:strCache>
            </c:strRef>
          </c:cat>
          <c:val>
            <c:numRef>
              <c:f>'G24'!$B$5:$E$5</c:f>
              <c:numCache>
                <c:formatCode>#\ ##0.0</c:formatCode>
                <c:ptCount val="4"/>
                <c:pt idx="0">
                  <c:v>-0.11978357435130516</c:v>
                </c:pt>
                <c:pt idx="1">
                  <c:v>-7.6478058538177685E-2</c:v>
                </c:pt>
                <c:pt idx="2">
                  <c:v>-0.12199751719228402</c:v>
                </c:pt>
                <c:pt idx="3">
                  <c:v>-0.31825915008176686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0C5-4435-A469-7F7576791E35}"/>
            </c:ext>
          </c:extLst>
        </c:ser>
        <c:ser>
          <c:idx val="2"/>
          <c:order val="2"/>
          <c:tx>
            <c:strRef>
              <c:f>'G24'!$A$6</c:f>
              <c:strCache>
                <c:ptCount val="1"/>
                <c:pt idx="0">
                  <c:v>Sociálne platby</c:v>
                </c:pt>
              </c:strCache>
            </c:strRef>
          </c:tx>
          <c:spPr>
            <a:solidFill>
              <a:srgbClr val="DCB47B"/>
            </a:solidFill>
            <a:ln>
              <a:noFill/>
            </a:ln>
            <a:effectLst/>
          </c:spPr>
          <c:invertIfNegative val="0"/>
          <c:cat>
            <c:strRef>
              <c:f>'G24'!$B$2:$E$2</c:f>
              <c:strCache>
                <c:ptCount val="4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kumulatívne</c:v>
                </c:pt>
              </c:strCache>
            </c:strRef>
          </c:cat>
          <c:val>
            <c:numRef>
              <c:f>'G24'!$B$6:$E$6</c:f>
              <c:numCache>
                <c:formatCode>#\ ##0.0</c:formatCode>
                <c:ptCount val="4"/>
                <c:pt idx="0">
                  <c:v>0.30963285212556357</c:v>
                </c:pt>
                <c:pt idx="1">
                  <c:v>0.30614953404420753</c:v>
                </c:pt>
                <c:pt idx="2">
                  <c:v>0.37192917512978063</c:v>
                </c:pt>
                <c:pt idx="3">
                  <c:v>0.98771156129955173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0C5-4435-A469-7F7576791E35}"/>
            </c:ext>
          </c:extLst>
        </c:ser>
        <c:ser>
          <c:idx val="3"/>
          <c:order val="3"/>
          <c:tx>
            <c:strRef>
              <c:f>'G24'!$A$7</c:f>
              <c:strCache>
                <c:ptCount val="1"/>
                <c:pt idx="0">
                  <c:v>Prev. výdavky</c:v>
                </c:pt>
              </c:strCache>
            </c:strRef>
          </c:tx>
          <c:spPr>
            <a:solidFill>
              <a:srgbClr val="58595B"/>
            </a:solidFill>
            <a:ln>
              <a:noFill/>
            </a:ln>
            <a:effectLst/>
          </c:spPr>
          <c:invertIfNegative val="0"/>
          <c:cat>
            <c:strRef>
              <c:f>'G24'!$B$2:$E$2</c:f>
              <c:strCache>
                <c:ptCount val="4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kumulatívne</c:v>
                </c:pt>
              </c:strCache>
            </c:strRef>
          </c:cat>
          <c:val>
            <c:numRef>
              <c:f>'G24'!$B$7:$E$7</c:f>
              <c:numCache>
                <c:formatCode>#\ ##0.0</c:formatCode>
                <c:ptCount val="4"/>
                <c:pt idx="0">
                  <c:v>0.3036805391847075</c:v>
                </c:pt>
                <c:pt idx="1">
                  <c:v>0.2406721429108698</c:v>
                </c:pt>
                <c:pt idx="2">
                  <c:v>0.32486436203322988</c:v>
                </c:pt>
                <c:pt idx="3">
                  <c:v>0.86921704412880718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0C5-4435-A469-7F7576791E35}"/>
            </c:ext>
          </c:extLst>
        </c:ser>
        <c:ser>
          <c:idx val="4"/>
          <c:order val="4"/>
          <c:tx>
            <c:strRef>
              <c:f>'G24'!$A$8</c:f>
              <c:strCache>
                <c:ptCount val="1"/>
                <c:pt idx="0">
                  <c:v>Dotácie a ost. transfery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'G24'!$B$2:$E$2</c:f>
              <c:strCache>
                <c:ptCount val="4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kumulatívne</c:v>
                </c:pt>
              </c:strCache>
            </c:strRef>
          </c:cat>
          <c:val>
            <c:numRef>
              <c:f>'G24'!$B$8:$E$8</c:f>
              <c:numCache>
                <c:formatCode>#\ ##0.0</c:formatCode>
                <c:ptCount val="4"/>
                <c:pt idx="0">
                  <c:v>0.16912656289676953</c:v>
                </c:pt>
                <c:pt idx="1">
                  <c:v>0.31218219362200372</c:v>
                </c:pt>
                <c:pt idx="2">
                  <c:v>0.19367860638634848</c:v>
                </c:pt>
                <c:pt idx="3">
                  <c:v>0.67498736290512173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0C5-4435-A469-7F7576791E35}"/>
            </c:ext>
          </c:extLst>
        </c:ser>
        <c:ser>
          <c:idx val="5"/>
          <c:order val="5"/>
          <c:tx>
            <c:strRef>
              <c:f>'G24'!$A$9</c:f>
              <c:strCache>
                <c:ptCount val="1"/>
                <c:pt idx="0">
                  <c:v>Úroky </c:v>
                </c:pt>
              </c:strCache>
            </c:strRef>
          </c:tx>
          <c:spPr>
            <a:solidFill>
              <a:schemeClr val="accent4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'G24'!$B$2:$E$2</c:f>
              <c:strCache>
                <c:ptCount val="4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kumulatívne</c:v>
                </c:pt>
              </c:strCache>
            </c:strRef>
          </c:cat>
          <c:val>
            <c:numRef>
              <c:f>'G24'!$B$9:$E$9</c:f>
              <c:numCache>
                <c:formatCode>#\ ##0.0</c:formatCode>
                <c:ptCount val="4"/>
                <c:pt idx="0">
                  <c:v>0.19062779088977599</c:v>
                </c:pt>
                <c:pt idx="1">
                  <c:v>7.5115789384042841E-2</c:v>
                </c:pt>
                <c:pt idx="2">
                  <c:v>7.639295522539169E-2</c:v>
                </c:pt>
                <c:pt idx="3">
                  <c:v>0.34213653549921053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0C5-4435-A469-7F7576791E35}"/>
            </c:ext>
          </c:extLst>
        </c:ser>
        <c:ser>
          <c:idx val="6"/>
          <c:order val="6"/>
          <c:tx>
            <c:strRef>
              <c:f>'G24'!$A$10</c:f>
              <c:strCache>
                <c:ptCount val="1"/>
                <c:pt idx="0">
                  <c:v>Ostatné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'G24'!$B$2:$E$2</c:f>
              <c:strCache>
                <c:ptCount val="4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kumulatívne</c:v>
                </c:pt>
              </c:strCache>
            </c:strRef>
          </c:cat>
          <c:val>
            <c:numRef>
              <c:f>'G24'!$B$10:$E$10</c:f>
              <c:numCache>
                <c:formatCode>#\ ##0.0</c:formatCode>
                <c:ptCount val="4"/>
                <c:pt idx="0">
                  <c:v>-5.8592161489967154E-2</c:v>
                </c:pt>
                <c:pt idx="1">
                  <c:v>5.0056770927945138E-2</c:v>
                </c:pt>
                <c:pt idx="2">
                  <c:v>2.5924190906047251E-2</c:v>
                </c:pt>
                <c:pt idx="3">
                  <c:v>1.7388800344025235E-2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0C5-4435-A469-7F7576791E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69728704"/>
        <c:axId val="369730672"/>
      </c:barChart>
      <c:lineChart>
        <c:grouping val="standard"/>
        <c:varyColors val="0"/>
        <c:ser>
          <c:idx val="7"/>
          <c:order val="7"/>
          <c:tx>
            <c:v>Spolu</c:v>
          </c:tx>
          <c:spPr>
            <a:ln w="28575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val>
            <c:numRef>
              <c:f>'G24'!$B$3:$E$3</c:f>
              <c:numCache>
                <c:formatCode>#\ ##0.0</c:formatCode>
                <c:ptCount val="4"/>
                <c:pt idx="0">
                  <c:v>0.75460367410668905</c:v>
                </c:pt>
                <c:pt idx="1">
                  <c:v>0.77492767998381318</c:v>
                </c:pt>
                <c:pt idx="2">
                  <c:v>0.52927861826432587</c:v>
                </c:pt>
                <c:pt idx="3">
                  <c:v>2.0588099723548279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0C5-4435-A469-7F7576791E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9728704"/>
        <c:axId val="369730672"/>
      </c:lineChart>
      <c:catAx>
        <c:axId val="3697287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369730672"/>
        <c:crosses val="autoZero"/>
        <c:auto val="1"/>
        <c:lblAlgn val="ctr"/>
        <c:lblOffset val="100"/>
        <c:noMultiLvlLbl val="0"/>
      </c:catAx>
      <c:valAx>
        <c:axId val="369730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#\ 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3697287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8.2102580927384095E-2"/>
          <c:y val="5.0345581802274712E-2"/>
          <c:w val="0.72468372703412076"/>
          <c:h val="0.1996544181977252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onstantia" panose="02030602050306030303" pitchFamily="18" charset="0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latin typeface="Constantia" panose="02030602050306030303" pitchFamily="18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707112430618302"/>
          <c:y val="4.0523853784260815E-2"/>
          <c:w val="0.77173053368328959"/>
          <c:h val="0.84688247302420527"/>
        </c:manualLayout>
      </c:layout>
      <c:barChart>
        <c:barDir val="bar"/>
        <c:grouping val="clustered"/>
        <c:varyColors val="0"/>
        <c:ser>
          <c:idx val="2"/>
          <c:order val="0"/>
          <c:tx>
            <c:v>Zmiešané</c:v>
          </c:tx>
          <c:spPr>
            <a:solidFill>
              <a:srgbClr val="58595B"/>
            </a:solidFill>
            <a:ln>
              <a:noFill/>
            </a:ln>
            <a:effectLst/>
          </c:spPr>
          <c:invertIfNegative val="0"/>
          <c:cat>
            <c:strRef>
              <c:f>'G25'!$A$4:$A$14</c:f>
              <c:strCache>
                <c:ptCount val="11"/>
                <c:pt idx="0">
                  <c:v>Ostatné</c:v>
                </c:pt>
                <c:pt idx="1">
                  <c:v>Mzdy</c:v>
                </c:pt>
                <c:pt idx="2">
                  <c:v>Spolufinancovanie</c:v>
                </c:pt>
                <c:pt idx="3">
                  <c:v>Starobné dôchodky</c:v>
                </c:pt>
                <c:pt idx="4">
                  <c:v>Rezervy</c:v>
                </c:pt>
                <c:pt idx="5">
                  <c:v>Medzispotreba</c:v>
                </c:pt>
                <c:pt idx="6">
                  <c:v>Zdravotníctvo</c:v>
                </c:pt>
                <c:pt idx="7">
                  <c:v>Investície</c:v>
                </c:pt>
                <c:pt idx="8">
                  <c:v>Emisné kvóty</c:v>
                </c:pt>
                <c:pt idx="9">
                  <c:v>Dane</c:v>
                </c:pt>
                <c:pt idx="10">
                  <c:v>Dividendy</c:v>
                </c:pt>
              </c:strCache>
            </c:strRef>
          </c:cat>
          <c:val>
            <c:numRef>
              <c:f>'G25'!$E$8:$E$14</c:f>
              <c:numCache>
                <c:formatCode>General</c:formatCode>
                <c:ptCount val="7"/>
              </c:numCache>
            </c:numRef>
          </c:val>
          <c:extLst>
            <c:ext xmlns:c16="http://schemas.microsoft.com/office/drawing/2014/chart" uri="{C3380CC4-5D6E-409C-BE32-E72D297353CC}">
              <c16:uniqueId val="{00000000-C676-449C-949B-AEA57F5CC94B}"/>
            </c:ext>
          </c:extLst>
        </c:ser>
        <c:ser>
          <c:idx val="1"/>
          <c:order val="1"/>
          <c:tx>
            <c:v>Výdavky</c:v>
          </c:tx>
          <c:spPr>
            <a:solidFill>
              <a:srgbClr val="DCB47B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58595B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C676-449C-949B-AEA57F5CC94B}"/>
              </c:ext>
            </c:extLst>
          </c:dPt>
          <c:dPt>
            <c:idx val="8"/>
            <c:invertIfNegative val="0"/>
            <c:bubble3D val="0"/>
            <c:spPr>
              <a:solidFill>
                <a:srgbClr val="13B5EA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C676-449C-949B-AEA57F5CC94B}"/>
              </c:ext>
            </c:extLst>
          </c:dPt>
          <c:dPt>
            <c:idx val="9"/>
            <c:invertIfNegative val="0"/>
            <c:bubble3D val="0"/>
            <c:spPr>
              <a:solidFill>
                <a:srgbClr val="13B5EA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C676-449C-949B-AEA57F5CC94B}"/>
              </c:ext>
            </c:extLst>
          </c:dPt>
          <c:dPt>
            <c:idx val="10"/>
            <c:invertIfNegative val="0"/>
            <c:bubble3D val="0"/>
            <c:spPr>
              <a:solidFill>
                <a:srgbClr val="13B5EA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C676-449C-949B-AEA57F5CC94B}"/>
              </c:ext>
            </c:extLst>
          </c:dPt>
          <c:cat>
            <c:strRef>
              <c:f>'G25'!$A$4:$A$14</c:f>
              <c:strCache>
                <c:ptCount val="11"/>
                <c:pt idx="0">
                  <c:v>Ostatné</c:v>
                </c:pt>
                <c:pt idx="1">
                  <c:v>Mzdy</c:v>
                </c:pt>
                <c:pt idx="2">
                  <c:v>Spolufinancovanie</c:v>
                </c:pt>
                <c:pt idx="3">
                  <c:v>Starobné dôchodky</c:v>
                </c:pt>
                <c:pt idx="4">
                  <c:v>Rezervy</c:v>
                </c:pt>
                <c:pt idx="5">
                  <c:v>Medzispotreba</c:v>
                </c:pt>
                <c:pt idx="6">
                  <c:v>Zdravotníctvo</c:v>
                </c:pt>
                <c:pt idx="7">
                  <c:v>Investície</c:v>
                </c:pt>
                <c:pt idx="8">
                  <c:v>Emisné kvóty</c:v>
                </c:pt>
                <c:pt idx="9">
                  <c:v>Dane</c:v>
                </c:pt>
                <c:pt idx="10">
                  <c:v>Dividendy</c:v>
                </c:pt>
              </c:strCache>
            </c:strRef>
          </c:cat>
          <c:val>
            <c:numRef>
              <c:f>'G25'!$D$4:$D$14</c:f>
              <c:numCache>
                <c:formatCode>#,##0.00</c:formatCode>
                <c:ptCount val="11"/>
                <c:pt idx="0" formatCode="0.00">
                  <c:v>-0.11693891834942867</c:v>
                </c:pt>
                <c:pt idx="1">
                  <c:v>-2.4168404545200532E-2</c:v>
                </c:pt>
                <c:pt idx="2" formatCode="0.00">
                  <c:v>-0.12508872526159825</c:v>
                </c:pt>
                <c:pt idx="3">
                  <c:v>-0.13088336923459801</c:v>
                </c:pt>
                <c:pt idx="4" formatCode="0.00">
                  <c:v>-0.27446116486550287</c:v>
                </c:pt>
                <c:pt idx="5" formatCode="0.00">
                  <c:v>0.17909969436617698</c:v>
                </c:pt>
                <c:pt idx="6">
                  <c:v>0.31893077271804859</c:v>
                </c:pt>
                <c:pt idx="7">
                  <c:v>0.33374532580622573</c:v>
                </c:pt>
                <c:pt idx="8">
                  <c:v>7.2231458177448818E-2</c:v>
                </c:pt>
                <c:pt idx="9" formatCode="0.00">
                  <c:v>0.10681233059651724</c:v>
                </c:pt>
                <c:pt idx="10" formatCode="0.00">
                  <c:v>0.16133465908199626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C676-449C-949B-AEA57F5CC94B}"/>
            </c:ext>
          </c:extLst>
        </c:ser>
        <c:ser>
          <c:idx val="0"/>
          <c:order val="2"/>
          <c:tx>
            <c:v>Príjmy</c:v>
          </c:tx>
          <c:spPr>
            <a:solidFill>
              <a:srgbClr val="13B5EA"/>
            </a:solidFill>
            <a:ln>
              <a:noFill/>
            </a:ln>
            <a:effectLst/>
          </c:spPr>
          <c:invertIfNegative val="0"/>
          <c:cat>
            <c:strRef>
              <c:f>'G25'!$A$4:$A$14</c:f>
              <c:strCache>
                <c:ptCount val="11"/>
                <c:pt idx="0">
                  <c:v>Ostatné</c:v>
                </c:pt>
                <c:pt idx="1">
                  <c:v>Mzdy</c:v>
                </c:pt>
                <c:pt idx="2">
                  <c:v>Spolufinancovanie</c:v>
                </c:pt>
                <c:pt idx="3">
                  <c:v>Starobné dôchodky</c:v>
                </c:pt>
                <c:pt idx="4">
                  <c:v>Rezervy</c:v>
                </c:pt>
                <c:pt idx="5">
                  <c:v>Medzispotreba</c:v>
                </c:pt>
                <c:pt idx="6">
                  <c:v>Zdravotníctvo</c:v>
                </c:pt>
                <c:pt idx="7">
                  <c:v>Investície</c:v>
                </c:pt>
                <c:pt idx="8">
                  <c:v>Emisné kvóty</c:v>
                </c:pt>
                <c:pt idx="9">
                  <c:v>Dane</c:v>
                </c:pt>
                <c:pt idx="10">
                  <c:v>Dividendy</c:v>
                </c:pt>
              </c:strCache>
            </c:strRef>
          </c:cat>
          <c:val>
            <c:numRef>
              <c:f>'G25'!$C$8:$C$14</c:f>
              <c:numCache>
                <c:formatCode>0.00</c:formatCode>
                <c:ptCount val="7"/>
              </c:numCache>
            </c:numRef>
          </c:val>
          <c:extLst>
            <c:ext xmlns:c16="http://schemas.microsoft.com/office/drawing/2014/chart" uri="{C3380CC4-5D6E-409C-BE32-E72D297353CC}">
              <c16:uniqueId val="{0000000A-C676-449C-949B-AEA57F5CC9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394290656"/>
        <c:axId val="394291832"/>
      </c:barChart>
      <c:catAx>
        <c:axId val="39429065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394291832"/>
        <c:crosses val="autoZero"/>
        <c:auto val="1"/>
        <c:lblAlgn val="ctr"/>
        <c:lblOffset val="100"/>
        <c:noMultiLvlLbl val="0"/>
      </c:catAx>
      <c:valAx>
        <c:axId val="394291832"/>
        <c:scaling>
          <c:orientation val="minMax"/>
          <c:max val="0.4"/>
          <c:min val="-0.30000000000000004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394290656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4525340070196133"/>
          <c:y val="0.64198815805840603"/>
          <c:w val="0.19539237923128461"/>
          <c:h val="0.2393229777692514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onstantia" panose="02030602050306030303" pitchFamily="18" charset="0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latin typeface="Constantia" panose="02030602050306030303" pitchFamily="18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4331146106736652E-2"/>
          <c:y val="5.0925925925925923E-2"/>
          <c:w val="0.82992082239720033"/>
          <c:h val="0.8416746864975212"/>
        </c:manualLayout>
      </c:layout>
      <c:areaChart>
        <c:grouping val="standard"/>
        <c:varyColors val="0"/>
        <c:ser>
          <c:idx val="1"/>
          <c:order val="0"/>
          <c:tx>
            <c:v>Scenár nezmenených politík</c:v>
          </c:tx>
          <c:spPr>
            <a:solidFill>
              <a:srgbClr val="58595B"/>
            </a:solidFill>
            <a:ln w="25400">
              <a:noFill/>
            </a:ln>
            <a:effectLst/>
          </c:spP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0F3-404E-A9F0-5F5FA17D95E2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0F3-404E-A9F0-5F5FA17D95E2}"/>
                </c:ext>
              </c:extLst>
            </c:dLbl>
            <c:dLbl>
              <c:idx val="2"/>
              <c:layout>
                <c:manualLayout>
                  <c:x val="-1.0386473429951691E-2"/>
                  <c:y val="-0.129417150725011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0F3-404E-A9F0-5F5FA17D95E2}"/>
                </c:ext>
              </c:extLst>
            </c:dLbl>
            <c:dLbl>
              <c:idx val="3"/>
              <c:layout>
                <c:manualLayout>
                  <c:x val="-3.6231884057979873E-4"/>
                  <c:y val="-0.112704961060195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0F3-404E-A9F0-5F5FA17D95E2}"/>
                </c:ext>
              </c:extLst>
            </c:dLbl>
            <c:dLbl>
              <c:idx val="4"/>
              <c:layout>
                <c:manualLayout>
                  <c:x val="-1.8719806763285024E-2"/>
                  <c:y val="-0.238448603760595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0F3-404E-A9F0-5F5FA17D95E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Constantia" panose="02030602050306030303" pitchFamily="18" charset="0"/>
                    <a:ea typeface="+mn-ea"/>
                    <a:cs typeface="+mn-cs"/>
                  </a:defRPr>
                </a:pPr>
                <a:endParaRPr lang="sk-SK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'G26'!$B$2:$F$2</c:f>
              <c:numCache>
                <c:formatCode>General</c:formatCode>
                <c:ptCount val="5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</c:numCache>
            </c:numRef>
          </c:cat>
          <c:val>
            <c:numRef>
              <c:f>'G26'!$B$4:$F$4</c:f>
              <c:numCache>
                <c:formatCode>#\ ##0.0</c:formatCode>
                <c:ptCount val="5"/>
                <c:pt idx="0">
                  <c:v>52.478471283182692</c:v>
                </c:pt>
                <c:pt idx="1">
                  <c:v>53.465215740453345</c:v>
                </c:pt>
                <c:pt idx="2">
                  <c:v>51.500912968598357</c:v>
                </c:pt>
                <c:pt idx="3">
                  <c:v>50.07856626299688</c:v>
                </c:pt>
                <c:pt idx="4">
                  <c:v>50.793927110053531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0F3-404E-A9F0-5F5FA17D95E2}"/>
            </c:ext>
          </c:extLst>
        </c:ser>
        <c:ser>
          <c:idx val="0"/>
          <c:order val="1"/>
          <c:tx>
            <c:v>Prognóza MFSR</c:v>
          </c:tx>
          <c:spPr>
            <a:solidFill>
              <a:srgbClr val="13B5EA">
                <a:alpha val="50000"/>
              </a:srgbClr>
            </a:solidFill>
            <a:ln>
              <a:noFill/>
            </a:ln>
            <a:effectLst/>
          </c:spPr>
          <c:dLbls>
            <c:dLbl>
              <c:idx val="0"/>
              <c:layout>
                <c:manualLayout>
                  <c:x val="2.5000000000000001E-2"/>
                  <c:y val="-0.208333204251107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0F3-404E-A9F0-5F5FA17D95E2}"/>
                </c:ext>
              </c:extLst>
            </c:dLbl>
            <c:dLbl>
              <c:idx val="1"/>
              <c:layout>
                <c:manualLayout>
                  <c:x val="-8.3333333333333332E-3"/>
                  <c:y val="-0.207559055118110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0F3-404E-A9F0-5F5FA17D95E2}"/>
                </c:ext>
              </c:extLst>
            </c:dLbl>
            <c:dLbl>
              <c:idx val="2"/>
              <c:layout>
                <c:manualLayout>
                  <c:x val="-3.1402012248469961E-3"/>
                  <c:y val="-0.208333204251108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0F3-404E-A9F0-5F5FA17D95E2}"/>
                </c:ext>
              </c:extLst>
            </c:dLbl>
            <c:dLbl>
              <c:idx val="3"/>
              <c:layout>
                <c:manualLayout>
                  <c:x val="-2.7777777777777779E-3"/>
                  <c:y val="-0.167440643690030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0F3-404E-A9F0-5F5FA17D95E2}"/>
                </c:ext>
              </c:extLst>
            </c:dLbl>
            <c:dLbl>
              <c:idx val="4"/>
              <c:layout>
                <c:manualLayout>
                  <c:x val="-3.6111111111111108E-2"/>
                  <c:y val="-0.101866873198227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0F3-404E-A9F0-5F5FA17D95E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Constantia" panose="02030602050306030303" pitchFamily="18" charset="0"/>
                    <a:ea typeface="+mn-ea"/>
                    <a:cs typeface="+mn-cs"/>
                  </a:defRPr>
                </a:pPr>
                <a:endParaRPr lang="sk-SK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'G26'!$B$2:$F$2</c:f>
              <c:numCache>
                <c:formatCode>General</c:formatCode>
                <c:ptCount val="5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</c:numCache>
            </c:numRef>
          </c:cat>
          <c:val>
            <c:numRef>
              <c:f>'G26'!$B$6:$F$6</c:f>
              <c:numCache>
                <c:formatCode>#\ ##0.0</c:formatCode>
                <c:ptCount val="5"/>
                <c:pt idx="0">
                  <c:v>52.478471283182692</c:v>
                </c:pt>
                <c:pt idx="1">
                  <c:v>53.494943375238059</c:v>
                </c:pt>
                <c:pt idx="2">
                  <c:v>52.724445598001701</c:v>
                </c:pt>
                <c:pt idx="3">
                  <c:v>51.402317860221217</c:v>
                </c:pt>
                <c:pt idx="4">
                  <c:v>49.061398127254158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50F3-404E-A9F0-5F5FA17D95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94292616"/>
        <c:axId val="394289872"/>
      </c:areaChart>
      <c:catAx>
        <c:axId val="3942926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394289872"/>
        <c:crosses val="autoZero"/>
        <c:auto val="1"/>
        <c:lblAlgn val="ctr"/>
        <c:lblOffset val="100"/>
        <c:noMultiLvlLbl val="0"/>
      </c:catAx>
      <c:valAx>
        <c:axId val="394289872"/>
        <c:scaling>
          <c:orientation val="minMax"/>
          <c:max val="60"/>
          <c:min val="44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#\ 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39429261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8.2096456692913378E-2"/>
          <c:y val="5.266039661708953E-2"/>
          <c:w val="0.38179243219597553"/>
          <c:h val="0.1400495771361912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onstantia" panose="02030602050306030303" pitchFamily="18" charset="0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latin typeface="Constantia" panose="02030602050306030303" pitchFamily="18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612292213473316E-2"/>
          <c:y val="5.0925925925925923E-2"/>
          <c:w val="0.88332152230971128"/>
          <c:h val="0.8709463400408280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'G27'!$A$3</c:f>
              <c:strCache>
                <c:ptCount val="1"/>
                <c:pt idx="0">
                  <c:v>Dlh v NPC scenári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'G27'!$B$2:$E$2</c:f>
              <c:numCache>
                <c:formatCode>General</c:formatCode>
                <c:ptCount val="4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</c:numCache>
            </c:numRef>
          </c:cat>
          <c:val>
            <c:numRef>
              <c:f>'G27'!$B$3:$E$3</c:f>
              <c:numCache>
                <c:formatCode>#\ ##0.0</c:formatCode>
                <c:ptCount val="4"/>
                <c:pt idx="0">
                  <c:v>0.98674445727065319</c:v>
                </c:pt>
                <c:pt idx="1">
                  <c:v>-1.9643027718549888</c:v>
                </c:pt>
                <c:pt idx="2">
                  <c:v>-1.4223467056014769</c:v>
                </c:pt>
                <c:pt idx="3">
                  <c:v>0.71536084705665104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DE-4315-94F1-AB354BCDCA30}"/>
            </c:ext>
          </c:extLst>
        </c:ser>
        <c:ser>
          <c:idx val="1"/>
          <c:order val="1"/>
          <c:tx>
            <c:strRef>
              <c:f>'G27'!$A$4</c:f>
              <c:strCache>
                <c:ptCount val="1"/>
                <c:pt idx="0">
                  <c:v>Opatrenia v salde (NRVS)</c:v>
                </c:pt>
              </c:strCache>
            </c:strRef>
          </c:tx>
          <c:spPr>
            <a:solidFill>
              <a:srgbClr val="13B5EA"/>
            </a:solidFill>
            <a:ln>
              <a:noFill/>
            </a:ln>
            <a:effectLst/>
          </c:spPr>
          <c:invertIfNegative val="0"/>
          <c:cat>
            <c:numRef>
              <c:f>'G27'!$B$2:$E$2</c:f>
              <c:numCache>
                <c:formatCode>General</c:formatCode>
                <c:ptCount val="4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</c:numCache>
            </c:numRef>
          </c:cat>
          <c:val>
            <c:numRef>
              <c:f>'G27'!$B$4:$E$4</c:f>
              <c:numCache>
                <c:formatCode>#\ ##0.0</c:formatCode>
                <c:ptCount val="4"/>
                <c:pt idx="0">
                  <c:v>-0.57862567062952641</c:v>
                </c:pt>
                <c:pt idx="1">
                  <c:v>-0.49121069774374948</c:v>
                </c:pt>
                <c:pt idx="2">
                  <c:v>-0.53486703172900218</c:v>
                </c:pt>
                <c:pt idx="3">
                  <c:v>-0.51731133193779166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DE-4315-94F1-AB354BCDCA30}"/>
            </c:ext>
          </c:extLst>
        </c:ser>
        <c:ser>
          <c:idx val="3"/>
          <c:order val="2"/>
          <c:tx>
            <c:strRef>
              <c:f>'G27'!$A$5</c:f>
              <c:strCache>
                <c:ptCount val="1"/>
                <c:pt idx="0">
                  <c:v>Ostatné vplyvy</c:v>
                </c:pt>
              </c:strCache>
            </c:strRef>
          </c:tx>
          <c:spPr>
            <a:solidFill>
              <a:srgbClr val="DCB47B"/>
            </a:solidFill>
            <a:ln>
              <a:noFill/>
            </a:ln>
            <a:effectLst/>
          </c:spPr>
          <c:invertIfNegative val="0"/>
          <c:cat>
            <c:numRef>
              <c:f>'G27'!$B$2:$E$2</c:f>
              <c:numCache>
                <c:formatCode>General</c:formatCode>
                <c:ptCount val="4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</c:numCache>
            </c:numRef>
          </c:cat>
          <c:val>
            <c:numRef>
              <c:f>'G27'!$B$5:$E$5</c:f>
              <c:numCache>
                <c:formatCode>#\ ##0.0</c:formatCode>
                <c:ptCount val="4"/>
                <c:pt idx="0">
                  <c:v>0.60835330541423949</c:v>
                </c:pt>
                <c:pt idx="1">
                  <c:v>1.6850156923623807</c:v>
                </c:pt>
                <c:pt idx="2">
                  <c:v>0.63508599954999523</c:v>
                </c:pt>
                <c:pt idx="3">
                  <c:v>-2.5389692480859183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1DE-4315-94F1-AB354BCDCA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53669800"/>
        <c:axId val="353672544"/>
      </c:barChart>
      <c:lineChart>
        <c:grouping val="standard"/>
        <c:varyColors val="0"/>
        <c:ser>
          <c:idx val="4"/>
          <c:order val="3"/>
          <c:tx>
            <c:strRef>
              <c:f>'G27'!$A$6</c:f>
              <c:strCache>
                <c:ptCount val="1"/>
                <c:pt idx="0">
                  <c:v>Prognóza vlády</c:v>
                </c:pt>
              </c:strCache>
            </c:strRef>
          </c:tx>
          <c:spPr>
            <a:ln w="28575" cap="rnd">
              <a:solidFill>
                <a:srgbClr val="58595B"/>
              </a:solidFill>
              <a:round/>
            </a:ln>
            <a:effectLst/>
          </c:spPr>
          <c:marker>
            <c:symbol val="none"/>
          </c:marker>
          <c:cat>
            <c:multiLvlStrRef>
              <c:f>#REF!</c:f>
            </c:multiLvlStrRef>
          </c:cat>
          <c:val>
            <c:numRef>
              <c:f>'G27'!$B$6:$E$6</c:f>
              <c:numCache>
                <c:formatCode>#\ ##0.0</c:formatCode>
                <c:ptCount val="4"/>
                <c:pt idx="0">
                  <c:v>1.0164720920553663</c:v>
                </c:pt>
                <c:pt idx="1">
                  <c:v>-0.77049777723635771</c:v>
                </c:pt>
                <c:pt idx="2">
                  <c:v>-1.3221277377804839</c:v>
                </c:pt>
                <c:pt idx="3">
                  <c:v>-2.340919732967059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1DE-4315-94F1-AB354BCDCA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3669800"/>
        <c:axId val="353672544"/>
      </c:lineChart>
      <c:catAx>
        <c:axId val="3536698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353672544"/>
        <c:crosses val="autoZero"/>
        <c:auto val="1"/>
        <c:lblAlgn val="ctr"/>
        <c:lblOffset val="100"/>
        <c:noMultiLvlLbl val="0"/>
      </c:catAx>
      <c:valAx>
        <c:axId val="3536725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#\ 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3536698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385239596728262E-2"/>
          <c:y val="0.70339115359657522"/>
          <c:w val="0.44741836800601265"/>
          <c:h val="0.2147128841367153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onstantia" panose="02030602050306030303" pitchFamily="18" charset="0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latin typeface="Constantia" panose="02030602050306030303" pitchFamily="18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2370432536058382E-2"/>
          <c:y val="0.16340641551542581"/>
          <c:w val="0.89447370802787562"/>
          <c:h val="0.77272132899555224"/>
        </c:manualLayout>
      </c:layout>
      <c:areaChart>
        <c:grouping val="stacked"/>
        <c:varyColors val="0"/>
        <c:ser>
          <c:idx val="0"/>
          <c:order val="0"/>
          <c:tx>
            <c:strRef>
              <c:f>'G28'!$A$2</c:f>
              <c:strCache>
                <c:ptCount val="1"/>
                <c:pt idx="0">
                  <c:v>MF SR</c:v>
                </c:pt>
              </c:strCache>
            </c:strRef>
          </c:tx>
          <c:spPr>
            <a:solidFill>
              <a:srgbClr val="B2E4F8"/>
            </a:solidFill>
            <a:ln w="28575">
              <a:solidFill>
                <a:srgbClr val="B2E4F8"/>
              </a:solidFill>
            </a:ln>
            <a:effectLst/>
          </c:spPr>
          <c:cat>
            <c:strRef>
              <c:f>'G28'!$B$1:$Z$1</c:f>
              <c:strCache>
                <c:ptCount val="2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2016O</c:v>
                </c:pt>
                <c:pt idx="22">
                  <c:v>2017N</c:v>
                </c:pt>
                <c:pt idx="23">
                  <c:v>2018N</c:v>
                </c:pt>
                <c:pt idx="24">
                  <c:v>2019N</c:v>
                </c:pt>
              </c:strCache>
            </c:strRef>
          </c:cat>
          <c:val>
            <c:numRef>
              <c:f>'G28'!$B$2:$Z$2</c:f>
              <c:numCache>
                <c:formatCode>0.0</c:formatCode>
                <c:ptCount val="25"/>
                <c:pt idx="0">
                  <c:v>-3.3</c:v>
                </c:pt>
                <c:pt idx="1">
                  <c:v>-9.6999999999999993</c:v>
                </c:pt>
                <c:pt idx="2">
                  <c:v>-6.2</c:v>
                </c:pt>
                <c:pt idx="3">
                  <c:v>-5.2</c:v>
                </c:pt>
                <c:pt idx="4">
                  <c:v>-7.3</c:v>
                </c:pt>
                <c:pt idx="5">
                  <c:v>-12</c:v>
                </c:pt>
                <c:pt idx="6">
                  <c:v>-6.4</c:v>
                </c:pt>
                <c:pt idx="7">
                  <c:v>-8.1</c:v>
                </c:pt>
                <c:pt idx="8">
                  <c:v>-2.7</c:v>
                </c:pt>
                <c:pt idx="9">
                  <c:v>-2.2999999999999998</c:v>
                </c:pt>
                <c:pt idx="10">
                  <c:v>-2.9</c:v>
                </c:pt>
                <c:pt idx="11">
                  <c:v>-3.6</c:v>
                </c:pt>
                <c:pt idx="12">
                  <c:v>-1.9</c:v>
                </c:pt>
                <c:pt idx="13">
                  <c:v>-2.4</c:v>
                </c:pt>
                <c:pt idx="14">
                  <c:v>-7.8</c:v>
                </c:pt>
                <c:pt idx="15">
                  <c:v>-7.5</c:v>
                </c:pt>
                <c:pt idx="16">
                  <c:v>-4.3</c:v>
                </c:pt>
                <c:pt idx="17">
                  <c:v>-4.3</c:v>
                </c:pt>
                <c:pt idx="18">
                  <c:v>-2.7</c:v>
                </c:pt>
                <c:pt idx="19">
                  <c:v>-2.7</c:v>
                </c:pt>
                <c:pt idx="20">
                  <c:v>-2.7</c:v>
                </c:pt>
                <c:pt idx="21">
                  <c:v>-1.970000324279477</c:v>
                </c:pt>
                <c:pt idx="22">
                  <c:v>-1.2900001435861632</c:v>
                </c:pt>
                <c:pt idx="23">
                  <c:v>-0.44000038092532345</c:v>
                </c:pt>
                <c:pt idx="24">
                  <c:v>0.15999958902343381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24-4F6A-89EC-4905DD73D1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82813120"/>
        <c:axId val="382813512"/>
      </c:areaChart>
      <c:lineChart>
        <c:grouping val="standard"/>
        <c:varyColors val="0"/>
        <c:ser>
          <c:idx val="1"/>
          <c:order val="1"/>
          <c:tx>
            <c:strRef>
              <c:f>'G28'!$A$3</c:f>
              <c:strCache>
                <c:ptCount val="1"/>
                <c:pt idx="0">
                  <c:v>RRZ</c:v>
                </c:pt>
              </c:strCache>
            </c:strRef>
          </c:tx>
          <c:spPr>
            <a:ln w="28575" cap="rnd">
              <a:solidFill>
                <a:srgbClr val="13B5EA"/>
              </a:solidFill>
              <a:round/>
            </a:ln>
            <a:effectLst/>
          </c:spPr>
          <c:marker>
            <c:symbol val="none"/>
          </c:marker>
          <c:dPt>
            <c:idx val="22"/>
            <c:marker>
              <c:symbol val="none"/>
            </c:marker>
            <c:bubble3D val="0"/>
            <c:spPr>
              <a:ln w="28575" cap="rnd">
                <a:solidFill>
                  <a:srgbClr val="13B5EA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5-B524-4F6A-89EC-4905DD73D1A3}"/>
              </c:ext>
            </c:extLst>
          </c:dPt>
          <c:dLbls>
            <c:dLbl>
              <c:idx val="22"/>
              <c:layout>
                <c:manualLayout>
                  <c:x val="-3.6314506501583396E-2"/>
                  <c:y val="-4.6411428174660457E-2"/>
                </c:manualLayout>
              </c:layout>
              <c:tx>
                <c:rich>
                  <a:bodyPr/>
                  <a:lstStyle/>
                  <a:p>
                    <a:fld id="{ED493071-28E1-4887-A70F-ABDA99D752A4}" type="VALUE">
                      <a:rPr lang="en-US">
                        <a:solidFill>
                          <a:srgbClr val="13B5EA"/>
                        </a:solidFill>
                      </a:rPr>
                      <a:pPr/>
                      <a:t>[HODNOTA]</a:t>
                    </a:fld>
                    <a:endParaRPr lang="sk-SK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B524-4F6A-89EC-4905DD73D1A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Constantia" panose="02030602050306030303" pitchFamily="18" charset="0"/>
                    <a:ea typeface="+mn-ea"/>
                    <a:cs typeface="+mn-cs"/>
                  </a:defRPr>
                </a:pPr>
                <a:endParaRPr lang="sk-SK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'G28'!$B$1:$Z$1</c:f>
              <c:strCache>
                <c:ptCount val="2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2016O</c:v>
                </c:pt>
                <c:pt idx="22">
                  <c:v>2017N</c:v>
                </c:pt>
                <c:pt idx="23">
                  <c:v>2018N</c:v>
                </c:pt>
                <c:pt idx="24">
                  <c:v>2019N</c:v>
                </c:pt>
              </c:strCache>
            </c:strRef>
          </c:cat>
          <c:val>
            <c:numRef>
              <c:f>'G28'!$B$3:$Z$3</c:f>
              <c:numCache>
                <c:formatCode>0.0</c:formatCode>
                <c:ptCount val="25"/>
                <c:pt idx="0">
                  <c:v>-3.3</c:v>
                </c:pt>
                <c:pt idx="1">
                  <c:v>-9.6999999999999993</c:v>
                </c:pt>
                <c:pt idx="2">
                  <c:v>-6.2</c:v>
                </c:pt>
                <c:pt idx="3">
                  <c:v>-5.2</c:v>
                </c:pt>
                <c:pt idx="4">
                  <c:v>-7.3</c:v>
                </c:pt>
                <c:pt idx="5">
                  <c:v>-12</c:v>
                </c:pt>
                <c:pt idx="6">
                  <c:v>-6.4</c:v>
                </c:pt>
                <c:pt idx="7">
                  <c:v>-8.1</c:v>
                </c:pt>
                <c:pt idx="8">
                  <c:v>-2.7</c:v>
                </c:pt>
                <c:pt idx="9">
                  <c:v>-2.2999999999999998</c:v>
                </c:pt>
                <c:pt idx="10">
                  <c:v>-2.9</c:v>
                </c:pt>
                <c:pt idx="11">
                  <c:v>-3.6</c:v>
                </c:pt>
                <c:pt idx="12">
                  <c:v>-1.9</c:v>
                </c:pt>
                <c:pt idx="13">
                  <c:v>-2.4</c:v>
                </c:pt>
                <c:pt idx="14">
                  <c:v>-7.8</c:v>
                </c:pt>
                <c:pt idx="15">
                  <c:v>-7.5</c:v>
                </c:pt>
                <c:pt idx="16">
                  <c:v>-4.3</c:v>
                </c:pt>
                <c:pt idx="17">
                  <c:v>-4.3</c:v>
                </c:pt>
                <c:pt idx="18">
                  <c:v>-2.7</c:v>
                </c:pt>
                <c:pt idx="19">
                  <c:v>-2.7</c:v>
                </c:pt>
                <c:pt idx="20">
                  <c:v>-2.7073322035670961</c:v>
                </c:pt>
                <c:pt idx="21">
                  <c:v>-2.5472177835214453</c:v>
                </c:pt>
                <c:pt idx="22">
                  <c:v>-1.5551103190106681</c:v>
                </c:pt>
                <c:pt idx="23">
                  <c:v>-0.80228009968841574</c:v>
                </c:pt>
                <c:pt idx="24">
                  <c:v>3.5488464429228308E-3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524-4F6A-89EC-4905DD73D1A3}"/>
            </c:ext>
          </c:extLst>
        </c:ser>
        <c:ser>
          <c:idx val="3"/>
          <c:order val="2"/>
          <c:tx>
            <c:strRef>
              <c:f>'G28'!$A$4</c:f>
              <c:strCache>
                <c:ptCount val="1"/>
                <c:pt idx="0">
                  <c:v>NPC RRZ</c:v>
                </c:pt>
              </c:strCache>
            </c:strRef>
          </c:tx>
          <c:spPr>
            <a:ln w="19050" cap="rnd">
              <a:solidFill>
                <a:srgbClr val="58595B"/>
              </a:solidFill>
              <a:prstDash val="sysDash"/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B524-4F6A-89EC-4905DD73D1A3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524-4F6A-89EC-4905DD73D1A3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524-4F6A-89EC-4905DD73D1A3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524-4F6A-89EC-4905DD73D1A3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524-4F6A-89EC-4905DD73D1A3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524-4F6A-89EC-4905DD73D1A3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524-4F6A-89EC-4905DD73D1A3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524-4F6A-89EC-4905DD73D1A3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524-4F6A-89EC-4905DD73D1A3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524-4F6A-89EC-4905DD73D1A3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524-4F6A-89EC-4905DD73D1A3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524-4F6A-89EC-4905DD73D1A3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524-4F6A-89EC-4905DD73D1A3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524-4F6A-89EC-4905DD73D1A3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524-4F6A-89EC-4905DD73D1A3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524-4F6A-89EC-4905DD73D1A3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524-4F6A-89EC-4905DD73D1A3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524-4F6A-89EC-4905DD73D1A3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524-4F6A-89EC-4905DD73D1A3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524-4F6A-89EC-4905DD73D1A3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B524-4F6A-89EC-4905DD73D1A3}"/>
                </c:ext>
              </c:extLst>
            </c:dLbl>
            <c:dLbl>
              <c:idx val="21"/>
              <c:layout>
                <c:manualLayout>
                  <c:x val="-4.0853819814281489E-2"/>
                  <c:y val="-5.80142852183256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CB0-4ADE-BB1E-BB788D3B8C67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CB0-4ADE-BB1E-BB788D3B8C67}"/>
                </c:ext>
              </c:extLst>
            </c:dLbl>
            <c:dLbl>
              <c:idx val="23"/>
              <c:layout>
                <c:manualLayout>
                  <c:x val="-3.6314506501583396E-2"/>
                  <c:y val="-5.8014285218325572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-0,8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CB0-4ADE-BB1E-BB788D3B8C67}"/>
                </c:ext>
              </c:extLst>
            </c:dLbl>
            <c:dLbl>
              <c:idx val="24"/>
              <c:layout>
                <c:manualLayout>
                  <c:x val="-6.8089699690468868E-3"/>
                  <c:y val="-6.1881904232880612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0,0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CB0-4ADE-BB1E-BB788D3B8C67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13B5EA"/>
                    </a:solidFill>
                    <a:latin typeface="Constantia" panose="02030602050306030303" pitchFamily="18" charset="0"/>
                    <a:ea typeface="+mn-ea"/>
                    <a:cs typeface="+mn-cs"/>
                  </a:defRPr>
                </a:pPr>
                <a:endParaRPr lang="sk-SK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'G28'!$B$4:$Z$4</c:f>
              <c:numCache>
                <c:formatCode>0.0</c:formatCode>
                <c:ptCount val="25"/>
                <c:pt idx="0">
                  <c:v>-3.3</c:v>
                </c:pt>
                <c:pt idx="1">
                  <c:v>-9.6999999999999993</c:v>
                </c:pt>
                <c:pt idx="2">
                  <c:v>-6.2</c:v>
                </c:pt>
                <c:pt idx="3">
                  <c:v>-5.2</c:v>
                </c:pt>
                <c:pt idx="4">
                  <c:v>-7.3</c:v>
                </c:pt>
                <c:pt idx="5">
                  <c:v>-12</c:v>
                </c:pt>
                <c:pt idx="6">
                  <c:v>-6.4</c:v>
                </c:pt>
                <c:pt idx="7">
                  <c:v>-8.1</c:v>
                </c:pt>
                <c:pt idx="8">
                  <c:v>-2.7</c:v>
                </c:pt>
                <c:pt idx="9">
                  <c:v>-2.2999999999999998</c:v>
                </c:pt>
                <c:pt idx="10">
                  <c:v>-2.9</c:v>
                </c:pt>
                <c:pt idx="11">
                  <c:v>-3.6</c:v>
                </c:pt>
                <c:pt idx="12">
                  <c:v>-1.9</c:v>
                </c:pt>
                <c:pt idx="13">
                  <c:v>-2.4</c:v>
                </c:pt>
                <c:pt idx="14">
                  <c:v>-7.8</c:v>
                </c:pt>
                <c:pt idx="15">
                  <c:v>-7.5</c:v>
                </c:pt>
                <c:pt idx="16">
                  <c:v>-4.3</c:v>
                </c:pt>
                <c:pt idx="17">
                  <c:v>-4.3</c:v>
                </c:pt>
                <c:pt idx="18">
                  <c:v>-2.7</c:v>
                </c:pt>
                <c:pt idx="19">
                  <c:v>-2.7</c:v>
                </c:pt>
                <c:pt idx="20">
                  <c:v>-2.7073322035670961</c:v>
                </c:pt>
                <c:pt idx="21">
                  <c:v>-2.5324364536682773</c:v>
                </c:pt>
                <c:pt idx="22">
                  <c:v>-1.778322665899863</c:v>
                </c:pt>
                <c:pt idx="23">
                  <c:v>-1.0033949859160498</c:v>
                </c:pt>
                <c:pt idx="24">
                  <c:v>-0.47411636765172394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524-4F6A-89EC-4905DD73D1A3}"/>
            </c:ext>
          </c:extLst>
        </c:ser>
        <c:ser>
          <c:idx val="2"/>
          <c:order val="3"/>
          <c:spPr>
            <a:ln w="28575" cap="rnd">
              <a:solidFill>
                <a:srgbClr val="B2E4F8"/>
              </a:solidFill>
              <a:round/>
            </a:ln>
            <a:effectLst/>
          </c:spPr>
          <c:marker>
            <c:symbol val="none"/>
          </c:marker>
          <c:val>
            <c:numRef>
              <c:f>'G28'!$B$5:$V$5</c:f>
              <c:numCache>
                <c:formatCode>0.0</c:formatCode>
                <c:ptCount val="21"/>
                <c:pt idx="0">
                  <c:v>-3.3</c:v>
                </c:pt>
                <c:pt idx="1">
                  <c:v>-9.6999999999999993</c:v>
                </c:pt>
                <c:pt idx="2">
                  <c:v>-6.2</c:v>
                </c:pt>
                <c:pt idx="3">
                  <c:v>-5.2</c:v>
                </c:pt>
                <c:pt idx="4">
                  <c:v>-7.3</c:v>
                </c:pt>
                <c:pt idx="5">
                  <c:v>-12</c:v>
                </c:pt>
                <c:pt idx="6">
                  <c:v>-6.4</c:v>
                </c:pt>
                <c:pt idx="7">
                  <c:v>-8.1</c:v>
                </c:pt>
                <c:pt idx="8">
                  <c:v>-2.7</c:v>
                </c:pt>
                <c:pt idx="9">
                  <c:v>-2.2999999999999998</c:v>
                </c:pt>
                <c:pt idx="10">
                  <c:v>-2.9</c:v>
                </c:pt>
                <c:pt idx="11">
                  <c:v>-3.6</c:v>
                </c:pt>
                <c:pt idx="12">
                  <c:v>-1.9</c:v>
                </c:pt>
                <c:pt idx="13">
                  <c:v>-2.4</c:v>
                </c:pt>
                <c:pt idx="14">
                  <c:v>-7.8</c:v>
                </c:pt>
                <c:pt idx="15">
                  <c:v>-7.5</c:v>
                </c:pt>
                <c:pt idx="16">
                  <c:v>-4.3</c:v>
                </c:pt>
                <c:pt idx="17">
                  <c:v>-4.3</c:v>
                </c:pt>
                <c:pt idx="18">
                  <c:v>-2.7</c:v>
                </c:pt>
                <c:pt idx="19">
                  <c:v>-2.7</c:v>
                </c:pt>
                <c:pt idx="20">
                  <c:v>-2.7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B524-4F6A-89EC-4905DD73D1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2813120"/>
        <c:axId val="382813512"/>
      </c:lineChart>
      <c:catAx>
        <c:axId val="382813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high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382813512"/>
        <c:crosses val="autoZero"/>
        <c:auto val="1"/>
        <c:lblAlgn val="ctr"/>
        <c:lblOffset val="100"/>
        <c:noMultiLvlLbl val="0"/>
      </c:catAx>
      <c:valAx>
        <c:axId val="382813512"/>
        <c:scaling>
          <c:orientation val="minMax"/>
          <c:min val="-12.5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prstDash val="sysDot"/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solidFill>
              <a:schemeClr val="bg1">
                <a:lumMod val="95000"/>
              </a:schemeClr>
            </a:solidFill>
            <a:prstDash val="sysDot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382813120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legend>
      <c:legendPos val="r"/>
      <c:legendEntry>
        <c:idx val="3"/>
        <c:delete val="1"/>
      </c:legendEntry>
      <c:layout>
        <c:manualLayout>
          <c:xMode val="edge"/>
          <c:yMode val="edge"/>
          <c:x val="0.36332271945630623"/>
          <c:y val="0.86214953128721061"/>
          <c:w val="0.45172430248726747"/>
          <c:h val="7.422844046028931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onstantia" panose="02030602050306030303" pitchFamily="18" charset="0"/>
              <a:ea typeface="+mn-ea"/>
              <a:cs typeface="+mn-cs"/>
            </a:defRPr>
          </a:pPr>
          <a:endParaRPr lang="sk-SK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Constantia" panose="02030602050306030303" pitchFamily="18" charset="0"/>
        </a:defRPr>
      </a:pPr>
      <a:endParaRPr lang="sk-SK"/>
    </a:p>
  </c:txPr>
  <c:printSettings>
    <c:headerFooter/>
    <c:pageMargins b="0.75" l="0.7" r="0.7" t="0.75" header="0.3" footer="0.3"/>
    <c:pageSetup/>
  </c:printSettings>
  <c:userShapes r:id="rId3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6550160853717732E-2"/>
          <c:y val="0.16340641551542584"/>
          <c:w val="0.89447370802787562"/>
          <c:h val="0.77272132899555224"/>
        </c:manualLayout>
      </c:layout>
      <c:areaChart>
        <c:grouping val="stacked"/>
        <c:varyColors val="0"/>
        <c:ser>
          <c:idx val="0"/>
          <c:order val="0"/>
          <c:tx>
            <c:strRef>
              <c:f>'G28'!$A$2</c:f>
              <c:strCache>
                <c:ptCount val="1"/>
                <c:pt idx="0">
                  <c:v>MF SR</c:v>
                </c:pt>
              </c:strCache>
            </c:strRef>
          </c:tx>
          <c:spPr>
            <a:solidFill>
              <a:srgbClr val="B2E4F8"/>
            </a:solidFill>
            <a:ln w="28575">
              <a:solidFill>
                <a:srgbClr val="B2E4F8"/>
              </a:solidFill>
            </a:ln>
            <a:effectLst/>
          </c:spP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064-4E39-9785-C47947436539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064-4E39-9785-C47947436539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064-4E39-9785-C47947436539}"/>
                </c:ext>
              </c:extLst>
            </c:dLbl>
            <c:dLbl>
              <c:idx val="3"/>
              <c:layout>
                <c:manualLayout>
                  <c:x val="-1.044923851603189E-2"/>
                  <c:y val="0.17964071856287425"/>
                </c:manualLayout>
              </c:layout>
              <c:numFmt formatCode="#,##0.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Constantia" panose="02030602050306030303" pitchFamily="18" charset="0"/>
                      <a:ea typeface="+mn-ea"/>
                      <a:cs typeface="+mn-cs"/>
                    </a:defRPr>
                  </a:pPr>
                  <a:endParaRPr lang="sk-SK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0512016718913262E-2"/>
                      <c:h val="7.1796564351611733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2-8064-4E39-9785-C47947436539}"/>
                </c:ext>
              </c:extLst>
            </c:dLbl>
            <c:dLbl>
              <c:idx val="4"/>
              <c:layout>
                <c:manualLayout>
                  <c:x val="0"/>
                  <c:y val="8.38323353293411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064-4E39-9785-C47947436539}"/>
                </c:ext>
              </c:extLst>
            </c:dLbl>
            <c:dLbl>
              <c:idx val="6"/>
              <c:layout>
                <c:manualLayout>
                  <c:x val="-4.388714733542335E-2"/>
                  <c:y val="-2.79441117764471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064-4E39-9785-C47947436539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Constantia" panose="02030602050306030303" pitchFamily="18" charset="0"/>
                    <a:ea typeface="+mn-ea"/>
                    <a:cs typeface="+mn-cs"/>
                  </a:defRPr>
                </a:pPr>
                <a:endParaRPr lang="sk-SK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'G28'!$T$1:$Z$1</c:f>
              <c:strCach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2016O</c:v>
                </c:pt>
                <c:pt idx="4">
                  <c:v>2017N</c:v>
                </c:pt>
                <c:pt idx="5">
                  <c:v>2018N</c:v>
                </c:pt>
                <c:pt idx="6">
                  <c:v>2019N</c:v>
                </c:pt>
              </c:strCache>
            </c:strRef>
          </c:cat>
          <c:val>
            <c:numRef>
              <c:f>'G28'!$T$2:$Z$2</c:f>
              <c:numCache>
                <c:formatCode>0.0</c:formatCode>
                <c:ptCount val="7"/>
                <c:pt idx="0">
                  <c:v>-2.7</c:v>
                </c:pt>
                <c:pt idx="1">
                  <c:v>-2.7</c:v>
                </c:pt>
                <c:pt idx="2">
                  <c:v>-2.7</c:v>
                </c:pt>
                <c:pt idx="3">
                  <c:v>-1.970000324279477</c:v>
                </c:pt>
                <c:pt idx="4">
                  <c:v>-1.2900001435861632</c:v>
                </c:pt>
                <c:pt idx="5">
                  <c:v>-0.44000038092532345</c:v>
                </c:pt>
                <c:pt idx="6">
                  <c:v>0.15999958902343381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64-4E39-9785-C479474365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82814296"/>
        <c:axId val="382814688"/>
      </c:areaChart>
      <c:lineChart>
        <c:grouping val="standard"/>
        <c:varyColors val="0"/>
        <c:ser>
          <c:idx val="1"/>
          <c:order val="1"/>
          <c:tx>
            <c:strRef>
              <c:f>'G28'!$A$3</c:f>
              <c:strCache>
                <c:ptCount val="1"/>
                <c:pt idx="0">
                  <c:v>RRZ</c:v>
                </c:pt>
              </c:strCache>
            </c:strRef>
          </c:tx>
          <c:spPr>
            <a:ln w="28575" cap="rnd">
              <a:solidFill>
                <a:srgbClr val="13B5EA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064-4E39-9785-C47947436539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064-4E39-9785-C47947436539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064-4E39-9785-C47947436539}"/>
                </c:ext>
              </c:extLst>
            </c:dLbl>
            <c:dLbl>
              <c:idx val="3"/>
              <c:layout>
                <c:manualLayout>
                  <c:x val="-3.3437826541274897E-2"/>
                  <c:y val="-4.7904191616766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064-4E39-9785-C47947436539}"/>
                </c:ext>
              </c:extLst>
            </c:dLbl>
            <c:dLbl>
              <c:idx val="4"/>
              <c:layout>
                <c:manualLayout>
                  <c:x val="-2.7168151786669377E-2"/>
                  <c:y val="-6.3872255489021951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13B5EA"/>
                      </a:solidFill>
                      <a:latin typeface="Constantia" panose="02030602050306030303" pitchFamily="18" charset="0"/>
                      <a:ea typeface="+mn-ea"/>
                      <a:cs typeface="+mn-cs"/>
                    </a:defRPr>
                  </a:pPr>
                  <a:endParaRPr lang="sk-SK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2570532915360494E-2"/>
                      <c:h val="7.97805962877394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8064-4E39-9785-C47947436539}"/>
                </c:ext>
              </c:extLst>
            </c:dLbl>
            <c:dLbl>
              <c:idx val="5"/>
              <c:layout>
                <c:manualLayout>
                  <c:x val="-4.8066793374966214E-2"/>
                  <c:y val="-5.1896050418847345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13B5EA"/>
                      </a:solidFill>
                      <a:latin typeface="Constantia" panose="02030602050306030303" pitchFamily="18" charset="0"/>
                      <a:ea typeface="+mn-ea"/>
                      <a:cs typeface="+mn-cs"/>
                    </a:defRPr>
                  </a:pPr>
                  <a:endParaRPr lang="sk-SK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8840043113733035E-2"/>
                      <c:h val="6.7804548383547852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8064-4E39-9785-C47947436539}"/>
                </c:ext>
              </c:extLst>
            </c:dLbl>
            <c:dLbl>
              <c:idx val="6"/>
              <c:layout>
                <c:manualLayout>
                  <c:x val="-1.4629049111807733E-2"/>
                  <c:y val="4.39121756487025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064-4E39-9785-C479474365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13B5EA"/>
                    </a:solidFill>
                    <a:latin typeface="Constantia" panose="02030602050306030303" pitchFamily="18" charset="0"/>
                    <a:ea typeface="+mn-ea"/>
                    <a:cs typeface="+mn-cs"/>
                  </a:defRPr>
                </a:pPr>
                <a:endParaRPr lang="sk-SK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'G28'!$T$1:$Z$1</c:f>
              <c:strCach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2016O</c:v>
                </c:pt>
                <c:pt idx="4">
                  <c:v>2017N</c:v>
                </c:pt>
                <c:pt idx="5">
                  <c:v>2018N</c:v>
                </c:pt>
                <c:pt idx="6">
                  <c:v>2019N</c:v>
                </c:pt>
              </c:strCache>
            </c:strRef>
          </c:cat>
          <c:val>
            <c:numRef>
              <c:f>'G28'!$T$3:$Z$3</c:f>
              <c:numCache>
                <c:formatCode>0.0</c:formatCode>
                <c:ptCount val="7"/>
                <c:pt idx="0">
                  <c:v>-2.7</c:v>
                </c:pt>
                <c:pt idx="1">
                  <c:v>-2.7</c:v>
                </c:pt>
                <c:pt idx="2">
                  <c:v>-2.7073322035670961</c:v>
                </c:pt>
                <c:pt idx="3">
                  <c:v>-2.5472177835214453</c:v>
                </c:pt>
                <c:pt idx="4">
                  <c:v>-1.5551103190106681</c:v>
                </c:pt>
                <c:pt idx="5">
                  <c:v>-0.80228009968841574</c:v>
                </c:pt>
                <c:pt idx="6">
                  <c:v>3.5488464429228308E-3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064-4E39-9785-C47947436539}"/>
            </c:ext>
          </c:extLst>
        </c:ser>
        <c:ser>
          <c:idx val="2"/>
          <c:order val="2"/>
          <c:tx>
            <c:strRef>
              <c:f>'G28'!$A$4</c:f>
              <c:strCache>
                <c:ptCount val="1"/>
                <c:pt idx="0">
                  <c:v>NPC RRZ</c:v>
                </c:pt>
              </c:strCache>
            </c:strRef>
          </c:tx>
          <c:spPr>
            <a:ln w="28575" cap="rnd">
              <a:solidFill>
                <a:srgbClr val="58595B"/>
              </a:solidFill>
              <a:prstDash val="sysDash"/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064-4E39-9785-C47947436539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064-4E39-9785-C47947436539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064-4E39-9785-C47947436539}"/>
                </c:ext>
              </c:extLst>
            </c:dLbl>
            <c:dLbl>
              <c:idx val="3"/>
              <c:layout>
                <c:manualLayout>
                  <c:x val="-1.0449320794148381E-2"/>
                  <c:y val="2.39520958083832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064-4E39-9785-C47947436539}"/>
                </c:ext>
              </c:extLst>
            </c:dLbl>
            <c:dLbl>
              <c:idx val="5"/>
              <c:numFmt formatCode="#,##0.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58595B"/>
                      </a:solidFill>
                      <a:latin typeface="Constantia" panose="02030602050306030303" pitchFamily="18" charset="0"/>
                      <a:ea typeface="+mn-ea"/>
                      <a:cs typeface="+mn-cs"/>
                    </a:defRPr>
                  </a:pPr>
                  <a:endParaRPr lang="sk-SK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00-4536-4252-8394-34D12DD060DC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58595B"/>
                    </a:solidFill>
                    <a:latin typeface="Constantia" panose="02030602050306030303" pitchFamily="18" charset="0"/>
                    <a:ea typeface="+mn-ea"/>
                    <a:cs typeface="+mn-cs"/>
                  </a:defRPr>
                </a:pPr>
                <a:endParaRPr lang="sk-SK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'G28'!$T$1:$Z$1</c:f>
              <c:strCach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2016O</c:v>
                </c:pt>
                <c:pt idx="4">
                  <c:v>2017N</c:v>
                </c:pt>
                <c:pt idx="5">
                  <c:v>2018N</c:v>
                </c:pt>
                <c:pt idx="6">
                  <c:v>2019N</c:v>
                </c:pt>
              </c:strCache>
            </c:strRef>
          </c:cat>
          <c:val>
            <c:numRef>
              <c:f>'G28'!$T$4:$Z$4</c:f>
              <c:numCache>
                <c:formatCode>0.0</c:formatCode>
                <c:ptCount val="7"/>
                <c:pt idx="0">
                  <c:v>-2.7</c:v>
                </c:pt>
                <c:pt idx="1">
                  <c:v>-2.7</c:v>
                </c:pt>
                <c:pt idx="2">
                  <c:v>-2.7073322035670961</c:v>
                </c:pt>
                <c:pt idx="3">
                  <c:v>-2.5324364536682773</c:v>
                </c:pt>
                <c:pt idx="4">
                  <c:v>-1.778322665899863</c:v>
                </c:pt>
                <c:pt idx="5">
                  <c:v>-1.0033949859160498</c:v>
                </c:pt>
                <c:pt idx="6">
                  <c:v>-0.47411636765172394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064-4E39-9785-C479474365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2814296"/>
        <c:axId val="382814688"/>
      </c:lineChart>
      <c:catAx>
        <c:axId val="382814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high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382814688"/>
        <c:crosses val="autoZero"/>
        <c:auto val="1"/>
        <c:lblAlgn val="ctr"/>
        <c:lblOffset val="100"/>
        <c:noMultiLvlLbl val="0"/>
      </c:catAx>
      <c:valAx>
        <c:axId val="382814688"/>
        <c:scaling>
          <c:orientation val="minMax"/>
          <c:min val="-2.8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prstDash val="sysDot"/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solidFill>
              <a:schemeClr val="bg1">
                <a:lumMod val="95000"/>
              </a:schemeClr>
            </a:solidFill>
            <a:prstDash val="sysDot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382814296"/>
        <c:crosses val="autoZero"/>
        <c:crossBetween val="between"/>
        <c:majorUnit val="0.5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0626942792025605"/>
          <c:y val="0.19136655822213841"/>
          <c:w val="0.42664593258131134"/>
          <c:h val="6.63686799629088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onstantia" panose="02030602050306030303" pitchFamily="18" charset="0"/>
              <a:ea typeface="+mn-ea"/>
              <a:cs typeface="+mn-cs"/>
            </a:defRPr>
          </a:pPr>
          <a:endParaRPr lang="sk-SK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Constantia" panose="02030602050306030303" pitchFamily="18" charset="0"/>
        </a:defRPr>
      </a:pPr>
      <a:endParaRPr lang="sk-SK"/>
    </a:p>
  </c:txPr>
  <c:printSettings>
    <c:headerFooter/>
    <c:pageMargins b="0.75" l="0.7" r="0.7" t="0.75" header="0.3" footer="0.3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6039588801399822E-2"/>
          <c:y val="8.4251239428404789E-2"/>
          <c:w val="0.87394550579340335"/>
          <c:h val="0.90161927675707199"/>
        </c:manualLayout>
      </c:layout>
      <c:barChart>
        <c:barDir val="col"/>
        <c:grouping val="clustered"/>
        <c:varyColors val="0"/>
        <c:ser>
          <c:idx val="2"/>
          <c:order val="3"/>
          <c:tx>
            <c:strRef>
              <c:f>'G29'!$A$27</c:f>
              <c:strCache>
                <c:ptCount val="1"/>
                <c:pt idx="0">
                  <c:v>rozdiel v cieli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solidFill>
                <a:schemeClr val="bg1">
                  <a:lumMod val="65000"/>
                </a:schemeClr>
              </a:solidFill>
            </a:ln>
            <a:effectLst/>
          </c:spPr>
          <c:invertIfNegative val="0"/>
          <c:cat>
            <c:numRef>
              <c:f>'G29'!$D$24:$M$24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'G29'!$D$27:$M$27</c:f>
              <c:numCache>
                <c:formatCode>0.00</c:formatCode>
                <c:ptCount val="10"/>
                <c:pt idx="0">
                  <c:v>-4.7</c:v>
                </c:pt>
                <c:pt idx="1">
                  <c:v>-4.9000000000000004</c:v>
                </c:pt>
                <c:pt idx="2">
                  <c:v>-1.5999999999999996</c:v>
                </c:pt>
                <c:pt idx="3">
                  <c:v>0</c:v>
                </c:pt>
                <c:pt idx="4">
                  <c:v>0.1599999999999997</c:v>
                </c:pt>
                <c:pt idx="5">
                  <c:v>-0.5900000000000003</c:v>
                </c:pt>
                <c:pt idx="6">
                  <c:v>-0.42999999999999994</c:v>
                </c:pt>
                <c:pt idx="7">
                  <c:v>-0.9000001435861632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D01-4EB4-BF31-26E5876508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382815472"/>
        <c:axId val="382815864"/>
      </c:barChart>
      <c:lineChart>
        <c:grouping val="standard"/>
        <c:varyColors val="0"/>
        <c:ser>
          <c:idx val="0"/>
          <c:order val="0"/>
          <c:tx>
            <c:strRef>
              <c:f>'G29'!$A$25</c:f>
              <c:strCache>
                <c:ptCount val="1"/>
                <c:pt idx="0">
                  <c:v>prvé zverejnenie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noFill/>
              </a:ln>
              <a:effectLst/>
            </c:spPr>
          </c:marker>
          <c:cat>
            <c:numRef>
              <c:f>'G29'!$D$24:$M$24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'G29'!$D$25:$M$25</c:f>
              <c:numCache>
                <c:formatCode>0.00</c:formatCode>
                <c:ptCount val="10"/>
                <c:pt idx="0">
                  <c:v>-0.8</c:v>
                </c:pt>
                <c:pt idx="1">
                  <c:v>0</c:v>
                </c:pt>
                <c:pt idx="2">
                  <c:v>-3</c:v>
                </c:pt>
                <c:pt idx="3">
                  <c:v>-2.9</c:v>
                </c:pt>
                <c:pt idx="4">
                  <c:v>-2.8</c:v>
                </c:pt>
                <c:pt idx="5">
                  <c:v>-1.9</c:v>
                </c:pt>
                <c:pt idx="6">
                  <c:v>-1.5</c:v>
                </c:pt>
                <c:pt idx="7">
                  <c:v>-0.39</c:v>
                </c:pt>
                <c:pt idx="8">
                  <c:v>0</c:v>
                </c:pt>
                <c:pt idx="9">
                  <c:v>0.15999958902343381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D01-4EB4-BF31-26E58765083F}"/>
            </c:ext>
          </c:extLst>
        </c:ser>
        <c:ser>
          <c:idx val="1"/>
          <c:order val="1"/>
          <c:tx>
            <c:strRef>
              <c:f>'G29'!$A$26</c:f>
              <c:strCache>
                <c:ptCount val="1"/>
                <c:pt idx="0">
                  <c:v>aktualizácia po 3 rokoch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DCB47B"/>
              </a:solidFill>
              <a:ln w="9525">
                <a:noFill/>
              </a:ln>
              <a:effectLst/>
            </c:spPr>
          </c:marker>
          <c:cat>
            <c:numRef>
              <c:f>'G29'!$D$24:$M$24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'G29'!$D$26:$M$26</c:f>
              <c:numCache>
                <c:formatCode>0.00</c:formatCode>
                <c:ptCount val="10"/>
                <c:pt idx="0">
                  <c:v>-5.5</c:v>
                </c:pt>
                <c:pt idx="1">
                  <c:v>-4.9000000000000004</c:v>
                </c:pt>
                <c:pt idx="2">
                  <c:v>-4.5999999999999996</c:v>
                </c:pt>
                <c:pt idx="3">
                  <c:v>-2.9</c:v>
                </c:pt>
                <c:pt idx="4">
                  <c:v>-2.64</c:v>
                </c:pt>
                <c:pt idx="5">
                  <c:v>-2.4900000000000002</c:v>
                </c:pt>
                <c:pt idx="6">
                  <c:v>-1.93</c:v>
                </c:pt>
                <c:pt idx="7">
                  <c:v>-1.2900001435861632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D01-4EB4-BF31-26E58765083F}"/>
            </c:ext>
          </c:extLst>
        </c:ser>
        <c:ser>
          <c:idx val="3"/>
          <c:order val="2"/>
          <c:tx>
            <c:strRef>
              <c:f>'G29'!$A$28</c:f>
              <c:strCache>
                <c:ptCount val="1"/>
                <c:pt idx="0">
                  <c:v>skutočnosť</c:v>
                </c:pt>
              </c:strCache>
            </c:strRef>
          </c:tx>
          <c:spPr>
            <a:ln w="28575" cap="rnd">
              <a:solidFill>
                <a:srgbClr val="13B5EA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13B5EA"/>
              </a:solidFill>
              <a:ln w="9525">
                <a:solidFill>
                  <a:srgbClr val="13B5EA"/>
                </a:solidFill>
              </a:ln>
              <a:effectLst/>
            </c:spPr>
          </c:marker>
          <c:cat>
            <c:numRef>
              <c:f>'G29'!$D$24:$M$24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'G29'!$D$28:$M$28</c:f>
              <c:numCache>
                <c:formatCode>General</c:formatCode>
                <c:ptCount val="10"/>
                <c:pt idx="0">
                  <c:v>-7.5</c:v>
                </c:pt>
                <c:pt idx="1">
                  <c:v>-4.3</c:v>
                </c:pt>
                <c:pt idx="2">
                  <c:v>-4.3</c:v>
                </c:pt>
                <c:pt idx="3">
                  <c:v>-2.7</c:v>
                </c:pt>
                <c:pt idx="4">
                  <c:v>-2.7</c:v>
                </c:pt>
                <c:pt idx="5">
                  <c:v>-2.7</c:v>
                </c:pt>
                <c:pt idx="6">
                  <c:v>-1.970000324279477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D01-4EB4-BF31-26E5876508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2815472"/>
        <c:axId val="382815864"/>
      </c:lineChart>
      <c:catAx>
        <c:axId val="3828154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high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382815864"/>
        <c:crossesAt val="0"/>
        <c:auto val="1"/>
        <c:lblAlgn val="ctr"/>
        <c:lblOffset val="100"/>
        <c:noMultiLvlLbl val="0"/>
      </c:catAx>
      <c:valAx>
        <c:axId val="382815864"/>
        <c:scaling>
          <c:orientation val="minMax"/>
          <c:max val="0.60000000000000009"/>
          <c:min val="-7.6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prstDash val="sysDot"/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382815472"/>
        <c:crosses val="autoZero"/>
        <c:crossBetween val="between"/>
        <c:minorUnit val="0.4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54722222222222228"/>
          <c:y val="0.69502260134149907"/>
          <c:w val="0.39444444444444443"/>
          <c:h val="0.1938662875473899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onstantia" panose="02030602050306030303" pitchFamily="18" charset="0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Constantia" panose="02030602050306030303" pitchFamily="18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150481189851271E-2"/>
          <c:y val="5.0925925925925923E-2"/>
          <c:w val="0.88416819772528432"/>
          <c:h val="0.83410542432195978"/>
        </c:manualLayout>
      </c:layout>
      <c:barChart>
        <c:barDir val="col"/>
        <c:grouping val="clustered"/>
        <c:varyColors val="0"/>
        <c:ser>
          <c:idx val="0"/>
          <c:order val="0"/>
          <c:tx>
            <c:v>Cielené saldo VS</c:v>
          </c:tx>
          <c:spPr>
            <a:solidFill>
              <a:srgbClr val="58595B"/>
            </a:solidFill>
            <a:ln>
              <a:noFill/>
            </a:ln>
            <a:effectLst/>
          </c:spPr>
          <c:invertIfNegative val="0"/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13B5EA"/>
                      </a:solidFill>
                      <a:latin typeface="Constantia" panose="02030602050306030303" pitchFamily="18" charset="0"/>
                      <a:ea typeface="+mn-ea"/>
                      <a:cs typeface="+mn-cs"/>
                    </a:defRPr>
                  </a:pPr>
                  <a:endParaRPr lang="sk-SK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B0EF-4AE7-9F31-1E5846BB37B8}"/>
                </c:ext>
              </c:extLst>
            </c:dLbl>
            <c:dLbl>
              <c:idx val="2"/>
              <c:layout>
                <c:manualLayout>
                  <c:x val="0"/>
                  <c:y val="1.85185185185186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0EF-4AE7-9F31-1E5846BB37B8}"/>
                </c:ext>
              </c:extLst>
            </c:dLbl>
            <c:dLbl>
              <c:idx val="4"/>
              <c:layout>
                <c:manualLayout>
                  <c:x val="-9.103970973332732E-17"/>
                  <c:y val="2.31481481481483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0EF-4AE7-9F31-1E5846BB37B8}"/>
                </c:ext>
              </c:extLst>
            </c:dLbl>
            <c:dLbl>
              <c:idx val="5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13B5EA"/>
                      </a:solidFill>
                      <a:latin typeface="Constantia" panose="02030602050306030303" pitchFamily="18" charset="0"/>
                      <a:ea typeface="+mn-ea"/>
                      <a:cs typeface="+mn-cs"/>
                    </a:defRPr>
                  </a:pPr>
                  <a:endParaRPr lang="sk-SK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B0EF-4AE7-9F31-1E5846BB37B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Constantia" panose="02030602050306030303" pitchFamily="18" charset="0"/>
                    <a:ea typeface="+mn-ea"/>
                    <a:cs typeface="+mn-cs"/>
                  </a:defRPr>
                </a:pPr>
                <a:endParaRPr lang="sk-SK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'G30'!$B$2:$G$2</c:f>
              <c:strCache>
                <c:ptCount val="6"/>
                <c:pt idx="0">
                  <c:v>PS 2014-17</c:v>
                </c:pt>
                <c:pt idx="1">
                  <c:v>RVS 2015-17</c:v>
                </c:pt>
                <c:pt idx="2">
                  <c:v>PS 2015-18</c:v>
                </c:pt>
                <c:pt idx="3">
                  <c:v>RVS 2016-18</c:v>
                </c:pt>
                <c:pt idx="4">
                  <c:v>PS 2016-19</c:v>
                </c:pt>
                <c:pt idx="5">
                  <c:v>NRVS 2017-19</c:v>
                </c:pt>
              </c:strCache>
            </c:strRef>
          </c:cat>
          <c:val>
            <c:numRef>
              <c:f>'G30'!$B$3:$G$3</c:f>
              <c:numCache>
                <c:formatCode>0.0</c:formatCode>
                <c:ptCount val="6"/>
                <c:pt idx="0">
                  <c:v>-0.54</c:v>
                </c:pt>
                <c:pt idx="1">
                  <c:v>-0.6112619805921754</c:v>
                </c:pt>
                <c:pt idx="2">
                  <c:v>-0.88</c:v>
                </c:pt>
                <c:pt idx="3">
                  <c:v>-0.42003956237186713</c:v>
                </c:pt>
                <c:pt idx="4">
                  <c:v>-1.29</c:v>
                </c:pt>
                <c:pt idx="5">
                  <c:v>-1.29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0EF-4AE7-9F31-1E5846BB37B8}"/>
            </c:ext>
          </c:extLst>
        </c:ser>
        <c:ser>
          <c:idx val="2"/>
          <c:order val="1"/>
          <c:tx>
            <c:v>Daňové príjmy VS oproti PS 2014-2017 (VpDP)</c:v>
          </c:tx>
          <c:spPr>
            <a:solidFill>
              <a:srgbClr val="13B5EA"/>
            </a:solidFill>
            <a:ln>
              <a:noFill/>
            </a:ln>
            <a:effectLst/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0EF-4AE7-9F31-1E5846BB37B8}"/>
                </c:ext>
              </c:extLst>
            </c:dLbl>
            <c:dLbl>
              <c:idx val="5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13B5EA"/>
                      </a:solidFill>
                      <a:latin typeface="Constantia" panose="02030602050306030303" pitchFamily="18" charset="0"/>
                      <a:ea typeface="+mn-ea"/>
                      <a:cs typeface="+mn-cs"/>
                    </a:defRPr>
                  </a:pPr>
                  <a:endParaRPr lang="sk-SK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6-B0EF-4AE7-9F31-1E5846BB37B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Constantia" panose="02030602050306030303" pitchFamily="18" charset="0"/>
                    <a:ea typeface="+mn-ea"/>
                    <a:cs typeface="+mn-cs"/>
                  </a:defRPr>
                </a:pPr>
                <a:endParaRPr lang="sk-SK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'G30'!$B$2:$G$2</c:f>
              <c:strCache>
                <c:ptCount val="6"/>
                <c:pt idx="0">
                  <c:v>PS 2014-17</c:v>
                </c:pt>
                <c:pt idx="1">
                  <c:v>RVS 2015-17</c:v>
                </c:pt>
                <c:pt idx="2">
                  <c:v>PS 2015-18</c:v>
                </c:pt>
                <c:pt idx="3">
                  <c:v>RVS 2016-18</c:v>
                </c:pt>
                <c:pt idx="4">
                  <c:v>PS 2016-19</c:v>
                </c:pt>
                <c:pt idx="5">
                  <c:v>NRVS 2017-19</c:v>
                </c:pt>
              </c:strCache>
            </c:strRef>
          </c:cat>
          <c:val>
            <c:numRef>
              <c:f>'G30'!$B$5:$G$5</c:f>
              <c:numCache>
                <c:formatCode>0.0</c:formatCode>
                <c:ptCount val="6"/>
                <c:pt idx="0" formatCode="General">
                  <c:v>0</c:v>
                </c:pt>
                <c:pt idx="1">
                  <c:v>0.96405086123731465</c:v>
                </c:pt>
                <c:pt idx="2">
                  <c:v>1.1241187519941391</c:v>
                </c:pt>
                <c:pt idx="3">
                  <c:v>1.8524637482478816</c:v>
                </c:pt>
                <c:pt idx="4">
                  <c:v>2.3848369108767002</c:v>
                </c:pt>
                <c:pt idx="5">
                  <c:v>3.363634306295598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0EF-4AE7-9F31-1E5846BB37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34711752"/>
        <c:axId val="334712408"/>
      </c:barChart>
      <c:catAx>
        <c:axId val="334711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334712408"/>
        <c:crosses val="autoZero"/>
        <c:auto val="1"/>
        <c:lblAlgn val="ctr"/>
        <c:lblOffset val="100"/>
        <c:noMultiLvlLbl val="0"/>
      </c:catAx>
      <c:valAx>
        <c:axId val="334712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3347117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0524256342957133"/>
          <c:y val="2.6614902303878682E-2"/>
          <c:w val="0.58038998250218721"/>
          <c:h val="0.1261628754738990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onstantia" panose="02030602050306030303" pitchFamily="18" charset="0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Constantia" panose="02030602050306030303" pitchFamily="18" charset="0"/>
        </a:defRPr>
      </a:pPr>
      <a:endParaRPr lang="sk-SK"/>
    </a:p>
  </c:txPr>
  <c:printSettings>
    <c:headerFooter/>
    <c:pageMargins b="0.75" l="0.7" r="0.7" t="0.75" header="0.3" footer="0.3"/>
    <c:pageSetup/>
  </c:printSettings>
  <c:userShapes r:id="rId3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800983957722773E-2"/>
          <c:y val="5.6410256410256411E-2"/>
          <c:w val="0.90601108717912515"/>
          <c:h val="0.862178881485968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'G03'!$A$2</c:f>
              <c:strCache>
                <c:ptCount val="1"/>
                <c:pt idx="0">
                  <c:v>NRVS 2017-2019</c:v>
                </c:pt>
              </c:strCache>
            </c:strRef>
          </c:tx>
          <c:spPr>
            <a:solidFill>
              <a:srgbClr val="13B5EA"/>
            </a:solidFill>
            <a:ln>
              <a:solidFill>
                <a:srgbClr val="13B5EA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Constantia" panose="02030602050306030303" pitchFamily="18" charset="0"/>
                    <a:ea typeface="+mn-ea"/>
                    <a:cs typeface="+mn-cs"/>
                  </a:defRPr>
                </a:pPr>
                <a:endParaRPr lang="sk-SK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'G03'!$B$1:$E$1</c:f>
              <c:strCache>
                <c:ptCount val="4"/>
                <c:pt idx="0">
                  <c:v>2016O</c:v>
                </c:pt>
                <c:pt idx="1">
                  <c:v>2017N</c:v>
                </c:pt>
                <c:pt idx="2">
                  <c:v>2018N</c:v>
                </c:pt>
                <c:pt idx="3">
                  <c:v>2019N</c:v>
                </c:pt>
              </c:strCache>
            </c:strRef>
          </c:cat>
          <c:val>
            <c:numRef>
              <c:f>'G03'!$B$2:$E$2</c:f>
              <c:numCache>
                <c:formatCode>0.00</c:formatCode>
                <c:ptCount val="4"/>
                <c:pt idx="0">
                  <c:v>-1.970000324279477</c:v>
                </c:pt>
                <c:pt idx="1">
                  <c:v>-1.2900001435861632</c:v>
                </c:pt>
                <c:pt idx="2">
                  <c:v>-0.44000038092532345</c:v>
                </c:pt>
                <c:pt idx="3">
                  <c:v>0.15999958902343381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9D-4142-8917-75FAFDDE147C}"/>
            </c:ext>
          </c:extLst>
        </c:ser>
        <c:ser>
          <c:idx val="1"/>
          <c:order val="1"/>
          <c:tx>
            <c:strRef>
              <c:f>'G03'!$A$3</c:f>
              <c:strCache>
                <c:ptCount val="1"/>
                <c:pt idx="0">
                  <c:v>revízia HDP</c:v>
                </c:pt>
              </c:strCache>
            </c:strRef>
          </c:tx>
          <c:spPr>
            <a:solidFill>
              <a:srgbClr val="DCB47B"/>
            </a:solidFill>
            <a:ln>
              <a:solidFill>
                <a:srgbClr val="DCB47B"/>
              </a:solidFill>
            </a:ln>
            <a:effectLst/>
          </c:spPr>
          <c:invertIfNegative val="0"/>
          <c:dLbls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Constantia" panose="02030602050306030303" pitchFamily="18" charset="0"/>
                    <a:ea typeface="+mn-ea"/>
                    <a:cs typeface="+mn-cs"/>
                  </a:defRPr>
                </a:pPr>
                <a:endParaRPr lang="sk-SK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'G03'!$B$1:$E$1</c:f>
              <c:strCache>
                <c:ptCount val="4"/>
                <c:pt idx="0">
                  <c:v>2016O</c:v>
                </c:pt>
                <c:pt idx="1">
                  <c:v>2017N</c:v>
                </c:pt>
                <c:pt idx="2">
                  <c:v>2018N</c:v>
                </c:pt>
                <c:pt idx="3">
                  <c:v>2019N</c:v>
                </c:pt>
              </c:strCache>
            </c:strRef>
          </c:cat>
          <c:val>
            <c:numRef>
              <c:f>'G03'!$B$3:$E$3</c:f>
              <c:numCache>
                <c:formatCode>#,##0.00</c:formatCode>
                <c:ptCount val="4"/>
                <c:pt idx="0">
                  <c:v>-1.9546082202850104</c:v>
                </c:pt>
                <c:pt idx="1">
                  <c:v>-1.2799210560078855</c:v>
                </c:pt>
                <c:pt idx="2">
                  <c:v>-0.4365625486556905</c:v>
                </c:pt>
                <c:pt idx="3">
                  <c:v>0.15874947199444031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A9D-4142-8917-75FAFDDE14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82802928"/>
        <c:axId val="382803320"/>
      </c:barChart>
      <c:catAx>
        <c:axId val="3828029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382803320"/>
        <c:crosses val="autoZero"/>
        <c:auto val="1"/>
        <c:lblAlgn val="ctr"/>
        <c:lblOffset val="100"/>
        <c:noMultiLvlLbl val="0"/>
      </c:catAx>
      <c:valAx>
        <c:axId val="3828033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prstDash val="sysDot"/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382802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6689779256708386"/>
          <c:y val="0.76858923884514441"/>
          <c:w val="0.50650957328122692"/>
          <c:h val="9.375065616797902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onstantia" panose="02030602050306030303" pitchFamily="18" charset="0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Constantia" panose="02030602050306030303" pitchFamily="18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696814925161381E-2"/>
          <c:y val="2.2259451611101804E-2"/>
          <c:w val="0.93830318507483856"/>
          <c:h val="0.9089541621204814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'G31, G32'!$A$9</c:f>
              <c:strCache>
                <c:ptCount val="1"/>
                <c:pt idx="0">
                  <c:v>Neočakávané vplyvy v rozpočte</c:v>
                </c:pt>
              </c:strCache>
            </c:strRef>
          </c:tx>
          <c:spPr>
            <a:solidFill>
              <a:srgbClr val="13B5EA"/>
            </a:solidFill>
            <a:ln>
              <a:solidFill>
                <a:srgbClr val="13B5EA"/>
              </a:solidFill>
            </a:ln>
            <a:effectLst/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Constantia" panose="02030602050306030303" pitchFamily="18" charset="0"/>
                    <a:ea typeface="+mn-ea"/>
                    <a:cs typeface="+mn-cs"/>
                  </a:defRPr>
                </a:pPr>
                <a:endParaRPr lang="sk-SK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'G31, G32'!$B$2:$I$2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'G31, G32'!$B$9:$I$9</c:f>
              <c:numCache>
                <c:formatCode>#,##0.00</c:formatCode>
                <c:ptCount val="8"/>
                <c:pt idx="0">
                  <c:v>-0.13308723541825468</c:v>
                </c:pt>
                <c:pt idx="1">
                  <c:v>0.49569288267848405</c:v>
                </c:pt>
                <c:pt idx="2">
                  <c:v>0.32581778532360944</c:v>
                </c:pt>
                <c:pt idx="3">
                  <c:v>0.70143110021450517</c:v>
                </c:pt>
                <c:pt idx="4">
                  <c:v>1.8939753835571407</c:v>
                </c:pt>
                <c:pt idx="5">
                  <c:v>1.1780314543388646</c:v>
                </c:pt>
                <c:pt idx="6">
                  <c:v>0.82571094430884551</c:v>
                </c:pt>
                <c:pt idx="7">
                  <c:v>0.96641584614615317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B0C-4F54-814C-F350EC2773FB}"/>
            </c:ext>
          </c:extLst>
        </c:ser>
        <c:ser>
          <c:idx val="1"/>
          <c:order val="1"/>
          <c:tx>
            <c:strRef>
              <c:f>'G31, G32'!$A$10</c:f>
              <c:strCache>
                <c:ptCount val="1"/>
                <c:pt idx="0">
                  <c:v>Ostatné rozpočtované položky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dLbl>
              <c:idx val="2"/>
              <c:layout>
                <c:manualLayout>
                  <c:x val="1.8018018018017969E-2"/>
                  <c:y val="-5.9322371937550397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B0C-4F54-814C-F350EC2773F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Constantia" panose="02030602050306030303" pitchFamily="18" charset="0"/>
                    <a:ea typeface="+mn-ea"/>
                    <a:cs typeface="+mn-cs"/>
                  </a:defRPr>
                </a:pPr>
                <a:endParaRPr lang="sk-SK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'G31, G32'!$B$2:$I$2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'G31, G32'!$B$10:$I$10</c:f>
              <c:numCache>
                <c:formatCode>#,##0.00</c:formatCode>
                <c:ptCount val="8"/>
                <c:pt idx="0">
                  <c:v>-1.6204705421194687</c:v>
                </c:pt>
                <c:pt idx="1">
                  <c:v>0.11060185929061572</c:v>
                </c:pt>
                <c:pt idx="2">
                  <c:v>-9.909004869469884E-2</c:v>
                </c:pt>
                <c:pt idx="3">
                  <c:v>-0.47341272618406971</c:v>
                </c:pt>
                <c:pt idx="4">
                  <c:v>-1.9673376495763328</c:v>
                </c:pt>
                <c:pt idx="5">
                  <c:v>-1.4197516674401183</c:v>
                </c:pt>
                <c:pt idx="6">
                  <c:v>-0.86331221957645066</c:v>
                </c:pt>
                <c:pt idx="7">
                  <c:v>-1.3606681327325358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B0C-4F54-814C-F350EC2773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84188272"/>
        <c:axId val="384184744"/>
      </c:barChart>
      <c:lineChart>
        <c:grouping val="stacked"/>
        <c:varyColors val="0"/>
        <c:ser>
          <c:idx val="2"/>
          <c:order val="2"/>
          <c:tx>
            <c:strRef>
              <c:f>'G31, G32'!$A$11</c:f>
              <c:strCache>
                <c:ptCount val="1"/>
                <c:pt idx="0">
                  <c:v>Saldo verejnej správy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22225">
                <a:solidFill>
                  <a:schemeClr val="tx1"/>
                </a:solidFill>
              </a:ln>
              <a:effectLst/>
            </c:spPr>
          </c:marker>
          <c:val>
            <c:numRef>
              <c:f>'G31, G32'!$B$11:$I$11</c:f>
              <c:numCache>
                <c:formatCode>#\ ##0.0</c:formatCode>
                <c:ptCount val="8"/>
                <c:pt idx="0">
                  <c:v>-1.9849202320897703</c:v>
                </c:pt>
                <c:pt idx="1">
                  <c:v>0.62304862715780907</c:v>
                </c:pt>
                <c:pt idx="2">
                  <c:v>0.25511289002592719</c:v>
                </c:pt>
                <c:pt idx="3">
                  <c:v>0.18001251181409161</c:v>
                </c:pt>
                <c:pt idx="4">
                  <c:v>-6.7325166169824868E-2</c:v>
                </c:pt>
                <c:pt idx="5">
                  <c:v>-0.21736576959443621</c:v>
                </c:pt>
                <c:pt idx="6">
                  <c:v>-4.0000000000000036E-2</c:v>
                </c:pt>
                <c:pt idx="7">
                  <c:v>-0.41000000000000003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B0C-4F54-814C-F350EC2773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4188272"/>
        <c:axId val="384184744"/>
      </c:lineChart>
      <c:catAx>
        <c:axId val="384188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384184744"/>
        <c:crosses val="autoZero"/>
        <c:auto val="1"/>
        <c:lblAlgn val="ctr"/>
        <c:lblOffset val="100"/>
        <c:noMultiLvlLbl val="0"/>
      </c:catAx>
      <c:valAx>
        <c:axId val="3841847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384188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7.2344065099970628E-2"/>
          <c:y val="2.6636670416197977E-2"/>
          <c:w val="0.3919869475774988"/>
          <c:h val="0.1565363903980087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onstantia" panose="02030602050306030303" pitchFamily="18" charset="0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Constantia" panose="02030602050306030303" pitchFamily="18" charset="0"/>
        </a:defRPr>
      </a:pPr>
      <a:endParaRPr lang="sk-SK"/>
    </a:p>
  </c:txPr>
  <c:printSettings>
    <c:headerFooter/>
    <c:pageMargins b="0.75" l="0.7" r="0.7" t="0.75" header="0.3" footer="0.3"/>
    <c:pageSetup/>
  </c:printSettings>
  <c:userShapes r:id="rId3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6910892895144874E-2"/>
          <c:y val="2.2259451611101804E-2"/>
          <c:w val="0.92572644635636758"/>
          <c:h val="0.90895416212048141"/>
        </c:manualLayout>
      </c:layout>
      <c:lineChart>
        <c:grouping val="standard"/>
        <c:varyColors val="0"/>
        <c:ser>
          <c:idx val="2"/>
          <c:order val="0"/>
          <c:tx>
            <c:strRef>
              <c:f>'G31, G32'!$A$12</c:f>
              <c:strCache>
                <c:ptCount val="1"/>
                <c:pt idx="0">
                  <c:v>Rozpočtované saldo</c:v>
                </c:pt>
              </c:strCache>
            </c:strRef>
          </c:tx>
          <c:spPr>
            <a:ln w="28575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>
                  <a:lumMod val="65000"/>
                </a:schemeClr>
              </a:solidFill>
              <a:ln w="222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5.4054054054054057E-2"/>
                  <c:y val="-5.67375886524822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9D4-498C-B885-81FFAF182BD5}"/>
                </c:ext>
              </c:extLst>
            </c:dLbl>
            <c:dLbl>
              <c:idx val="1"/>
              <c:layout>
                <c:manualLayout>
                  <c:x val="-2.831402831402836E-2"/>
                  <c:y val="4.86322188449846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9D4-498C-B885-81FFAF182BD5}"/>
                </c:ext>
              </c:extLst>
            </c:dLbl>
            <c:dLbl>
              <c:idx val="2"/>
              <c:layout>
                <c:manualLayout>
                  <c:x val="-4.633204633204633E-2"/>
                  <c:y val="5.26849037487333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9D4-498C-B885-81FFAF182BD5}"/>
                </c:ext>
              </c:extLst>
            </c:dLbl>
            <c:dLbl>
              <c:idx val="3"/>
              <c:layout>
                <c:manualLayout>
                  <c:x val="-5.1480051480051478E-3"/>
                  <c:y val="4.05268490374873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9D4-498C-B885-81FFAF182BD5}"/>
                </c:ext>
              </c:extLst>
            </c:dLbl>
            <c:dLbl>
              <c:idx val="4"/>
              <c:layout>
                <c:manualLayout>
                  <c:x val="-1.5444015444015538E-2"/>
                  <c:y val="-4.45795339412360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9D4-498C-B885-81FFAF182BD5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Constantia" panose="02030602050306030303" pitchFamily="18" charset="0"/>
                    <a:ea typeface="+mn-ea"/>
                    <a:cs typeface="+mn-cs"/>
                  </a:defRPr>
                </a:pPr>
                <a:endParaRPr lang="sk-SK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'G31, G32'!$B$2:$I$2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'G31, G32'!$B$12:$I$12</c:f>
              <c:numCache>
                <c:formatCode>#,##0.00</c:formatCode>
                <c:ptCount val="8"/>
                <c:pt idx="0">
                  <c:v>-5.5</c:v>
                </c:pt>
                <c:pt idx="1">
                  <c:v>-4.9000000000000004</c:v>
                </c:pt>
                <c:pt idx="2">
                  <c:v>-4.5999999999999996</c:v>
                </c:pt>
                <c:pt idx="3">
                  <c:v>-2.9</c:v>
                </c:pt>
                <c:pt idx="4">
                  <c:v>-2.64</c:v>
                </c:pt>
                <c:pt idx="5">
                  <c:v>-2.4900000000000002</c:v>
                </c:pt>
                <c:pt idx="6">
                  <c:v>-1.93</c:v>
                </c:pt>
                <c:pt idx="7">
                  <c:v>-0.88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9D4-498C-B885-81FFAF182BD5}"/>
            </c:ext>
          </c:extLst>
        </c:ser>
        <c:ser>
          <c:idx val="0"/>
          <c:order val="1"/>
          <c:tx>
            <c:strRef>
              <c:f>'G31, G32'!$A$13</c:f>
              <c:strCache>
                <c:ptCount val="1"/>
                <c:pt idx="0">
                  <c:v>Saldo po zohľadnení neočakávaných vplyvov</c:v>
                </c:pt>
              </c:strCache>
            </c:strRef>
          </c:tx>
          <c:spPr>
            <a:ln w="28575" cap="rnd">
              <a:solidFill>
                <a:srgbClr val="13B5EA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13B5EA"/>
              </a:solidFill>
              <a:ln w="12700">
                <a:solidFill>
                  <a:srgbClr val="13B5EA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5.6422136422136435E-2"/>
                  <c:y val="5.47415615601239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9D4-498C-B885-81FFAF182BD5}"/>
                </c:ext>
              </c:extLst>
            </c:dLbl>
            <c:dLbl>
              <c:idx val="1"/>
              <c:layout>
                <c:manualLayout>
                  <c:x val="-1.6930653938527954E-2"/>
                  <c:y val="1.42147125226367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9D4-498C-B885-81FFAF182BD5}"/>
                </c:ext>
              </c:extLst>
            </c:dLbl>
            <c:dLbl>
              <c:idx val="2"/>
              <c:layout>
                <c:manualLayout>
                  <c:x val="-5.8610038610038655E-2"/>
                  <c:y val="-5.06282459373430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9D4-498C-B885-81FFAF182BD5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13B5EA"/>
                    </a:solidFill>
                    <a:latin typeface="Constantia" panose="02030602050306030303" pitchFamily="18" charset="0"/>
                    <a:ea typeface="+mn-ea"/>
                    <a:cs typeface="+mn-cs"/>
                  </a:defRPr>
                </a:pPr>
                <a:endParaRPr lang="sk-SK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'G31, G32'!$B$2:$I$2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'G31, G32'!$B$13:$I$13</c:f>
              <c:numCache>
                <c:formatCode>#\ ##0.0</c:formatCode>
                <c:ptCount val="8"/>
                <c:pt idx="0" formatCode="#,##0.00">
                  <c:v>-5.8644496899703</c:v>
                </c:pt>
                <c:pt idx="1">
                  <c:v>-4.3875532321328077</c:v>
                </c:pt>
                <c:pt idx="2">
                  <c:v>-4.2457970612793741</c:v>
                </c:pt>
                <c:pt idx="3">
                  <c:v>-2.2465747620018388</c:v>
                </c:pt>
                <c:pt idx="4">
                  <c:v>-0.73998751659349227</c:v>
                </c:pt>
                <c:pt idx="5">
                  <c:v>-1.2876039351097763</c:v>
                </c:pt>
                <c:pt idx="6">
                  <c:v>-1.1066882025331539</c:v>
                </c:pt>
                <c:pt idx="7">
                  <c:v>7.0668186266689179E-2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89D4-498C-B885-81FFAF182BD5}"/>
            </c:ext>
          </c:extLst>
        </c:ser>
        <c:ser>
          <c:idx val="1"/>
          <c:order val="2"/>
          <c:tx>
            <c:strRef>
              <c:f>'G31, G32'!$A$14</c:f>
              <c:strCache>
                <c:ptCount val="1"/>
                <c:pt idx="0">
                  <c:v>Skutočné saldo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chemeClr val="tx1"/>
              </a:solidFill>
              <a:ln w="12700">
                <a:noFill/>
              </a:ln>
              <a:effectLst/>
            </c:spPr>
          </c:marker>
          <c:cat>
            <c:numRef>
              <c:f>'G31, G32'!$B$2:$I$2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'G31, G32'!$B$14:$I$14</c:f>
              <c:numCache>
                <c:formatCode>#,##0.00</c:formatCode>
                <c:ptCount val="8"/>
                <c:pt idx="0">
                  <c:v>-7.4849202320897703</c:v>
                </c:pt>
                <c:pt idx="1">
                  <c:v>-4.2769513728421913</c:v>
                </c:pt>
                <c:pt idx="2">
                  <c:v>-4.3448871099740725</c:v>
                </c:pt>
                <c:pt idx="3">
                  <c:v>-2.7199874881859083</c:v>
                </c:pt>
                <c:pt idx="4">
                  <c:v>-2.707325166169825</c:v>
                </c:pt>
                <c:pt idx="5">
                  <c:v>-2.7073657695944364</c:v>
                </c:pt>
                <c:pt idx="6">
                  <c:v>-1.97</c:v>
                </c:pt>
                <c:pt idx="7">
                  <c:v>-1.29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9D4-498C-B885-81FFAF182B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9106392"/>
        <c:axId val="129106784"/>
      </c:lineChart>
      <c:catAx>
        <c:axId val="1291063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129106784"/>
        <c:crosses val="autoZero"/>
        <c:auto val="1"/>
        <c:lblAlgn val="ctr"/>
        <c:lblOffset val="100"/>
        <c:noMultiLvlLbl val="0"/>
      </c:catAx>
      <c:valAx>
        <c:axId val="1291067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1291063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6.1402350479385942E-2"/>
          <c:y val="2.663667041619798E-2"/>
          <c:w val="0.47757465883774847"/>
          <c:h val="0.1970632394354960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onstantia" panose="02030602050306030303" pitchFamily="18" charset="0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" l="0.7" r="0.7" t="0.75" header="0.3" footer="0.3"/>
    <c:pageSetup/>
  </c:printSettings>
  <c:userShapes r:id="rId3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5521333076068137"/>
          <c:y val="0.10940608042371376"/>
          <c:w val="0.47362929889704825"/>
          <c:h val="0.81073212868631106"/>
        </c:manualLayout>
      </c:layout>
      <c:doughnutChart>
        <c:varyColors val="1"/>
        <c:ser>
          <c:idx val="0"/>
          <c:order val="0"/>
          <c:spPr>
            <a:gradFill>
              <a:gsLst>
                <a:gs pos="33005">
                  <a:schemeClr val="bg1">
                    <a:lumMod val="50000"/>
                  </a:schemeClr>
                </a:gs>
                <a:gs pos="83000">
                  <a:schemeClr val="bg1">
                    <a:lumMod val="95000"/>
                  </a:schemeClr>
                </a:gs>
                <a:gs pos="100000">
                  <a:schemeClr val="accent1">
                    <a:lumMod val="30000"/>
                    <a:lumOff val="70000"/>
                  </a:schemeClr>
                </a:gs>
              </a:gsLst>
              <a:lin ang="4800000" scaled="0"/>
            </a:gradFill>
            <a:ln>
              <a:noFill/>
            </a:ln>
            <a:effectLst>
              <a:glow rad="228600">
                <a:schemeClr val="bg1">
                  <a:alpha val="40000"/>
                </a:schemeClr>
              </a:glow>
              <a:outerShdw blurRad="50800" dist="50800" dir="5400000" algn="ctr" rotWithShape="0">
                <a:schemeClr val="bg1"/>
              </a:outerShdw>
            </a:effectLst>
          </c:spPr>
          <c:explosion val="4"/>
          <c:dPt>
            <c:idx val="0"/>
            <c:bubble3D val="0"/>
            <c:spPr>
              <a:gradFill>
                <a:gsLst>
                  <a:gs pos="33005">
                    <a:schemeClr val="bg1">
                      <a:lumMod val="50000"/>
                    </a:schemeClr>
                  </a:gs>
                  <a:gs pos="83000">
                    <a:schemeClr val="bg1">
                      <a:lumMod val="95000"/>
                    </a:schemeClr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4800000" scaled="0"/>
              </a:gradFill>
              <a:ln>
                <a:noFill/>
              </a:ln>
              <a:effectLst>
                <a:glow rad="228600">
                  <a:schemeClr val="bg1">
                    <a:alpha val="40000"/>
                  </a:schemeClr>
                </a:glow>
                <a:outerShdw blurRad="50800" dist="50800" dir="5400000" algn="ctr" rotWithShape="0">
                  <a:schemeClr val="bg1"/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AF94-41BD-B43B-08B7D357BE62}"/>
              </c:ext>
            </c:extLst>
          </c:dPt>
          <c:dPt>
            <c:idx val="1"/>
            <c:bubble3D val="0"/>
            <c:spPr>
              <a:gradFill>
                <a:gsLst>
                  <a:gs pos="33005">
                    <a:schemeClr val="bg1">
                      <a:lumMod val="50000"/>
                    </a:schemeClr>
                  </a:gs>
                  <a:gs pos="83000">
                    <a:schemeClr val="bg1">
                      <a:lumMod val="95000"/>
                    </a:schemeClr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4800000" scaled="0"/>
              </a:gradFill>
              <a:ln>
                <a:noFill/>
              </a:ln>
              <a:effectLst>
                <a:glow rad="228600">
                  <a:schemeClr val="bg1">
                    <a:alpha val="40000"/>
                  </a:schemeClr>
                </a:glow>
                <a:outerShdw blurRad="50800" dist="50800" dir="5400000" algn="ctr" rotWithShape="0">
                  <a:schemeClr val="bg1"/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AF94-41BD-B43B-08B7D357BE62}"/>
              </c:ext>
            </c:extLst>
          </c:dPt>
          <c:dPt>
            <c:idx val="2"/>
            <c:bubble3D val="0"/>
            <c:spPr>
              <a:gradFill>
                <a:gsLst>
                  <a:gs pos="33005">
                    <a:schemeClr val="bg1">
                      <a:lumMod val="50000"/>
                    </a:schemeClr>
                  </a:gs>
                  <a:gs pos="83000">
                    <a:schemeClr val="bg1">
                      <a:lumMod val="95000"/>
                    </a:schemeClr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4800000" scaled="0"/>
              </a:gradFill>
              <a:ln>
                <a:noFill/>
              </a:ln>
              <a:effectLst>
                <a:glow rad="228600">
                  <a:schemeClr val="bg1">
                    <a:alpha val="40000"/>
                  </a:schemeClr>
                </a:glow>
                <a:outerShdw blurRad="50800" dist="50800" dir="5400000" algn="ctr" rotWithShape="0">
                  <a:schemeClr val="bg1"/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AF94-41BD-B43B-08B7D357BE62}"/>
              </c:ext>
            </c:extLst>
          </c:dPt>
          <c:dPt>
            <c:idx val="3"/>
            <c:bubble3D val="0"/>
            <c:spPr>
              <a:gradFill>
                <a:gsLst>
                  <a:gs pos="33005">
                    <a:schemeClr val="bg1">
                      <a:lumMod val="50000"/>
                    </a:schemeClr>
                  </a:gs>
                  <a:gs pos="83000">
                    <a:schemeClr val="bg1">
                      <a:lumMod val="95000"/>
                    </a:schemeClr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4800000" scaled="0"/>
              </a:gradFill>
              <a:ln>
                <a:noFill/>
              </a:ln>
              <a:effectLst>
                <a:glow rad="228600">
                  <a:schemeClr val="bg1">
                    <a:alpha val="40000"/>
                  </a:schemeClr>
                </a:glow>
                <a:outerShdw blurRad="50800" dist="50800" dir="5400000" algn="ctr" rotWithShape="0">
                  <a:schemeClr val="bg1"/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AF94-41BD-B43B-08B7D357BE62}"/>
              </c:ext>
            </c:extLst>
          </c:dPt>
          <c:dLbls>
            <c:dLbl>
              <c:idx val="0"/>
              <c:layout>
                <c:manualLayout>
                  <c:x val="0.15417348228116459"/>
                  <c:y val="6.1684483307453908E-2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2970906534002294"/>
                      <c:h val="0.24588384038402047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AF94-41BD-B43B-08B7D357BE62}"/>
                </c:ext>
              </c:extLst>
            </c:dLbl>
            <c:dLbl>
              <c:idx val="1"/>
              <c:layout>
                <c:manualLayout>
                  <c:x val="-0.11676910795193207"/>
                  <c:y val="9.4899205088390851E-2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F94-41BD-B43B-08B7D357BE62}"/>
                </c:ext>
              </c:extLst>
            </c:dLbl>
            <c:dLbl>
              <c:idx val="2"/>
              <c:layout>
                <c:manualLayout>
                  <c:x val="-0.30242264035231486"/>
                  <c:y val="-3.7361891767082977E-4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3099820776213456"/>
                      <c:h val="0.18797178728828884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AF94-41BD-B43B-08B7D357BE62}"/>
                </c:ext>
              </c:extLst>
            </c:dLbl>
            <c:dLbl>
              <c:idx val="3"/>
              <c:layout>
                <c:manualLayout>
                  <c:x val="0.112799961934771"/>
                  <c:y val="4.2704642289775843E-2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F94-41BD-B43B-08B7D357BE6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Constantia" panose="02030602050306030303" pitchFamily="18" charset="0"/>
                    <a:ea typeface="+mn-ea"/>
                    <a:cs typeface="+mn-cs"/>
                  </a:defRPr>
                </a:pPr>
                <a:endParaRPr lang="sk-SK"/>
              </a:p>
            </c:txPr>
            <c:showLegendKey val="0"/>
            <c:showVal val="0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'G33'!$A$4:$A$7</c:f>
              <c:strCache>
                <c:ptCount val="4"/>
                <c:pt idx="0">
                  <c:v>Zvyšovanie miezd v školstve od 1.9.2016</c:v>
                </c:pt>
                <c:pt idx="1">
                  <c:v>Zmeny v sociálnej oblasti</c:v>
                </c:pt>
                <c:pt idx="2">
                  <c:v>Nové investície (ŠR, MH Invest)</c:v>
                </c:pt>
                <c:pt idx="3">
                  <c:v>Ostatné opatrenia</c:v>
                </c:pt>
              </c:strCache>
            </c:strRef>
          </c:cat>
          <c:val>
            <c:numRef>
              <c:f>'G33'!$B$4:$B$7</c:f>
              <c:numCache>
                <c:formatCode>#,##0</c:formatCode>
                <c:ptCount val="4"/>
                <c:pt idx="0">
                  <c:v>-97.525999999999996</c:v>
                </c:pt>
                <c:pt idx="1">
                  <c:v>-143.22200000000001</c:v>
                </c:pt>
                <c:pt idx="2">
                  <c:v>-474.80830100000003</c:v>
                </c:pt>
                <c:pt idx="3">
                  <c:v>-85.445000000000022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AF94-41BD-B43B-08B7D357BE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131"/>
        <c:holeSize val="60"/>
      </c:doughnutChart>
      <c:spPr>
        <a:solidFill>
          <a:schemeClr val="bg1"/>
        </a:solidFill>
        <a:ln>
          <a:solidFill>
            <a:schemeClr val="bg1"/>
          </a:solidFill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latin typeface="Constantia" panose="02030602050306030303" pitchFamily="18" charset="0"/>
        </a:defRPr>
      </a:pPr>
      <a:endParaRPr lang="sk-SK"/>
    </a:p>
  </c:txPr>
  <c:printSettings>
    <c:headerFooter/>
    <c:pageMargins b="0.75" l="0.7" r="0.7" t="0.75" header="0.3" footer="0.3"/>
    <c:pageSetup/>
  </c:printSettings>
  <c:userShapes r:id="rId3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2882567107844895"/>
          <c:y val="0.10940608042371376"/>
          <c:w val="0.47362929889704825"/>
          <c:h val="0.81073212868631106"/>
        </c:manualLayout>
      </c:layout>
      <c:doughnutChart>
        <c:varyColors val="1"/>
        <c:ser>
          <c:idx val="0"/>
          <c:order val="0"/>
          <c:spPr>
            <a:gradFill>
              <a:gsLst>
                <a:gs pos="0">
                  <a:srgbClr val="13B5EA"/>
                </a:gs>
                <a:gs pos="74000">
                  <a:schemeClr val="accent1">
                    <a:lumMod val="45000"/>
                    <a:lumOff val="55000"/>
                  </a:schemeClr>
                </a:gs>
                <a:gs pos="60588">
                  <a:srgbClr val="13B5EA"/>
                </a:gs>
                <a:gs pos="44844">
                  <a:srgbClr val="13B5EA"/>
                </a:gs>
                <a:gs pos="83000">
                  <a:schemeClr val="accent1">
                    <a:lumMod val="45000"/>
                    <a:lumOff val="55000"/>
                  </a:schemeClr>
                </a:gs>
                <a:gs pos="100000">
                  <a:schemeClr val="accent1">
                    <a:lumMod val="30000"/>
                    <a:lumOff val="70000"/>
                  </a:schemeClr>
                </a:gs>
              </a:gsLst>
              <a:lin ang="5400000" scaled="1"/>
            </a:gradFill>
            <a:ln>
              <a:noFill/>
            </a:ln>
            <a:effectLst>
              <a:glow rad="63500">
                <a:schemeClr val="accent1">
                  <a:satMod val="175000"/>
                  <a:alpha val="40000"/>
                </a:schemeClr>
              </a:glow>
              <a:outerShdw blurRad="177800" sx="111000" sy="111000" algn="ctr" rotWithShape="0">
                <a:prstClr val="black">
                  <a:alpha val="40000"/>
                </a:prstClr>
              </a:outerShdw>
            </a:effectLst>
          </c:spPr>
          <c:explosion val="2"/>
          <c:dPt>
            <c:idx val="0"/>
            <c:bubble3D val="0"/>
            <c:spPr>
              <a:gradFill>
                <a:gsLst>
                  <a:gs pos="0">
                    <a:srgbClr val="13B5EA"/>
                  </a:gs>
                  <a:gs pos="74000">
                    <a:schemeClr val="accent1">
                      <a:lumMod val="45000"/>
                      <a:lumOff val="55000"/>
                    </a:schemeClr>
                  </a:gs>
                  <a:gs pos="60588">
                    <a:srgbClr val="13B5EA"/>
                  </a:gs>
                  <a:gs pos="44844">
                    <a:srgbClr val="13B5EA"/>
                  </a:gs>
                  <a:gs pos="83000">
                    <a:schemeClr val="accent1">
                      <a:lumMod val="45000"/>
                      <a:lumOff val="55000"/>
                    </a:schemeClr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>
                <a:noFill/>
              </a:ln>
              <a:effectLst>
                <a:glow rad="63500">
                  <a:schemeClr val="accent1">
                    <a:satMod val="175000"/>
                    <a:alpha val="40000"/>
                  </a:schemeClr>
                </a:glow>
                <a:outerShdw blurRad="177800" sx="111000" sy="111000" algn="ctr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79E2-45AD-812B-19D0A5EF4D62}"/>
              </c:ext>
            </c:extLst>
          </c:dPt>
          <c:dPt>
            <c:idx val="1"/>
            <c:bubble3D val="0"/>
            <c:spPr>
              <a:gradFill>
                <a:gsLst>
                  <a:gs pos="0">
                    <a:srgbClr val="13B5EA"/>
                  </a:gs>
                  <a:gs pos="74000">
                    <a:schemeClr val="accent1">
                      <a:lumMod val="45000"/>
                      <a:lumOff val="55000"/>
                    </a:schemeClr>
                  </a:gs>
                  <a:gs pos="60588">
                    <a:srgbClr val="13B5EA"/>
                  </a:gs>
                  <a:gs pos="44844">
                    <a:srgbClr val="13B5EA"/>
                  </a:gs>
                  <a:gs pos="83000">
                    <a:schemeClr val="accent1">
                      <a:lumMod val="45000"/>
                      <a:lumOff val="55000"/>
                    </a:schemeClr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>
                <a:noFill/>
              </a:ln>
              <a:effectLst>
                <a:glow rad="63500">
                  <a:schemeClr val="accent1">
                    <a:satMod val="175000"/>
                    <a:alpha val="40000"/>
                  </a:schemeClr>
                </a:glow>
                <a:outerShdw blurRad="177800" sx="111000" sy="111000" algn="ctr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79E2-45AD-812B-19D0A5EF4D62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rgbClr val="13B5EA"/>
                  </a:gs>
                  <a:gs pos="74000">
                    <a:schemeClr val="accent1">
                      <a:lumMod val="45000"/>
                      <a:lumOff val="55000"/>
                    </a:schemeClr>
                  </a:gs>
                  <a:gs pos="60588">
                    <a:srgbClr val="13B5EA"/>
                  </a:gs>
                  <a:gs pos="44844">
                    <a:srgbClr val="13B5EA"/>
                  </a:gs>
                  <a:gs pos="83000">
                    <a:schemeClr val="accent1">
                      <a:lumMod val="45000"/>
                      <a:lumOff val="55000"/>
                    </a:schemeClr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>
                <a:noFill/>
              </a:ln>
              <a:effectLst>
                <a:glow rad="63500">
                  <a:schemeClr val="accent1">
                    <a:satMod val="175000"/>
                    <a:alpha val="40000"/>
                  </a:schemeClr>
                </a:glow>
                <a:outerShdw blurRad="177800" sx="111000" sy="111000" algn="ctr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79E2-45AD-812B-19D0A5EF4D62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rgbClr val="13B5EA"/>
                  </a:gs>
                  <a:gs pos="74000">
                    <a:schemeClr val="accent1">
                      <a:lumMod val="45000"/>
                      <a:lumOff val="55000"/>
                    </a:schemeClr>
                  </a:gs>
                  <a:gs pos="60588">
                    <a:srgbClr val="13B5EA"/>
                  </a:gs>
                  <a:gs pos="44844">
                    <a:srgbClr val="13B5EA"/>
                  </a:gs>
                  <a:gs pos="83000">
                    <a:schemeClr val="accent1">
                      <a:lumMod val="45000"/>
                      <a:lumOff val="55000"/>
                    </a:schemeClr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>
                <a:noFill/>
              </a:ln>
              <a:effectLst>
                <a:glow rad="63500">
                  <a:schemeClr val="accent1">
                    <a:satMod val="175000"/>
                    <a:alpha val="40000"/>
                  </a:schemeClr>
                </a:glow>
                <a:outerShdw blurRad="177800" sx="111000" sy="111000" algn="ctr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79E2-45AD-812B-19D0A5EF4D62}"/>
              </c:ext>
            </c:extLst>
          </c:dPt>
          <c:dLbls>
            <c:dLbl>
              <c:idx val="0"/>
              <c:layout>
                <c:manualLayout>
                  <c:x val="-9.3419991379715017E-2"/>
                  <c:y val="-0.18282995576664257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9E2-45AD-812B-19D0A5EF4D62}"/>
                </c:ext>
              </c:extLst>
            </c:dLbl>
            <c:dLbl>
              <c:idx val="1"/>
              <c:layout>
                <c:manualLayout>
                  <c:x val="0.14114547040053035"/>
                  <c:y val="-9.9832157266795757E-2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9626893890205319"/>
                      <c:h val="0.20540945417407588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79E2-45AD-812B-19D0A5EF4D62}"/>
                </c:ext>
              </c:extLst>
            </c:dLbl>
            <c:dLbl>
              <c:idx val="2"/>
              <c:layout>
                <c:manualLayout>
                  <c:x val="0.14903811275503445"/>
                  <c:y val="-9.0006936646052117E-3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9E2-45AD-812B-19D0A5EF4D62}"/>
                </c:ext>
              </c:extLst>
            </c:dLbl>
            <c:dLbl>
              <c:idx val="3"/>
              <c:layout>
                <c:manualLayout>
                  <c:x val="0.10904235462507295"/>
                  <c:y val="4.270464228977576E-2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3144662199846546"/>
                      <c:h val="0.13109093634177404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79E2-45AD-812B-19D0A5EF4D6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rgbClr val="109BC6"/>
                    </a:solidFill>
                    <a:latin typeface="Constantia" panose="02030602050306030303" pitchFamily="18" charset="0"/>
                    <a:ea typeface="+mn-ea"/>
                    <a:cs typeface="+mn-cs"/>
                  </a:defRPr>
                </a:pPr>
                <a:endParaRPr lang="sk-SK"/>
              </a:p>
            </c:txPr>
            <c:showLegendKey val="0"/>
            <c:showVal val="0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'G33'!$A$14:$A$17</c:f>
              <c:strCache>
                <c:ptCount val="4"/>
                <c:pt idx="0">
                  <c:v>Zmeny v daniach</c:v>
                </c:pt>
                <c:pt idx="1">
                  <c:v>Spolufinancovanie EÚ fondov</c:v>
                </c:pt>
                <c:pt idx="2">
                  <c:v>Odvod do rozpočtu EÚ</c:v>
                </c:pt>
                <c:pt idx="3">
                  <c:v>Úspora úrokov</c:v>
                </c:pt>
              </c:strCache>
            </c:strRef>
          </c:cat>
          <c:val>
            <c:numRef>
              <c:f>'G33'!$B$14:$B$17</c:f>
              <c:numCache>
                <c:formatCode>#,##0</c:formatCode>
                <c:ptCount val="4"/>
                <c:pt idx="0">
                  <c:v>818.51982396408562</c:v>
                </c:pt>
                <c:pt idx="1">
                  <c:v>36.689785999999962</c:v>
                </c:pt>
                <c:pt idx="2">
                  <c:v>12.535</c:v>
                </c:pt>
                <c:pt idx="3">
                  <c:v>73.202895000000012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79E2-45AD-812B-19D0A5EF4D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108"/>
        <c:holeSize val="6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" l="0.7" r="0.7" t="0.75" header="0.3" footer="0.3"/>
    <c:pageSetup/>
  </c:printSettings>
  <c:userShapes r:id="rId3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188708273585326"/>
          <c:y val="0.12375398329932795"/>
          <c:w val="0.47362929889704825"/>
          <c:h val="0.81073212868631106"/>
        </c:manualLayout>
      </c:layout>
      <c:doughnutChart>
        <c:varyColors val="1"/>
        <c:ser>
          <c:idx val="0"/>
          <c:order val="0"/>
          <c:spPr>
            <a:gradFill flip="none" rotWithShape="1">
              <a:gsLst>
                <a:gs pos="79322">
                  <a:schemeClr val="bg1"/>
                </a:gs>
                <a:gs pos="67488">
                  <a:srgbClr val="DCB47B"/>
                </a:gs>
                <a:gs pos="100000">
                  <a:srgbClr val="DCB47B"/>
                </a:gs>
              </a:gsLst>
              <a:path path="circle">
                <a:fillToRect l="100000" t="100000"/>
              </a:path>
              <a:tileRect r="-100000" b="-100000"/>
            </a:gradFill>
            <a:effectLst>
              <a:glow rad="228600">
                <a:schemeClr val="bg1">
                  <a:alpha val="40000"/>
                </a:schemeClr>
              </a:glow>
              <a:outerShdw blurRad="50800" dist="50800" dir="5400000" algn="ctr" rotWithShape="0">
                <a:srgbClr val="DCB47B"/>
              </a:outerShdw>
            </a:effectLst>
          </c:spPr>
          <c:explosion val="4"/>
          <c:dPt>
            <c:idx val="0"/>
            <c:bubble3D val="0"/>
            <c:spPr>
              <a:gradFill flip="none" rotWithShape="1">
                <a:gsLst>
                  <a:gs pos="79322">
                    <a:schemeClr val="bg1"/>
                  </a:gs>
                  <a:gs pos="67488">
                    <a:srgbClr val="DCB47B"/>
                  </a:gs>
                  <a:gs pos="100000">
                    <a:srgbClr val="DCB47B"/>
                  </a:gs>
                </a:gsLst>
                <a:path path="circle">
                  <a:fillToRect l="100000" t="100000"/>
                </a:path>
                <a:tileRect r="-100000" b="-100000"/>
              </a:gradFill>
              <a:ln>
                <a:noFill/>
              </a:ln>
              <a:effectLst>
                <a:glow rad="228600">
                  <a:schemeClr val="bg1">
                    <a:alpha val="40000"/>
                  </a:schemeClr>
                </a:glow>
                <a:outerShdw blurRad="50800" dist="50800" dir="5400000" algn="ctr" rotWithShape="0">
                  <a:srgbClr val="DCB47B"/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91AA-4404-A24C-25369CCE3583}"/>
              </c:ext>
            </c:extLst>
          </c:dPt>
          <c:dPt>
            <c:idx val="1"/>
            <c:bubble3D val="0"/>
            <c:spPr>
              <a:gradFill flip="none" rotWithShape="1">
                <a:gsLst>
                  <a:gs pos="79322">
                    <a:schemeClr val="bg1"/>
                  </a:gs>
                  <a:gs pos="67488">
                    <a:srgbClr val="DCB47B"/>
                  </a:gs>
                  <a:gs pos="100000">
                    <a:srgbClr val="DCB47B"/>
                  </a:gs>
                </a:gsLst>
                <a:path path="circle">
                  <a:fillToRect l="100000" t="100000"/>
                </a:path>
                <a:tileRect r="-100000" b="-100000"/>
              </a:gradFill>
              <a:ln>
                <a:noFill/>
              </a:ln>
              <a:effectLst>
                <a:glow rad="228600">
                  <a:schemeClr val="bg1">
                    <a:alpha val="40000"/>
                  </a:schemeClr>
                </a:glow>
                <a:outerShdw blurRad="50800" dist="50800" dir="5400000" algn="ctr" rotWithShape="0">
                  <a:srgbClr val="DCB47B"/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91AA-4404-A24C-25369CCE3583}"/>
              </c:ext>
            </c:extLst>
          </c:dPt>
          <c:dPt>
            <c:idx val="2"/>
            <c:bubble3D val="0"/>
            <c:spPr>
              <a:gradFill flip="none" rotWithShape="1">
                <a:gsLst>
                  <a:gs pos="79322">
                    <a:schemeClr val="bg1"/>
                  </a:gs>
                  <a:gs pos="67488">
                    <a:srgbClr val="DCB47B"/>
                  </a:gs>
                  <a:gs pos="100000">
                    <a:srgbClr val="DCB47B"/>
                  </a:gs>
                </a:gsLst>
                <a:path path="circle">
                  <a:fillToRect l="100000" t="100000"/>
                </a:path>
                <a:tileRect r="-100000" b="-100000"/>
              </a:gradFill>
              <a:ln>
                <a:noFill/>
              </a:ln>
              <a:effectLst>
                <a:glow rad="228600">
                  <a:schemeClr val="bg1">
                    <a:alpha val="40000"/>
                  </a:schemeClr>
                </a:glow>
                <a:outerShdw blurRad="50800" dist="50800" dir="5400000" algn="ctr" rotWithShape="0">
                  <a:srgbClr val="DCB47B"/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91AA-4404-A24C-25369CCE3583}"/>
              </c:ext>
            </c:extLst>
          </c:dPt>
          <c:dPt>
            <c:idx val="3"/>
            <c:bubble3D val="0"/>
            <c:spPr>
              <a:gradFill flip="none" rotWithShape="1">
                <a:gsLst>
                  <a:gs pos="79322">
                    <a:schemeClr val="bg1"/>
                  </a:gs>
                  <a:gs pos="67488">
                    <a:srgbClr val="DCB47B"/>
                  </a:gs>
                  <a:gs pos="100000">
                    <a:srgbClr val="DCB47B"/>
                  </a:gs>
                </a:gsLst>
                <a:path path="circle">
                  <a:fillToRect l="100000" t="100000"/>
                </a:path>
                <a:tileRect r="-100000" b="-100000"/>
              </a:gradFill>
              <a:ln>
                <a:noFill/>
              </a:ln>
              <a:effectLst>
                <a:glow rad="228600">
                  <a:schemeClr val="bg1">
                    <a:alpha val="40000"/>
                  </a:schemeClr>
                </a:glow>
                <a:outerShdw blurRad="50800" dist="50800" dir="5400000" algn="ctr" rotWithShape="0">
                  <a:srgbClr val="DCB47B"/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91AA-4404-A24C-25369CCE3583}"/>
              </c:ext>
            </c:extLst>
          </c:dPt>
          <c:dLbls>
            <c:dLbl>
              <c:idx val="0"/>
              <c:layout>
                <c:manualLayout>
                  <c:x val="9.8362019146585641E-2"/>
                  <c:y val="0.26667619419897537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Prevádzkové výdavky ŠR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6682505634147005"/>
                      <c:h val="0.163588859490363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91AA-4404-A24C-25369CCE3583}"/>
                </c:ext>
              </c:extLst>
            </c:dLbl>
            <c:dLbl>
              <c:idx val="1"/>
              <c:layout>
                <c:manualLayout>
                  <c:x val="0.13291092285842016"/>
                  <c:y val="2.3122530090809057E-2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1AA-4404-A24C-25369CCE3583}"/>
                </c:ext>
              </c:extLst>
            </c:dLbl>
            <c:dLbl>
              <c:idx val="2"/>
              <c:layout>
                <c:manualLayout>
                  <c:x val="-0.11177194110341412"/>
                  <c:y val="-0.10111197222931452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0580481451243321"/>
                      <c:h val="0.12152574580242534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91AA-4404-A24C-25369CCE3583}"/>
                </c:ext>
              </c:extLst>
            </c:dLbl>
            <c:dLbl>
              <c:idx val="3"/>
              <c:layout>
                <c:manualLayout>
                  <c:x val="-3.8128473969066858E-2"/>
                  <c:y val="-0.18531690530687314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1AA-4404-A24C-25369CCE358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accent4">
                        <a:lumMod val="75000"/>
                      </a:schemeClr>
                    </a:solidFill>
                    <a:latin typeface="Constantia" panose="02030602050306030303" pitchFamily="18" charset="0"/>
                    <a:ea typeface="+mn-ea"/>
                    <a:cs typeface="+mn-cs"/>
                  </a:defRPr>
                </a:pPr>
                <a:endParaRPr lang="sk-SK"/>
              </a:p>
            </c:txPr>
            <c:showLegendKey val="0"/>
            <c:showVal val="0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'G33'!$A$10:$A$12</c:f>
              <c:strCache>
                <c:ptCount val="3"/>
                <c:pt idx="0">
                  <c:v>Mzdové výdavky a tovary a služby ŠR</c:v>
                </c:pt>
                <c:pt idx="1">
                  <c:v>Výdavky samospráv</c:v>
                </c:pt>
                <c:pt idx="2">
                  <c:v>Zdravotníctvo</c:v>
                </c:pt>
              </c:strCache>
            </c:strRef>
          </c:cat>
          <c:val>
            <c:numRef>
              <c:f>'G33'!$B$10:$B$12</c:f>
              <c:numCache>
                <c:formatCode>#,##0</c:formatCode>
                <c:ptCount val="3"/>
                <c:pt idx="0">
                  <c:v>-312.26394600000003</c:v>
                </c:pt>
                <c:pt idx="1">
                  <c:v>-154.715937</c:v>
                </c:pt>
                <c:pt idx="2">
                  <c:v>-92.505902000000006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1AA-4404-A24C-25369CCE35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  <c:holeSize val="60"/>
      </c:doughnutChart>
      <c:spPr>
        <a:noFill/>
        <a:ln>
          <a:noFill/>
        </a:ln>
        <a:effectLst>
          <a:glow rad="63500">
            <a:schemeClr val="bg1">
              <a:alpha val="40000"/>
            </a:schemeClr>
          </a:glow>
        </a:effectLst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latin typeface="Constantia" panose="02030602050306030303" pitchFamily="18" charset="0"/>
        </a:defRPr>
      </a:pPr>
      <a:endParaRPr lang="sk-SK"/>
    </a:p>
  </c:txPr>
  <c:printSettings>
    <c:headerFooter/>
    <c:pageMargins b="0.75" l="0.7" r="0.7" t="0.75" header="0.3" footer="0.3"/>
    <c:pageSetup/>
  </c:printSettings>
  <c:userShapes r:id="rId3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4618285437752909E-2"/>
          <c:y val="1.3379125481655216E-2"/>
          <c:w val="0.94000926016670039"/>
          <c:h val="0.8575550827083211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'G33'!$A$13</c:f>
              <c:strCache>
                <c:ptCount val="1"/>
                <c:pt idx="0">
                  <c:v>Pozitíva</c:v>
                </c:pt>
              </c:strCache>
            </c:strRef>
          </c:tx>
          <c:spPr>
            <a:solidFill>
              <a:srgbClr val="13B5EA"/>
            </a:solidFill>
            <a:ln>
              <a:solidFill>
                <a:srgbClr val="B2E4F8"/>
              </a:solidFill>
            </a:ln>
            <a:effectLst>
              <a:glow rad="101600">
                <a:schemeClr val="accent5">
                  <a:satMod val="175000"/>
                  <a:alpha val="40000"/>
                </a:schemeClr>
              </a:glow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rgbClr val="13B5EA"/>
              </a:solidFill>
              <a:ln>
                <a:solidFill>
                  <a:srgbClr val="B2E4F8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9F00-4121-AFE0-2CB0887B4B7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5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Constantia" panose="02030602050306030303" pitchFamily="18" charset="0"/>
                    <a:ea typeface="+mn-ea"/>
                    <a:cs typeface="+mn-cs"/>
                  </a:defRPr>
                </a:pPr>
                <a:endParaRPr lang="sk-SK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'G33'!$B$13</c:f>
              <c:numCache>
                <c:formatCode>#,##0</c:formatCode>
                <c:ptCount val="1"/>
                <c:pt idx="0">
                  <c:v>940.94750496408551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vysvetlenie_zmien!#REF!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2-9F00-4121-AFE0-2CB0887B4B7C}"/>
            </c:ext>
          </c:extLst>
        </c:ser>
        <c:ser>
          <c:idx val="1"/>
          <c:order val="1"/>
          <c:tx>
            <c:strRef>
              <c:f>'G33'!$A$9</c:f>
              <c:strCache>
                <c:ptCount val="1"/>
                <c:pt idx="0">
                  <c:v>Zreálnenie výdavkov (zníženie rizík)</c:v>
                </c:pt>
              </c:strCache>
            </c:strRef>
          </c:tx>
          <c:spPr>
            <a:solidFill>
              <a:srgbClr val="DCB47B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4.6812738748571369E-3"/>
                  <c:y val="-1.4324007371418997E-3"/>
                </c:manualLayout>
              </c:layout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5128888888888886"/>
                      <c:h val="0.2458838450562807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9F00-4121-AFE0-2CB0887B4B7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5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Constantia" panose="02030602050306030303" pitchFamily="18" charset="0"/>
                    <a:ea typeface="+mn-ea"/>
                    <a:cs typeface="+mn-cs"/>
                  </a:defRPr>
                </a:pPr>
                <a:endParaRPr lang="sk-SK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'G33'!$B$9</c:f>
              <c:numCache>
                <c:formatCode>#,##0</c:formatCode>
                <c:ptCount val="1"/>
                <c:pt idx="0">
                  <c:v>-559.48578500000008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vysvetlenie_zmien!#REF!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4-9F00-4121-AFE0-2CB0887B4B7C}"/>
            </c:ext>
          </c:extLst>
        </c:ser>
        <c:ser>
          <c:idx val="2"/>
          <c:order val="2"/>
          <c:tx>
            <c:strRef>
              <c:f>'G33'!$A$8</c:f>
              <c:strCache>
                <c:ptCount val="1"/>
                <c:pt idx="0">
                  <c:v>Ostatné</c:v>
                </c:pt>
              </c:strCache>
            </c:strRef>
          </c:tx>
          <c:spPr>
            <a:solidFill>
              <a:schemeClr val="bg2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2.0028919806159137E-3"/>
                  <c:y val="-1.1227452951359738E-2"/>
                </c:manualLayout>
              </c:layout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F00-4121-AFE0-2CB0887B4B7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Constantia" panose="02030602050306030303" pitchFamily="18" charset="0"/>
                    <a:ea typeface="+mn-ea"/>
                    <a:cs typeface="+mn-cs"/>
                  </a:defRPr>
                </a:pPr>
                <a:endParaRPr lang="sk-SK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'G33'!$B$8</c:f>
              <c:numCache>
                <c:formatCode>#,##0</c:formatCode>
                <c:ptCount val="1"/>
                <c:pt idx="0">
                  <c:v>-77.791434000000805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vysvetlenie_zmien!#REF!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6-9F00-4121-AFE0-2CB0887B4B7C}"/>
            </c:ext>
          </c:extLst>
        </c:ser>
        <c:ser>
          <c:idx val="3"/>
          <c:order val="3"/>
          <c:tx>
            <c:strRef>
              <c:f>'G33'!$A$3</c:f>
              <c:strCache>
                <c:ptCount val="1"/>
                <c:pt idx="0">
                  <c:v>Nové opatrenia vlády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5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Constantia" panose="02030602050306030303" pitchFamily="18" charset="0"/>
                    <a:ea typeface="+mn-ea"/>
                    <a:cs typeface="+mn-cs"/>
                  </a:defRPr>
                </a:pPr>
                <a:endParaRPr lang="sk-SK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'G33'!$B$3</c:f>
              <c:numCache>
                <c:formatCode>#,##0</c:formatCode>
                <c:ptCount val="1"/>
                <c:pt idx="0">
                  <c:v>-801.00130100000013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vysvetlenie_zmien!#REF!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7-9F00-4121-AFE0-2CB0887B4B7C}"/>
            </c:ext>
          </c:extLst>
        </c:ser>
        <c:ser>
          <c:idx val="5"/>
          <c:order val="4"/>
          <c:tx>
            <c:v>Zvýšenie daní</c:v>
          </c:tx>
          <c:spPr>
            <a:solidFill>
              <a:srgbClr val="B1E8F9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6.3529477907837886E-4"/>
                  <c:y val="-6.3260338208696353E-3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chemeClr val="tx1">
                            <a:lumMod val="75000"/>
                            <a:lumOff val="25000"/>
                          </a:schemeClr>
                        </a:solidFill>
                        <a:latin typeface="Constantia" panose="02030602050306030303" pitchFamily="18" charset="0"/>
                        <a:ea typeface="+mn-ea"/>
                        <a:cs typeface="+mn-cs"/>
                      </a:defRPr>
                    </a:pPr>
                    <a:fld id="{46520F74-3B81-401C-9118-005C44C66F3E}" type="SERIESNAME">
                      <a:rPr lang="en-US"/>
                      <a:pPr>
                        <a:defRPr/>
                      </a:pPr>
                      <a:t>[NÁZOV RADU]</a:t>
                    </a:fld>
                    <a:endParaRPr lang="sk-SK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Constantia" panose="02030602050306030303" pitchFamily="18" charset="0"/>
                      <a:ea typeface="+mn-ea"/>
                      <a:cs typeface="+mn-cs"/>
                    </a:defRPr>
                  </a:pPr>
                  <a:endParaRPr lang="sk-SK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3875058059870459E-2"/>
                      <c:h val="0.16438223789174711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8-9F00-4121-AFE0-2CB0887B4B7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Constantia" panose="02030602050306030303" pitchFamily="18" charset="0"/>
                    <a:ea typeface="+mn-ea"/>
                    <a:cs typeface="+mn-cs"/>
                  </a:defRPr>
                </a:pPr>
                <a:endParaRPr lang="sk-SK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'G33'!$B$18</c:f>
              <c:numCache>
                <c:formatCode>#,##0</c:formatCode>
                <c:ptCount val="1"/>
                <c:pt idx="0">
                  <c:v>166.19300000000001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9F00-4121-AFE0-2CB0887B4B7C}"/>
            </c:ext>
          </c:extLst>
        </c:ser>
        <c:ser>
          <c:idx val="4"/>
          <c:order val="5"/>
          <c:tx>
            <c:strRef>
              <c:f>'G33'!$A$19</c:f>
              <c:strCache>
                <c:ptCount val="1"/>
                <c:pt idx="0">
                  <c:v>Zhoršenie cieľa</c:v>
                </c:pt>
              </c:strCache>
            </c:strRef>
          </c:tx>
          <c:spPr>
            <a:solidFill>
              <a:srgbClr val="CCECFF"/>
            </a:solidFill>
            <a:ln>
              <a:solidFill>
                <a:schemeClr val="accent1">
                  <a:lumMod val="20000"/>
                  <a:lumOff val="80000"/>
                </a:schemeClr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bg1"/>
              </a:solidFill>
              <a:ln w="12700">
                <a:solidFill>
                  <a:srgbClr val="13B5EA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9F00-4121-AFE0-2CB0887B4B7C}"/>
              </c:ext>
            </c:extLst>
          </c:dPt>
          <c:dLbls>
            <c:dLbl>
              <c:idx val="0"/>
              <c:layout>
                <c:manualLayout>
                  <c:x val="0"/>
                  <c:y val="3.1630169104348176E-3"/>
                </c:manualLayout>
              </c:layout>
              <c:tx>
                <c:rich>
                  <a:bodyPr/>
                  <a:lstStyle/>
                  <a:p>
                    <a:fld id="{0E2D281E-E331-42C6-A8C9-A58538F8A8FC}" type="SERIESNAME">
                      <a:rPr lang="en-US"/>
                      <a:pPr/>
                      <a:t>[NÁZOV RADU]</a:t>
                    </a:fld>
                    <a:endParaRPr lang="sk-SK"/>
                  </a:p>
                </c:rich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1898249395492086E-2"/>
                      <c:h val="0.1872192199850865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B-9F00-4121-AFE0-2CB0887B4B7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5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Constantia" panose="02030602050306030303" pitchFamily="18" charset="0"/>
                    <a:ea typeface="+mn-ea"/>
                    <a:cs typeface="+mn-cs"/>
                  </a:defRPr>
                </a:pPr>
                <a:endParaRPr lang="sk-SK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'G33'!$B$19</c:f>
              <c:numCache>
                <c:formatCode>#,##0</c:formatCode>
                <c:ptCount val="1"/>
                <c:pt idx="0">
                  <c:v>331.13801503591537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vysvetlenie_zmien!#REF!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C-9F00-4121-AFE0-2CB0887B4B7C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60"/>
        <c:overlap val="100"/>
        <c:axId val="460379952"/>
        <c:axId val="456070456"/>
      </c:barChart>
      <c:catAx>
        <c:axId val="46037995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one"/>
        <c:spPr>
          <a:noFill/>
          <a:ln w="41275" cap="flat" cmpd="sng" algn="ctr">
            <a:solidFill>
              <a:schemeClr val="tx1">
                <a:lumMod val="65000"/>
                <a:lumOff val="3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456070456"/>
        <c:crosses val="autoZero"/>
        <c:auto val="1"/>
        <c:lblAlgn val="ctr"/>
        <c:lblOffset val="100"/>
        <c:noMultiLvlLbl val="0"/>
      </c:catAx>
      <c:valAx>
        <c:axId val="456070456"/>
        <c:scaling>
          <c:orientation val="minMax"/>
        </c:scaling>
        <c:delete val="0"/>
        <c:axPos val="b"/>
        <c:majorGridlines>
          <c:spPr>
            <a:ln w="6350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460379952"/>
        <c:crosses val="autoZero"/>
        <c:crossBetween val="between"/>
      </c:valAx>
      <c:spPr>
        <a:noFill/>
        <a:ln w="25400">
          <a:noFill/>
        </a:ln>
        <a:effectLst>
          <a:softEdge rad="31750"/>
        </a:effectLst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latin typeface="Constantia" panose="02030602050306030303" pitchFamily="18" charset="0"/>
        </a:defRPr>
      </a:pPr>
      <a:endParaRPr lang="sk-SK"/>
    </a:p>
  </c:txPr>
  <c:printSettings>
    <c:headerFooter/>
    <c:pageMargins b="0.75" l="0.7" r="0.7" t="0.75" header="0.3" footer="0.3"/>
    <c:pageSetup/>
  </c:printSettings>
  <c:userShapes r:id="rId3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268408613102467"/>
          <c:y val="5.0925925925925923E-2"/>
          <c:w val="0.84208354552695841"/>
          <c:h val="0.83299358413531654"/>
        </c:manualLayout>
      </c:layout>
      <c:areaChart>
        <c:grouping val="standard"/>
        <c:varyColors val="0"/>
        <c:ser>
          <c:idx val="1"/>
          <c:order val="0"/>
          <c:tx>
            <c:v>Odhad vlády</c:v>
          </c:tx>
          <c:spPr>
            <a:solidFill>
              <a:srgbClr val="B1E8F9"/>
            </a:solidFill>
            <a:ln w="25400">
              <a:noFill/>
            </a:ln>
            <a:effectLst/>
          </c:spPr>
          <c:cat>
            <c:numRef>
              <c:f>'G34'!$B$2:$Z$2</c:f>
              <c:numCache>
                <c:formatCode>@</c:formatCode>
                <c:ptCount val="2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</c:numCache>
            </c:numRef>
          </c:cat>
          <c:val>
            <c:numRef>
              <c:f>'G34'!$B$5:$Z$5</c:f>
              <c:numCache>
                <c:formatCode>#\ ##0.0</c:formatCode>
                <c:ptCount val="25"/>
                <c:pt idx="0">
                  <c:v>21.7</c:v>
                </c:pt>
                <c:pt idx="1">
                  <c:v>30.5</c:v>
                </c:pt>
                <c:pt idx="2">
                  <c:v>33</c:v>
                </c:pt>
                <c:pt idx="3">
                  <c:v>33.9</c:v>
                </c:pt>
                <c:pt idx="4">
                  <c:v>47.1</c:v>
                </c:pt>
                <c:pt idx="5">
                  <c:v>49.6</c:v>
                </c:pt>
                <c:pt idx="6">
                  <c:v>48.3</c:v>
                </c:pt>
                <c:pt idx="7">
                  <c:v>42.9</c:v>
                </c:pt>
                <c:pt idx="8">
                  <c:v>41.6</c:v>
                </c:pt>
                <c:pt idx="9">
                  <c:v>40.6</c:v>
                </c:pt>
                <c:pt idx="10">
                  <c:v>34.1</c:v>
                </c:pt>
                <c:pt idx="11">
                  <c:v>31</c:v>
                </c:pt>
                <c:pt idx="12">
                  <c:v>30.1</c:v>
                </c:pt>
                <c:pt idx="13">
                  <c:v>28.5</c:v>
                </c:pt>
                <c:pt idx="14">
                  <c:v>36.299999999999997</c:v>
                </c:pt>
                <c:pt idx="15">
                  <c:v>41.2</c:v>
                </c:pt>
                <c:pt idx="16">
                  <c:v>43.7</c:v>
                </c:pt>
                <c:pt idx="17">
                  <c:v>52.2</c:v>
                </c:pt>
                <c:pt idx="18">
                  <c:v>54.7</c:v>
                </c:pt>
                <c:pt idx="19">
                  <c:v>53.6</c:v>
                </c:pt>
                <c:pt idx="20">
                  <c:v>52.891725362204191</c:v>
                </c:pt>
                <c:pt idx="21">
                  <c:v>53.494940800548285</c:v>
                </c:pt>
                <c:pt idx="22">
                  <c:v>52.724454687922815</c:v>
                </c:pt>
                <c:pt idx="23">
                  <c:v>51.40232554356453</c:v>
                </c:pt>
                <c:pt idx="24">
                  <c:v>49.061389249467865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C3-45BF-B465-1C37004C63FA}"/>
            </c:ext>
          </c:extLst>
        </c:ser>
        <c:ser>
          <c:idx val="0"/>
          <c:order val="1"/>
          <c:tx>
            <c:v>Skutočnosť</c:v>
          </c:tx>
          <c:spPr>
            <a:solidFill>
              <a:srgbClr val="13B5EA"/>
            </a:solidFill>
            <a:ln>
              <a:noFill/>
            </a:ln>
            <a:effectLst/>
          </c:spPr>
          <c:cat>
            <c:numRef>
              <c:f>'G34'!$B$2:$Z$2</c:f>
              <c:numCache>
                <c:formatCode>@</c:formatCode>
                <c:ptCount val="2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</c:numCache>
            </c:numRef>
          </c:cat>
          <c:val>
            <c:numRef>
              <c:f>'G34'!$B$4:$V$4</c:f>
              <c:numCache>
                <c:formatCode>#\ ##0.0</c:formatCode>
                <c:ptCount val="21"/>
                <c:pt idx="0">
                  <c:v>21.7</c:v>
                </c:pt>
                <c:pt idx="1">
                  <c:v>30.5</c:v>
                </c:pt>
                <c:pt idx="2">
                  <c:v>33</c:v>
                </c:pt>
                <c:pt idx="3">
                  <c:v>33.9</c:v>
                </c:pt>
                <c:pt idx="4">
                  <c:v>47.1</c:v>
                </c:pt>
                <c:pt idx="5">
                  <c:v>49.6</c:v>
                </c:pt>
                <c:pt idx="6">
                  <c:v>48.3</c:v>
                </c:pt>
                <c:pt idx="7">
                  <c:v>42.9</c:v>
                </c:pt>
                <c:pt idx="8">
                  <c:v>41.6</c:v>
                </c:pt>
                <c:pt idx="9">
                  <c:v>40.6</c:v>
                </c:pt>
                <c:pt idx="10">
                  <c:v>34.1</c:v>
                </c:pt>
                <c:pt idx="11">
                  <c:v>31</c:v>
                </c:pt>
                <c:pt idx="12">
                  <c:v>30.1</c:v>
                </c:pt>
                <c:pt idx="13">
                  <c:v>28.5</c:v>
                </c:pt>
                <c:pt idx="14">
                  <c:v>36.299999999999997</c:v>
                </c:pt>
                <c:pt idx="15">
                  <c:v>41.2</c:v>
                </c:pt>
                <c:pt idx="16">
                  <c:v>43.7</c:v>
                </c:pt>
                <c:pt idx="17">
                  <c:v>52.2</c:v>
                </c:pt>
                <c:pt idx="18">
                  <c:v>54.7</c:v>
                </c:pt>
                <c:pt idx="19">
                  <c:v>53.6</c:v>
                </c:pt>
                <c:pt idx="20">
                  <c:v>52.5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CC3-45BF-B465-1C37004C63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10572224"/>
        <c:axId val="510573864"/>
      </c:areaChart>
      <c:catAx>
        <c:axId val="510572224"/>
        <c:scaling>
          <c:orientation val="minMax"/>
        </c:scaling>
        <c:delete val="0"/>
        <c:axPos val="b"/>
        <c:numFmt formatCode="@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510573864"/>
        <c:crosses val="autoZero"/>
        <c:auto val="1"/>
        <c:lblAlgn val="ctr"/>
        <c:lblOffset val="100"/>
        <c:noMultiLvlLbl val="0"/>
      </c:catAx>
      <c:valAx>
        <c:axId val="510573864"/>
        <c:scaling>
          <c:orientation val="minMax"/>
          <c:min val="2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#\ 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51057222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4879382614486619"/>
          <c:y val="4.2244823563721209E-2"/>
          <c:w val="0.45091967981614239"/>
          <c:h val="0.1707181393992417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onstantia" panose="02030602050306030303" pitchFamily="18" charset="0"/>
              <a:ea typeface="+mn-ea"/>
              <a:cs typeface="+mn-cs"/>
            </a:defRPr>
          </a:pPr>
          <a:endParaRPr lang="sk-SK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latin typeface="Constantia" panose="02030602050306030303" pitchFamily="18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9636920384951885E-2"/>
          <c:y val="5.0925925925925923E-2"/>
          <c:w val="0.86869641294838151"/>
          <c:h val="0.89814814814814814"/>
        </c:manualLayout>
      </c:layout>
      <c:barChart>
        <c:barDir val="col"/>
        <c:grouping val="clustered"/>
        <c:varyColors val="0"/>
        <c:ser>
          <c:idx val="2"/>
          <c:order val="2"/>
          <c:tx>
            <c:v>Dlh bez jednorazových vplyvov</c:v>
          </c:tx>
          <c:spPr>
            <a:solidFill>
              <a:srgbClr val="13B5EA"/>
            </a:solidFill>
            <a:ln>
              <a:noFill/>
            </a:ln>
            <a:effectLst/>
          </c:spPr>
          <c:invertIfNegative val="0"/>
          <c:cat>
            <c:strRef>
              <c:f>'G35'!$C$2:$J$2</c:f>
              <c:strCache>
                <c:ptCount val="8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 O</c:v>
                </c:pt>
                <c:pt idx="5">
                  <c:v>2017 O</c:v>
                </c:pt>
                <c:pt idx="6">
                  <c:v>2018 O</c:v>
                </c:pt>
                <c:pt idx="7">
                  <c:v>2019 O</c:v>
                </c:pt>
              </c:strCache>
            </c:strRef>
          </c:cat>
          <c:val>
            <c:numRef>
              <c:f>'G35'!$C$7:$J$7</c:f>
              <c:numCache>
                <c:formatCode>#\ ##0.0</c:formatCode>
                <c:ptCount val="8"/>
                <c:pt idx="0">
                  <c:v>6.5564618598651663</c:v>
                </c:pt>
                <c:pt idx="1">
                  <c:v>2.634601180830964</c:v>
                </c:pt>
                <c:pt idx="2">
                  <c:v>1.0879127370999129</c:v>
                </c:pt>
                <c:pt idx="3">
                  <c:v>1.4613585703731178</c:v>
                </c:pt>
                <c:pt idx="4">
                  <c:v>0.67992814364561738</c:v>
                </c:pt>
                <c:pt idx="5">
                  <c:v>-0.10244693865158228</c:v>
                </c:pt>
                <c:pt idx="6">
                  <c:v>-1.3286687204634913</c:v>
                </c:pt>
                <c:pt idx="7">
                  <c:v>-2.556762984386495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552-4CEB-A39D-15012B40A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9720072"/>
        <c:axId val="349718112"/>
      </c:barChart>
      <c:lineChart>
        <c:grouping val="standard"/>
        <c:varyColors val="0"/>
        <c:ser>
          <c:idx val="0"/>
          <c:order val="0"/>
          <c:tx>
            <c:v>Hrubý dlh</c:v>
          </c:tx>
          <c:spPr>
            <a:ln w="28575" cap="rnd">
              <a:solidFill>
                <a:srgbClr val="58595B"/>
              </a:solidFill>
              <a:round/>
            </a:ln>
            <a:effectLst/>
          </c:spPr>
          <c:marker>
            <c:symbol val="none"/>
          </c:marker>
          <c:cat>
            <c:strRef>
              <c:f>'G35'!$C$2:$J$2</c:f>
              <c:strCache>
                <c:ptCount val="8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 O</c:v>
                </c:pt>
                <c:pt idx="5">
                  <c:v>2017 O</c:v>
                </c:pt>
                <c:pt idx="6">
                  <c:v>2018 O</c:v>
                </c:pt>
                <c:pt idx="7">
                  <c:v>2019 O</c:v>
                </c:pt>
              </c:strCache>
            </c:strRef>
          </c:cat>
          <c:val>
            <c:numRef>
              <c:f>'G35'!$C$3:$J$3</c:f>
              <c:numCache>
                <c:formatCode>#\ ##0.0</c:formatCode>
                <c:ptCount val="8"/>
                <c:pt idx="0">
                  <c:v>8.4892228657084061</c:v>
                </c:pt>
                <c:pt idx="1">
                  <c:v>2.5742977531301463</c:v>
                </c:pt>
                <c:pt idx="2">
                  <c:v>-1.1158417658485007</c:v>
                </c:pt>
                <c:pt idx="3">
                  <c:v>-1.1444923379871881</c:v>
                </c:pt>
                <c:pt idx="4">
                  <c:v>0.98604885645402618</c:v>
                </c:pt>
                <c:pt idx="5">
                  <c:v>-0.68550022580844683</c:v>
                </c:pt>
                <c:pt idx="6">
                  <c:v>-1.1354234078142156</c:v>
                </c:pt>
                <c:pt idx="7">
                  <c:v>-2.3657551027668973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552-4CEB-A39D-15012B40AA5E}"/>
            </c:ext>
          </c:extLst>
        </c:ser>
        <c:ser>
          <c:idx val="1"/>
          <c:order val="1"/>
          <c:tx>
            <c:v>Čistý dlh</c:v>
          </c:tx>
          <c:spPr>
            <a:ln w="28575" cap="rnd">
              <a:solidFill>
                <a:srgbClr val="DCB47B"/>
              </a:solidFill>
              <a:round/>
            </a:ln>
            <a:effectLst/>
          </c:spPr>
          <c:marker>
            <c:symbol val="none"/>
          </c:marker>
          <c:cat>
            <c:strRef>
              <c:f>'G35'!$C$2:$J$2</c:f>
              <c:strCache>
                <c:ptCount val="8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 O</c:v>
                </c:pt>
                <c:pt idx="5">
                  <c:v>2017 O</c:v>
                </c:pt>
                <c:pt idx="6">
                  <c:v>2018 O</c:v>
                </c:pt>
                <c:pt idx="7">
                  <c:v>2019 O</c:v>
                </c:pt>
              </c:strCache>
            </c:strRef>
          </c:cat>
          <c:val>
            <c:numRef>
              <c:f>'G35'!$C$5:$J$5</c:f>
              <c:numCache>
                <c:formatCode>#\ ##0.0</c:formatCode>
                <c:ptCount val="8"/>
                <c:pt idx="0">
                  <c:v>5.7690812523290775</c:v>
                </c:pt>
                <c:pt idx="1">
                  <c:v>1.7658890350168264</c:v>
                </c:pt>
                <c:pt idx="2">
                  <c:v>0.75688439321527845</c:v>
                </c:pt>
                <c:pt idx="3">
                  <c:v>-0.93690451310085976</c:v>
                </c:pt>
                <c:pt idx="4">
                  <c:v>0.69021048236149518</c:v>
                </c:pt>
                <c:pt idx="5">
                  <c:v>-0.2382959530643749</c:v>
                </c:pt>
                <c:pt idx="6">
                  <c:v>-1.4598076216692224</c:v>
                </c:pt>
                <c:pt idx="7">
                  <c:v>-2.6862959239325122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552-4CEB-A39D-15012B40A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9720072"/>
        <c:axId val="349718112"/>
      </c:lineChart>
      <c:catAx>
        <c:axId val="3497200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349718112"/>
        <c:crosses val="autoZero"/>
        <c:auto val="1"/>
        <c:lblAlgn val="ctr"/>
        <c:lblOffset val="100"/>
        <c:noMultiLvlLbl val="0"/>
      </c:catAx>
      <c:valAx>
        <c:axId val="349718112"/>
        <c:scaling>
          <c:orientation val="minMax"/>
          <c:min val="-4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#\ 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3497200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36666666666666664"/>
          <c:y val="7.8990594925634289E-2"/>
          <c:w val="0.59722222222222221"/>
          <c:h val="0.2216484397783610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onstantia" panose="02030602050306030303" pitchFamily="18" charset="0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latin typeface="Constantia" panose="02030602050306030303" pitchFamily="18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636701662292212E-2"/>
          <c:y val="5.0925925925925923E-2"/>
          <c:w val="0.90825218722659662"/>
          <c:h val="0.884837416156313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'G36, G37'!$A$12</c:f>
              <c:strCache>
                <c:ptCount val="1"/>
                <c:pt idx="0">
                  <c:v>EK (jeseň 2016)</c:v>
                </c:pt>
              </c:strCache>
            </c:strRef>
          </c:tx>
          <c:spPr>
            <a:solidFill>
              <a:srgbClr val="58595B"/>
            </a:solidFill>
            <a:ln>
              <a:solidFill>
                <a:srgbClr val="58595B"/>
              </a:solidFill>
            </a:ln>
            <a:effectLst/>
          </c:spPr>
          <c:invertIfNegative val="0"/>
          <c:cat>
            <c:numRef>
              <c:f>'G36, G37'!$C$11:$G$11</c:f>
              <c:numCache>
                <c:formatCode>General</c:formatCode>
                <c:ptCount val="5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</c:numCache>
            </c:numRef>
          </c:cat>
          <c:val>
            <c:numRef>
              <c:f>'G36, G37'!$C$12:$G$12</c:f>
              <c:numCache>
                <c:formatCode>0.0</c:formatCode>
                <c:ptCount val="5"/>
                <c:pt idx="0">
                  <c:v>-2.2999999999999998</c:v>
                </c:pt>
                <c:pt idx="1">
                  <c:v>-2</c:v>
                </c:pt>
                <c:pt idx="2">
                  <c:v>-1.4</c:v>
                </c:pt>
                <c:pt idx="3">
                  <c:v>-0.7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1F-4936-A655-E1685C2B9C17}"/>
            </c:ext>
          </c:extLst>
        </c:ser>
        <c:ser>
          <c:idx val="5"/>
          <c:order val="1"/>
          <c:tx>
            <c:strRef>
              <c:f>'G36, G37'!$A$16</c:f>
              <c:strCache>
                <c:ptCount val="1"/>
                <c:pt idx="0">
                  <c:v>IMF (okt 2016)</c:v>
                </c:pt>
              </c:strCache>
            </c:strRef>
          </c:tx>
          <c:spPr>
            <a:solidFill>
              <a:srgbClr val="DCB47B"/>
            </a:solidFill>
            <a:ln>
              <a:solidFill>
                <a:srgbClr val="DCB47B"/>
              </a:solidFill>
            </a:ln>
            <a:effectLst/>
          </c:spPr>
          <c:invertIfNegative val="0"/>
          <c:cat>
            <c:numRef>
              <c:f>'G36, G37'!$C$11:$G$11</c:f>
              <c:numCache>
                <c:formatCode>General</c:formatCode>
                <c:ptCount val="5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</c:numCache>
            </c:numRef>
          </c:cat>
          <c:val>
            <c:numRef>
              <c:f>'G36, G37'!$C$16:$G$16</c:f>
              <c:numCache>
                <c:formatCode>0.0</c:formatCode>
                <c:ptCount val="5"/>
                <c:pt idx="0">
                  <c:v>-2.6070000000000002</c:v>
                </c:pt>
                <c:pt idx="1">
                  <c:v>-2.2759999999999998</c:v>
                </c:pt>
                <c:pt idx="2">
                  <c:v>-2.2570000000000001</c:v>
                </c:pt>
                <c:pt idx="3">
                  <c:v>-2.1349999999999998</c:v>
                </c:pt>
                <c:pt idx="4">
                  <c:v>-2.1459999999999999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1F-4936-A655-E1685C2B9C17}"/>
            </c:ext>
          </c:extLst>
        </c:ser>
        <c:ser>
          <c:idx val="4"/>
          <c:order val="2"/>
          <c:tx>
            <c:strRef>
              <c:f>'G36, G37'!$A$15</c:f>
              <c:strCache>
                <c:ptCount val="1"/>
                <c:pt idx="0">
                  <c:v>OECD (jún 2016)</c:v>
                </c:pt>
              </c:strCache>
            </c:strRef>
          </c:tx>
          <c:spPr>
            <a:solidFill>
              <a:srgbClr val="B2E4F8"/>
            </a:solidFill>
            <a:ln>
              <a:solidFill>
                <a:srgbClr val="B2E4F8"/>
              </a:solidFill>
            </a:ln>
            <a:effectLst/>
          </c:spPr>
          <c:invertIfNegative val="0"/>
          <c:cat>
            <c:numRef>
              <c:f>'G36, G37'!$C$11:$G$11</c:f>
              <c:numCache>
                <c:formatCode>General</c:formatCode>
                <c:ptCount val="5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</c:numCache>
            </c:numRef>
          </c:cat>
          <c:val>
            <c:numRef>
              <c:f>'G36, G37'!$C$15:$G$15</c:f>
              <c:numCache>
                <c:formatCode>0.0</c:formatCode>
                <c:ptCount val="5"/>
                <c:pt idx="0">
                  <c:v>-2.2090000000000001</c:v>
                </c:pt>
                <c:pt idx="1">
                  <c:v>-1.746</c:v>
                </c:pt>
                <c:pt idx="2">
                  <c:v>-1.2030000000000001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31F-4936-A655-E1685C2B9C17}"/>
            </c:ext>
          </c:extLst>
        </c:ser>
        <c:ser>
          <c:idx val="1"/>
          <c:order val="3"/>
          <c:tx>
            <c:strRef>
              <c:f>'G36, G37'!$A$13</c:f>
              <c:strCache>
                <c:ptCount val="1"/>
                <c:pt idx="0">
                  <c:v>MF SR(DBP)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bg1">
                  <a:lumMod val="50000"/>
                </a:schemeClr>
              </a:solidFill>
            </a:ln>
            <a:effectLst/>
          </c:spPr>
          <c:invertIfNegative val="0"/>
          <c:cat>
            <c:numRef>
              <c:f>'G36, G37'!$C$11:$G$11</c:f>
              <c:numCache>
                <c:formatCode>General</c:formatCode>
                <c:ptCount val="5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</c:numCache>
            </c:numRef>
          </c:cat>
          <c:val>
            <c:numRef>
              <c:f>'G36, G37'!$C$13:$G$13</c:f>
              <c:numCache>
                <c:formatCode>0.0</c:formatCode>
                <c:ptCount val="5"/>
                <c:pt idx="0">
                  <c:v>-1.8919034604769032</c:v>
                </c:pt>
                <c:pt idx="1">
                  <c:v>-1.7210802883302219</c:v>
                </c:pt>
                <c:pt idx="2">
                  <c:v>-0.95489722113730902</c:v>
                </c:pt>
                <c:pt idx="3">
                  <c:v>-0.36147986662393167</c:v>
                </c:pt>
                <c:pt idx="4">
                  <c:v>-0.205851192474369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31F-4936-A655-E1685C2B9C17}"/>
            </c:ext>
          </c:extLst>
        </c:ser>
        <c:ser>
          <c:idx val="3"/>
          <c:order val="4"/>
          <c:tx>
            <c:strRef>
              <c:f>'G36, G37'!$A$14</c:f>
              <c:strCache>
                <c:ptCount val="1"/>
                <c:pt idx="0">
                  <c:v>RRZ</c:v>
                </c:pt>
              </c:strCache>
            </c:strRef>
          </c:tx>
          <c:spPr>
            <a:solidFill>
              <a:srgbClr val="13B5EA"/>
            </a:solidFill>
            <a:ln>
              <a:solidFill>
                <a:srgbClr val="13B5EA"/>
              </a:solidFill>
            </a:ln>
            <a:effectLst/>
          </c:spPr>
          <c:invertIfNegative val="0"/>
          <c:cat>
            <c:numRef>
              <c:f>'G36, G37'!$C$11:$G$11</c:f>
              <c:numCache>
                <c:formatCode>General</c:formatCode>
                <c:ptCount val="5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</c:numCache>
            </c:numRef>
          </c:cat>
          <c:val>
            <c:numRef>
              <c:f>'G36, G37'!$C$14:$G$14</c:f>
              <c:numCache>
                <c:formatCode>0.0</c:formatCode>
                <c:ptCount val="5"/>
                <c:pt idx="0">
                  <c:v>-2.4077288162691266</c:v>
                </c:pt>
                <c:pt idx="1">
                  <c:v>-2.4235039790288901</c:v>
                </c:pt>
                <c:pt idx="2">
                  <c:v>-1.5448816326570884</c:v>
                </c:pt>
                <c:pt idx="3">
                  <c:v>-0.78048043808243095</c:v>
                </c:pt>
                <c:pt idx="4">
                  <c:v>-0.11667301183286857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31F-4936-A655-E1685C2B9C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82822136"/>
        <c:axId val="382822528"/>
      </c:barChart>
      <c:catAx>
        <c:axId val="3828221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high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382822528"/>
        <c:crosses val="autoZero"/>
        <c:auto val="1"/>
        <c:lblAlgn val="ctr"/>
        <c:lblOffset val="100"/>
        <c:noMultiLvlLbl val="0"/>
      </c:catAx>
      <c:valAx>
        <c:axId val="3828225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prstDash val="sysDot"/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3828221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58151546846117919"/>
          <c:y val="0.75714666478645809"/>
          <c:w val="0.36501744974185918"/>
          <c:h val="0.242634063644541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onstantia" panose="02030602050306030303" pitchFamily="18" charset="0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Constantia" panose="02030602050306030303" pitchFamily="18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350883771107566E-2"/>
          <c:y val="8.9536407215971642E-2"/>
          <c:w val="0.91864911622889245"/>
          <c:h val="0.883440115229921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'G36, G37'!$A$12</c:f>
              <c:strCache>
                <c:ptCount val="1"/>
                <c:pt idx="0">
                  <c:v>EK (jeseň 2016)</c:v>
                </c:pt>
              </c:strCache>
            </c:strRef>
          </c:tx>
          <c:spPr>
            <a:solidFill>
              <a:srgbClr val="58595B"/>
            </a:solidFill>
            <a:ln>
              <a:solidFill>
                <a:srgbClr val="58595B"/>
              </a:solidFill>
            </a:ln>
            <a:effectLst/>
          </c:spPr>
          <c:invertIfNegative val="0"/>
          <c:cat>
            <c:numRef>
              <c:f>'G36, G37'!$C$11:$G$11</c:f>
              <c:numCache>
                <c:formatCode>General</c:formatCode>
                <c:ptCount val="5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</c:numCache>
            </c:numRef>
          </c:cat>
          <c:val>
            <c:numRef>
              <c:f>'G36, G37'!$C$3:$G$3</c:f>
              <c:numCache>
                <c:formatCode>0.0</c:formatCode>
                <c:ptCount val="5"/>
                <c:pt idx="0">
                  <c:v>-2.7</c:v>
                </c:pt>
                <c:pt idx="1">
                  <c:v>-2.2000000000000002</c:v>
                </c:pt>
                <c:pt idx="2">
                  <c:v>-1.5</c:v>
                </c:pt>
                <c:pt idx="3">
                  <c:v>-0.5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1F-4936-A655-E1685C2B9C17}"/>
            </c:ext>
          </c:extLst>
        </c:ser>
        <c:ser>
          <c:idx val="5"/>
          <c:order val="1"/>
          <c:tx>
            <c:strRef>
              <c:f>'G36, G37'!$A$16</c:f>
              <c:strCache>
                <c:ptCount val="1"/>
                <c:pt idx="0">
                  <c:v>IMF (okt 2016)</c:v>
                </c:pt>
              </c:strCache>
            </c:strRef>
          </c:tx>
          <c:spPr>
            <a:solidFill>
              <a:srgbClr val="DCB47B"/>
            </a:solidFill>
            <a:ln>
              <a:solidFill>
                <a:srgbClr val="DCB47B"/>
              </a:solidFill>
            </a:ln>
            <a:effectLst/>
          </c:spPr>
          <c:invertIfNegative val="0"/>
          <c:cat>
            <c:numRef>
              <c:f>'G36, G37'!$C$11:$G$11</c:f>
              <c:numCache>
                <c:formatCode>General</c:formatCode>
                <c:ptCount val="5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</c:numCache>
            </c:numRef>
          </c:cat>
          <c:val>
            <c:numRef>
              <c:f>'G36, G37'!$C$7:$G$7</c:f>
              <c:numCache>
                <c:formatCode>0.0</c:formatCode>
                <c:ptCount val="5"/>
                <c:pt idx="0">
                  <c:v>-2.97</c:v>
                </c:pt>
                <c:pt idx="1">
                  <c:v>-2.3260000000000001</c:v>
                </c:pt>
                <c:pt idx="2">
                  <c:v>-2.2069999999999999</c:v>
                </c:pt>
                <c:pt idx="3">
                  <c:v>-1.9610000000000001</c:v>
                </c:pt>
                <c:pt idx="4">
                  <c:v>-1.9119999999999999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1F-4936-A655-E1685C2B9C17}"/>
            </c:ext>
          </c:extLst>
        </c:ser>
        <c:ser>
          <c:idx val="4"/>
          <c:order val="2"/>
          <c:tx>
            <c:strRef>
              <c:f>'G36, G37'!$A$15</c:f>
              <c:strCache>
                <c:ptCount val="1"/>
                <c:pt idx="0">
                  <c:v>OECD (jún 2016)</c:v>
                </c:pt>
              </c:strCache>
            </c:strRef>
          </c:tx>
          <c:spPr>
            <a:solidFill>
              <a:srgbClr val="B2E4F8"/>
            </a:solidFill>
            <a:ln>
              <a:solidFill>
                <a:srgbClr val="B2E4F8"/>
              </a:solidFill>
            </a:ln>
            <a:effectLst/>
          </c:spPr>
          <c:invertIfNegative val="0"/>
          <c:cat>
            <c:numRef>
              <c:f>'G36, G37'!$C$11:$G$11</c:f>
              <c:numCache>
                <c:formatCode>General</c:formatCode>
                <c:ptCount val="5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</c:numCache>
            </c:numRef>
          </c:cat>
          <c:val>
            <c:numRef>
              <c:f>'G36, G37'!$C$6:$G$6</c:f>
              <c:numCache>
                <c:formatCode>0.0</c:formatCode>
                <c:ptCount val="5"/>
                <c:pt idx="0">
                  <c:v>-2.9693939526414308</c:v>
                </c:pt>
                <c:pt idx="1">
                  <c:v>-2.3431433096745962</c:v>
                </c:pt>
                <c:pt idx="2">
                  <c:v>-1.6396175912840589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31F-4936-A655-E1685C2B9C17}"/>
            </c:ext>
          </c:extLst>
        </c:ser>
        <c:ser>
          <c:idx val="1"/>
          <c:order val="3"/>
          <c:tx>
            <c:strRef>
              <c:f>'G36, G37'!$A$4</c:f>
              <c:strCache>
                <c:ptCount val="1"/>
                <c:pt idx="0">
                  <c:v>MF SR(DBP)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bg1">
                  <a:lumMod val="50000"/>
                </a:schemeClr>
              </a:solidFill>
            </a:ln>
            <a:effectLst/>
          </c:spPr>
          <c:invertIfNegative val="0"/>
          <c:val>
            <c:numRef>
              <c:f>'G36, G37'!$C$4:$G$4</c:f>
              <c:numCache>
                <c:formatCode>0.0</c:formatCode>
                <c:ptCount val="5"/>
                <c:pt idx="0">
                  <c:v>-2.7</c:v>
                </c:pt>
                <c:pt idx="1">
                  <c:v>-1.970000324279477</c:v>
                </c:pt>
                <c:pt idx="2">
                  <c:v>-1.2900001435861632</c:v>
                </c:pt>
                <c:pt idx="3">
                  <c:v>-0.44000038092532345</c:v>
                </c:pt>
                <c:pt idx="4">
                  <c:v>0.15999958902343381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FA-4DE8-8FCE-ED599BC679D1}"/>
            </c:ext>
          </c:extLst>
        </c:ser>
        <c:ser>
          <c:idx val="3"/>
          <c:order val="4"/>
          <c:tx>
            <c:strRef>
              <c:f>'G36, G37'!$A$14</c:f>
              <c:strCache>
                <c:ptCount val="1"/>
                <c:pt idx="0">
                  <c:v>RRZ</c:v>
                </c:pt>
              </c:strCache>
            </c:strRef>
          </c:tx>
          <c:spPr>
            <a:solidFill>
              <a:srgbClr val="13B5EA"/>
            </a:solidFill>
            <a:ln>
              <a:solidFill>
                <a:srgbClr val="13B5EA"/>
              </a:solidFill>
            </a:ln>
            <a:effectLst/>
          </c:spPr>
          <c:invertIfNegative val="0"/>
          <c:cat>
            <c:numRef>
              <c:f>'G36, G37'!$C$11:$G$11</c:f>
              <c:numCache>
                <c:formatCode>General</c:formatCode>
                <c:ptCount val="5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</c:numCache>
            </c:numRef>
          </c:cat>
          <c:val>
            <c:numRef>
              <c:f>'G36, G37'!$C$5:$G$5</c:f>
              <c:numCache>
                <c:formatCode>0.0</c:formatCode>
                <c:ptCount val="5"/>
                <c:pt idx="0">
                  <c:v>-2.7073322035670961</c:v>
                </c:pt>
                <c:pt idx="1">
                  <c:v>-2.5472177835214533</c:v>
                </c:pt>
                <c:pt idx="2">
                  <c:v>-1.5545633992716255</c:v>
                </c:pt>
                <c:pt idx="3">
                  <c:v>-0.80175295330137464</c:v>
                </c:pt>
                <c:pt idx="4">
                  <c:v>4.0534908410381158E-3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31F-4936-A655-E1685C2B9C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82823312"/>
        <c:axId val="382823704"/>
      </c:barChart>
      <c:catAx>
        <c:axId val="3828233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high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382823704"/>
        <c:crosses val="autoZero"/>
        <c:auto val="1"/>
        <c:lblAlgn val="ctr"/>
        <c:lblOffset val="100"/>
        <c:noMultiLvlLbl val="0"/>
      </c:catAx>
      <c:valAx>
        <c:axId val="3828237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prstDash val="sysDot"/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3828233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59488221867003466"/>
          <c:y val="0.7522266136799115"/>
          <c:w val="0.3683592182556128"/>
          <c:h val="0.2423136792142174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onstantia" panose="02030602050306030303" pitchFamily="18" charset="0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Constantia" panose="02030602050306030303" pitchFamily="18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800983957722773E-2"/>
          <c:y val="5.6410256410256411E-2"/>
          <c:w val="0.90601108717912515"/>
          <c:h val="0.862178881485968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'G04'!$A$3</c:f>
              <c:strCache>
                <c:ptCount val="1"/>
                <c:pt idx="0">
                  <c:v>NRVS 2017-2019</c:v>
                </c:pt>
              </c:strCache>
            </c:strRef>
          </c:tx>
          <c:spPr>
            <a:solidFill>
              <a:srgbClr val="13B5EA"/>
            </a:solidFill>
            <a:ln>
              <a:solidFill>
                <a:srgbClr val="13B5EA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Constantia" panose="02030602050306030303" pitchFamily="18" charset="0"/>
                    <a:ea typeface="+mn-ea"/>
                    <a:cs typeface="+mn-cs"/>
                  </a:defRPr>
                </a:pPr>
                <a:endParaRPr lang="sk-SK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'G04'!$B$2:$E$2</c:f>
              <c:strCache>
                <c:ptCount val="4"/>
                <c:pt idx="0">
                  <c:v>2016O</c:v>
                </c:pt>
                <c:pt idx="1">
                  <c:v>2017N</c:v>
                </c:pt>
                <c:pt idx="2">
                  <c:v>2018N</c:v>
                </c:pt>
                <c:pt idx="3">
                  <c:v>2019N</c:v>
                </c:pt>
              </c:strCache>
            </c:strRef>
          </c:cat>
          <c:val>
            <c:numRef>
              <c:f>'G04'!$B$3:$E$3</c:f>
              <c:numCache>
                <c:formatCode>#\ ##0.0</c:formatCode>
                <c:ptCount val="4"/>
                <c:pt idx="0">
                  <c:v>53.494981921392004</c:v>
                </c:pt>
                <c:pt idx="1">
                  <c:v>52.723970708888849</c:v>
                </c:pt>
                <c:pt idx="2">
                  <c:v>51.402602458171899</c:v>
                </c:pt>
                <c:pt idx="3">
                  <c:v>49.061408450492536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237-414F-BA2D-01362FF6EC58}"/>
            </c:ext>
          </c:extLst>
        </c:ser>
        <c:ser>
          <c:idx val="1"/>
          <c:order val="1"/>
          <c:tx>
            <c:strRef>
              <c:f>'G04'!$A$4</c:f>
              <c:strCache>
                <c:ptCount val="1"/>
                <c:pt idx="0">
                  <c:v>revízia HDP</c:v>
                </c:pt>
              </c:strCache>
            </c:strRef>
          </c:tx>
          <c:spPr>
            <a:solidFill>
              <a:srgbClr val="DCB47B"/>
            </a:solidFill>
            <a:ln>
              <a:solidFill>
                <a:srgbClr val="DCB47B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Constantia" panose="02030602050306030303" pitchFamily="18" charset="0"/>
                    <a:ea typeface="+mn-ea"/>
                    <a:cs typeface="+mn-cs"/>
                  </a:defRPr>
                </a:pPr>
                <a:endParaRPr lang="sk-SK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'G04'!$B$2:$E$2</c:f>
              <c:strCache>
                <c:ptCount val="4"/>
                <c:pt idx="0">
                  <c:v>2016O</c:v>
                </c:pt>
                <c:pt idx="1">
                  <c:v>2017N</c:v>
                </c:pt>
                <c:pt idx="2">
                  <c:v>2018N</c:v>
                </c:pt>
                <c:pt idx="3">
                  <c:v>2019N</c:v>
                </c:pt>
              </c:strCache>
            </c:strRef>
          </c:cat>
          <c:val>
            <c:numRef>
              <c:f>'G04'!$B$4:$E$4</c:f>
              <c:numCache>
                <c:formatCode>#\ ##0.0</c:formatCode>
                <c:ptCount val="4"/>
                <c:pt idx="0">
                  <c:v>53.07701220088731</c:v>
                </c:pt>
                <c:pt idx="1">
                  <c:v>52.312025092504236</c:v>
                </c:pt>
                <c:pt idx="2">
                  <c:v>51.000981023581502</c:v>
                </c:pt>
                <c:pt idx="3">
                  <c:v>48.678079352302497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237-414F-BA2D-01362FF6EC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82803712"/>
        <c:axId val="382804104"/>
      </c:barChart>
      <c:catAx>
        <c:axId val="382803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382804104"/>
        <c:crosses val="autoZero"/>
        <c:auto val="1"/>
        <c:lblAlgn val="ctr"/>
        <c:lblOffset val="100"/>
        <c:noMultiLvlLbl val="0"/>
      </c:catAx>
      <c:valAx>
        <c:axId val="3828041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prstDash val="sysDot"/>
              <a:round/>
            </a:ln>
            <a:effectLst/>
          </c:spPr>
        </c:majorGridlines>
        <c:numFmt formatCode="#\ 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3828037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50207455009827806"/>
          <c:y val="7.7563496870583504E-2"/>
          <c:w val="0.46221837741134381"/>
          <c:h val="8.653906723198062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onstantia" panose="02030602050306030303" pitchFamily="18" charset="0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Constantia" panose="02030602050306030303" pitchFamily="18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297380796150484E-2"/>
          <c:y val="0.15505202626370732"/>
          <c:w val="0.94670261920384957"/>
          <c:h val="0.82124778092058881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'G38'!$A$5</c:f>
              <c:strCache>
                <c:ptCount val="1"/>
                <c:pt idx="0">
                  <c:v>cyklická zložka</c:v>
                </c:pt>
              </c:strCache>
            </c:strRef>
          </c:tx>
          <c:spPr>
            <a:solidFill>
              <a:srgbClr val="DCB47B"/>
            </a:solidFill>
            <a:ln>
              <a:solidFill>
                <a:srgbClr val="DCB47B"/>
              </a:solidFill>
            </a:ln>
            <a:effectLst/>
          </c:spPr>
          <c:invertIfNegative val="0"/>
          <c:cat>
            <c:strRef>
              <c:f>'G38'!$B$3:$V$3</c:f>
              <c:strCache>
                <c:ptCount val="21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2016O</c:v>
                </c:pt>
                <c:pt idx="18">
                  <c:v>2017N</c:v>
                </c:pt>
                <c:pt idx="19">
                  <c:v>2018N</c:v>
                </c:pt>
                <c:pt idx="20">
                  <c:v>2019N</c:v>
                </c:pt>
              </c:strCache>
            </c:strRef>
          </c:cat>
          <c:val>
            <c:numRef>
              <c:f>'G38'!$B$5:$V$5</c:f>
              <c:numCache>
                <c:formatCode>0.0_ ;\-0.0\ </c:formatCode>
                <c:ptCount val="21"/>
                <c:pt idx="0">
                  <c:v>0.27849133922890235</c:v>
                </c:pt>
                <c:pt idx="1">
                  <c:v>0.26668877483398712</c:v>
                </c:pt>
                <c:pt idx="2">
                  <c:v>0.49479407165076195</c:v>
                </c:pt>
                <c:pt idx="3">
                  <c:v>0.17863566892283411</c:v>
                </c:pt>
                <c:pt idx="4">
                  <c:v>0.37109461139269528</c:v>
                </c:pt>
                <c:pt idx="5">
                  <c:v>0.60328082154345075</c:v>
                </c:pt>
                <c:pt idx="6">
                  <c:v>6.8672567552393121E-2</c:v>
                </c:pt>
                <c:pt idx="7">
                  <c:v>-0.16914854310249594</c:v>
                </c:pt>
                <c:pt idx="8">
                  <c:v>-1.0281874183495707</c:v>
                </c:pt>
                <c:pt idx="9">
                  <c:v>-1.0751750028192928</c:v>
                </c:pt>
                <c:pt idx="10">
                  <c:v>-0.25680183043282095</c:v>
                </c:pt>
                <c:pt idx="11">
                  <c:v>-0.150720114249521</c:v>
                </c:pt>
                <c:pt idx="12">
                  <c:v>-0.14412414602986076</c:v>
                </c:pt>
                <c:pt idx="13">
                  <c:v>9.4523209888067727E-2</c:v>
                </c:pt>
                <c:pt idx="14">
                  <c:v>0.45105374668850723</c:v>
                </c:pt>
                <c:pt idx="15">
                  <c:v>0.31329393501641128</c:v>
                </c:pt>
                <c:pt idx="16">
                  <c:v>7.1366606200137489E-2</c:v>
                </c:pt>
                <c:pt idx="17">
                  <c:v>5.7457816654561081E-2</c:v>
                </c:pt>
                <c:pt idx="18">
                  <c:v>2.8444259591968619E-3</c:v>
                </c:pt>
                <c:pt idx="19">
                  <c:v>1.4785061908260927E-2</c:v>
                </c:pt>
                <c:pt idx="20">
                  <c:v>-0.12682192324560107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AB9-4219-9B1C-E90CBA173BCA}"/>
            </c:ext>
          </c:extLst>
        </c:ser>
        <c:ser>
          <c:idx val="2"/>
          <c:order val="2"/>
          <c:tx>
            <c:strRef>
              <c:f>'G38'!$A$6</c:f>
              <c:strCache>
                <c:ptCount val="1"/>
                <c:pt idx="0">
                  <c:v>jednorazové efekty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bg1">
                  <a:lumMod val="50000"/>
                </a:schemeClr>
              </a:solidFill>
            </a:ln>
            <a:effectLst/>
          </c:spPr>
          <c:invertIfNegative val="0"/>
          <c:cat>
            <c:strRef>
              <c:f>'G38'!$B$3:$V$3</c:f>
              <c:strCache>
                <c:ptCount val="21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2016O</c:v>
                </c:pt>
                <c:pt idx="18">
                  <c:v>2017N</c:v>
                </c:pt>
                <c:pt idx="19">
                  <c:v>2018N</c:v>
                </c:pt>
                <c:pt idx="20">
                  <c:v>2019N</c:v>
                </c:pt>
              </c:strCache>
            </c:strRef>
          </c:cat>
          <c:val>
            <c:numRef>
              <c:f>'G38'!$B$6:$V$6</c:f>
              <c:numCache>
                <c:formatCode>0.0_ ;\-0.0\ </c:formatCode>
                <c:ptCount val="21"/>
                <c:pt idx="0">
                  <c:v>-8.0125824937998386E-2</c:v>
                </c:pt>
                <c:pt idx="1">
                  <c:v>5.0452671250866263</c:v>
                </c:pt>
                <c:pt idx="2">
                  <c:v>-0.51720168111312548</c:v>
                </c:pt>
                <c:pt idx="3">
                  <c:v>2.4530866515300374</c:v>
                </c:pt>
                <c:pt idx="4">
                  <c:v>0.42209625570291009</c:v>
                </c:pt>
                <c:pt idx="5">
                  <c:v>-8.7567649642636372E-2</c:v>
                </c:pt>
                <c:pt idx="6">
                  <c:v>0.49111630022633551</c:v>
                </c:pt>
                <c:pt idx="7">
                  <c:v>0.405549957645293</c:v>
                </c:pt>
                <c:pt idx="8">
                  <c:v>-0.53055991963267291</c:v>
                </c:pt>
                <c:pt idx="9">
                  <c:v>0.4248454423478869</c:v>
                </c:pt>
                <c:pt idx="10">
                  <c:v>0.57660910679594546</c:v>
                </c:pt>
                <c:pt idx="11">
                  <c:v>0.41110660505820873</c:v>
                </c:pt>
                <c:pt idx="12">
                  <c:v>-0.98531855342185792</c:v>
                </c:pt>
                <c:pt idx="13">
                  <c:v>-0.40138882604838527</c:v>
                </c:pt>
                <c:pt idx="14">
                  <c:v>-0.21253029664211665</c:v>
                </c:pt>
                <c:pt idx="15">
                  <c:v>-0.12545310203603099</c:v>
                </c:pt>
                <c:pt idx="16">
                  <c:v>0.2282367810978321</c:v>
                </c:pt>
                <c:pt idx="17">
                  <c:v>6.6255987838002031E-2</c:v>
                </c:pt>
                <c:pt idx="18">
                  <c:v>6.8373406553401284E-3</c:v>
                </c:pt>
                <c:pt idx="19">
                  <c:v>6.4874533106828091E-3</c:v>
                </c:pt>
                <c:pt idx="20">
                  <c:v>6.0954205716943731E-3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AB9-4219-9B1C-E90CBA173B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82816648"/>
        <c:axId val="382817040"/>
      </c:barChart>
      <c:lineChart>
        <c:grouping val="stacked"/>
        <c:varyColors val="0"/>
        <c:ser>
          <c:idx val="0"/>
          <c:order val="0"/>
          <c:tx>
            <c:strRef>
              <c:f>'G38'!$A$4</c:f>
              <c:strCache>
                <c:ptCount val="1"/>
                <c:pt idx="0">
                  <c:v>saldo VS (pr.os)</c:v>
                </c:pt>
              </c:strCache>
            </c:strRef>
          </c:tx>
          <c:spPr>
            <a:ln w="2857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75000"/>
                </a:schemeClr>
              </a:solidFill>
              <a:ln w="9525">
                <a:solidFill>
                  <a:schemeClr val="bg1">
                    <a:lumMod val="85000"/>
                  </a:schemeClr>
                </a:solidFill>
              </a:ln>
              <a:effectLst/>
            </c:spPr>
          </c:marker>
          <c:dLbls>
            <c:dLbl>
              <c:idx val="1"/>
              <c:layout>
                <c:manualLayout>
                  <c:x val="-6.3858541119860016E-2"/>
                  <c:y val="1.94497532468635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D05-4AEE-AAD9-BACA0075AA2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>
                        <a:lumMod val="50000"/>
                      </a:schemeClr>
                    </a:solidFill>
                    <a:latin typeface="Constantia" panose="02030602050306030303" pitchFamily="18" charset="0"/>
                    <a:ea typeface="+mn-ea"/>
                    <a:cs typeface="+mn-cs"/>
                  </a:defRPr>
                </a:pPr>
                <a:endParaRPr lang="sk-SK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'G38'!$B$3:$V$3</c:f>
              <c:strCache>
                <c:ptCount val="21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2016O</c:v>
                </c:pt>
                <c:pt idx="18">
                  <c:v>2017N</c:v>
                </c:pt>
                <c:pt idx="19">
                  <c:v>2018N</c:v>
                </c:pt>
                <c:pt idx="20">
                  <c:v>2019N</c:v>
                </c:pt>
              </c:strCache>
            </c:strRef>
          </c:cat>
          <c:val>
            <c:numRef>
              <c:f>'G38'!$B$4:$V$4</c:f>
              <c:numCache>
                <c:formatCode>0.0_ ;\-0.0\ </c:formatCode>
                <c:ptCount val="21"/>
                <c:pt idx="0">
                  <c:v>-7.2762684078521485</c:v>
                </c:pt>
                <c:pt idx="1">
                  <c:v>-12.023555992949657</c:v>
                </c:pt>
                <c:pt idx="2">
                  <c:v>-6.4012287747809715</c:v>
                </c:pt>
                <c:pt idx="3">
                  <c:v>-8.088026223316648</c:v>
                </c:pt>
                <c:pt idx="4">
                  <c:v>-2.703100885656804</c:v>
                </c:pt>
                <c:pt idx="5">
                  <c:v>-2.3083847597149769</c:v>
                </c:pt>
                <c:pt idx="6">
                  <c:v>-2.8832631493342271</c:v>
                </c:pt>
                <c:pt idx="7">
                  <c:v>-3.5919726616991903</c:v>
                </c:pt>
                <c:pt idx="8">
                  <c:v>-1.9488088762154281</c:v>
                </c:pt>
                <c:pt idx="9">
                  <c:v>-2.4277429641007071</c:v>
                </c:pt>
                <c:pt idx="10">
                  <c:v>-7.8042144163590956</c:v>
                </c:pt>
                <c:pt idx="11">
                  <c:v>-7.4849098735818087</c:v>
                </c:pt>
                <c:pt idx="12">
                  <c:v>-4.2769641158080738</c:v>
                </c:pt>
                <c:pt idx="13">
                  <c:v>-4.3449077417180746</c:v>
                </c:pt>
                <c:pt idx="14">
                  <c:v>-2.7199713091159627</c:v>
                </c:pt>
                <c:pt idx="15" formatCode="0.00_ ;\-0.00\ ">
                  <c:v>-2.707304098680122</c:v>
                </c:pt>
                <c:pt idx="16" formatCode="0.00_ ;\-0.00\ ">
                  <c:v>-2.7073322035670961</c:v>
                </c:pt>
                <c:pt idx="17" formatCode="0.00_ ;\-0.00\ ">
                  <c:v>-2.5472177835214533</c:v>
                </c:pt>
                <c:pt idx="18" formatCode="0.00_ ;\-0.00\ ">
                  <c:v>-1.5545633992716255</c:v>
                </c:pt>
                <c:pt idx="19" formatCode="0.00_ ;\-0.00\ ">
                  <c:v>-0.81722062014439856</c:v>
                </c:pt>
                <c:pt idx="20" formatCode="0.00_ ;\-0.00\ ">
                  <c:v>-6.7935775571050178E-3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AB9-4219-9B1C-E90CBA173BCA}"/>
            </c:ext>
          </c:extLst>
        </c:ser>
        <c:ser>
          <c:idx val="3"/>
          <c:order val="3"/>
          <c:tx>
            <c:strRef>
              <c:f>'G38'!$A$7</c:f>
              <c:strCache>
                <c:ptCount val="1"/>
                <c:pt idx="0">
                  <c:v>štrukturálne saldo (pr.os)</c:v>
                </c:pt>
              </c:strCache>
            </c:strRef>
          </c:tx>
          <c:spPr>
            <a:ln w="28575" cap="rnd">
              <a:solidFill>
                <a:srgbClr val="13B5EA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13B5EA"/>
              </a:solidFill>
              <a:ln w="9525">
                <a:solidFill>
                  <a:srgbClr val="13B5EA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13B5EA"/>
                    </a:solidFill>
                    <a:latin typeface="Constantia" panose="02030602050306030303" pitchFamily="18" charset="0"/>
                    <a:ea typeface="+mn-ea"/>
                    <a:cs typeface="+mn-cs"/>
                  </a:defRPr>
                </a:pPr>
                <a:endParaRPr lang="sk-SK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'G38'!$B$7:$V$7</c:f>
              <c:numCache>
                <c:formatCode>0.0_ ;\-0.0\ </c:formatCode>
                <c:ptCount val="21"/>
                <c:pt idx="0">
                  <c:v>-7.0779028935612445</c:v>
                </c:pt>
                <c:pt idx="1">
                  <c:v>-6.7116000930290429</c:v>
                </c:pt>
                <c:pt idx="2">
                  <c:v>-6.4236363842433342</c:v>
                </c:pt>
                <c:pt idx="3">
                  <c:v>-5.4563039028637768</c:v>
                </c:pt>
                <c:pt idx="4">
                  <c:v>-1.9099100185611984</c:v>
                </c:pt>
                <c:pt idx="5">
                  <c:v>-1.7926715878141624</c:v>
                </c:pt>
                <c:pt idx="6">
                  <c:v>-2.3234742815554985</c:v>
                </c:pt>
                <c:pt idx="7">
                  <c:v>-3.355571247156393</c:v>
                </c:pt>
                <c:pt idx="8">
                  <c:v>-3.5075562141976717</c:v>
                </c:pt>
                <c:pt idx="9">
                  <c:v>-3.0780725245721134</c:v>
                </c:pt>
                <c:pt idx="10">
                  <c:v>-7.4844071399959713</c:v>
                </c:pt>
                <c:pt idx="11">
                  <c:v>-7.2245233827731203</c:v>
                </c:pt>
                <c:pt idx="12">
                  <c:v>-5.4064068152597926</c:v>
                </c:pt>
                <c:pt idx="13">
                  <c:v>-4.6517733578783922</c:v>
                </c:pt>
                <c:pt idx="14">
                  <c:v>-2.4814478590695721</c:v>
                </c:pt>
                <c:pt idx="15">
                  <c:v>-2.5194632656997418</c:v>
                </c:pt>
                <c:pt idx="16">
                  <c:v>-2.4077288162691266</c:v>
                </c:pt>
                <c:pt idx="17">
                  <c:v>-2.4235039790288901</c:v>
                </c:pt>
                <c:pt idx="18">
                  <c:v>-1.5448816326570884</c:v>
                </c:pt>
                <c:pt idx="19">
                  <c:v>-0.79594810492545487</c:v>
                </c:pt>
                <c:pt idx="20">
                  <c:v>-0.12752008023101172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AB9-4219-9B1C-E90CBA173B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2817824"/>
        <c:axId val="382817432"/>
      </c:lineChart>
      <c:catAx>
        <c:axId val="382816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high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382817040"/>
        <c:crosses val="autoZero"/>
        <c:auto val="1"/>
        <c:lblAlgn val="ctr"/>
        <c:lblOffset val="100"/>
        <c:noMultiLvlLbl val="0"/>
      </c:catAx>
      <c:valAx>
        <c:axId val="382817040"/>
        <c:scaling>
          <c:orientation val="minMax"/>
          <c:max val="6"/>
          <c:min val="-2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prstDash val="sysDot"/>
              <a:round/>
            </a:ln>
            <a:effectLst/>
          </c:spPr>
        </c:majorGridlines>
        <c:numFmt formatCode="0.0_ ;\-0.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382816648"/>
        <c:crosses val="autoZero"/>
        <c:crossBetween val="between"/>
      </c:valAx>
      <c:valAx>
        <c:axId val="382817432"/>
        <c:scaling>
          <c:orientation val="minMax"/>
          <c:max val="2"/>
          <c:min val="-22"/>
        </c:scaling>
        <c:delete val="0"/>
        <c:axPos val="r"/>
        <c:numFmt formatCode="0.0_ ;\-0.0\ 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382817824"/>
        <c:crosses val="max"/>
        <c:crossBetween val="between"/>
      </c:valAx>
      <c:catAx>
        <c:axId val="3828178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281743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5433029855643043"/>
          <c:y val="0.82200545320184493"/>
          <c:w val="0.25036718066491687"/>
          <c:h val="0.177994546798155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onstantia" panose="02030602050306030303" pitchFamily="18" charset="0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Constantia" panose="02030602050306030303" pitchFamily="18" charset="0"/>
        </a:defRPr>
      </a:pPr>
      <a:endParaRPr lang="sk-SK"/>
    </a:p>
  </c:txPr>
  <c:printSettings>
    <c:headerFooter/>
    <c:pageMargins b="0.75" l="0.7" r="0.7" t="0.75" header="0.3" footer="0.3"/>
    <c:pageSetup/>
  </c:printSettings>
  <c:userShapes r:id="rId3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302737625572274E-2"/>
          <c:y val="5.1014502068150558E-2"/>
          <c:w val="0.8892052318823972"/>
          <c:h val="0.85589151767961069"/>
        </c:manualLayout>
      </c:layout>
      <c:lineChart>
        <c:grouping val="standard"/>
        <c:varyColors val="0"/>
        <c:ser>
          <c:idx val="0"/>
          <c:order val="0"/>
          <c:tx>
            <c:v>Vplyv výdavkov na zmenu salda</c:v>
          </c:tx>
          <c:spPr>
            <a:ln w="28575" cap="rnd">
              <a:solidFill>
                <a:srgbClr val="13B5EA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5.4545467560359731E-2"/>
                  <c:y val="-5.47008645177315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D3C-4477-A46F-394B97EFAF7A}"/>
                </c:ext>
              </c:extLst>
            </c:dLbl>
            <c:dLbl>
              <c:idx val="1"/>
              <c:layout>
                <c:manualLayout>
                  <c:x val="-5.7575771313713033E-2"/>
                  <c:y val="-4.55840537647762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D3C-4477-A46F-394B97EFAF7A}"/>
                </c:ext>
              </c:extLst>
            </c:dLbl>
            <c:dLbl>
              <c:idx val="2"/>
              <c:layout>
                <c:manualLayout>
                  <c:x val="-3.6363645040239867E-2"/>
                  <c:y val="-3.64672430118209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D3C-4477-A46F-394B97EFAF7A}"/>
                </c:ext>
              </c:extLst>
            </c:dLbl>
            <c:dLbl>
              <c:idx val="3"/>
              <c:layout>
                <c:manualLayout>
                  <c:x val="-4.5454556300299709E-2"/>
                  <c:y val="-5.01424591412538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D3C-4477-A46F-394B97EFAF7A}"/>
                </c:ext>
              </c:extLst>
            </c:dLbl>
            <c:dLbl>
              <c:idx val="4"/>
              <c:layout>
                <c:manualLayout>
                  <c:x val="-3.0303037533533174E-2"/>
                  <c:y val="-2.27920268823881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D3C-4477-A46F-394B97EFAF7A}"/>
                </c:ext>
              </c:extLst>
            </c:dLbl>
            <c:dLbl>
              <c:idx val="5"/>
              <c:layout>
                <c:manualLayout>
                  <c:x val="-4.5454556300299764E-2"/>
                  <c:y val="-7.74928914001196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D3C-4477-A46F-394B97EFAF7A}"/>
                </c:ext>
              </c:extLst>
            </c:dLbl>
            <c:dLbl>
              <c:idx val="6"/>
              <c:layout>
                <c:manualLayout>
                  <c:x val="-3.33333412868866E-2"/>
                  <c:y val="-7.29344860236420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D3C-4477-A46F-394B97EFAF7A}"/>
                </c:ext>
              </c:extLst>
            </c:dLbl>
            <c:dLbl>
              <c:idx val="7"/>
              <c:layout>
                <c:manualLayout>
                  <c:x val="-3.6363645040239923E-2"/>
                  <c:y val="-6.38176752706867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D3C-4477-A46F-394B97EFAF7A}"/>
                </c:ext>
              </c:extLst>
            </c:dLbl>
            <c:dLbl>
              <c:idx val="8"/>
              <c:layout>
                <c:manualLayout>
                  <c:x val="-4.848486005365308E-2"/>
                  <c:y val="-6.38176752706867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D3C-4477-A46F-394B97EFAF7A}"/>
                </c:ext>
              </c:extLst>
            </c:dLbl>
            <c:dLbl>
              <c:idx val="9"/>
              <c:layout>
                <c:manualLayout>
                  <c:x val="-4.5454556300299764E-2"/>
                  <c:y val="-5.01424591412538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D3C-4477-A46F-394B97EFAF7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13B5EA"/>
                    </a:solidFill>
                    <a:latin typeface="Constantia" panose="02030602050306030303" pitchFamily="18" charset="0"/>
                    <a:ea typeface="+mn-ea"/>
                    <a:cs typeface="+mn-cs"/>
                  </a:defRPr>
                </a:pPr>
                <a:endParaRPr lang="sk-SK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'G39, G40'!$C$2:$L$2</c:f>
              <c:strCache>
                <c:ptCount val="10"/>
                <c:pt idx="0">
                  <c:v>2010 S</c:v>
                </c:pt>
                <c:pt idx="1">
                  <c:v>2011 S</c:v>
                </c:pt>
                <c:pt idx="2">
                  <c:v>2012 S</c:v>
                </c:pt>
                <c:pt idx="3">
                  <c:v>2013 S</c:v>
                </c:pt>
                <c:pt idx="4">
                  <c:v>2014 S</c:v>
                </c:pt>
                <c:pt idx="5">
                  <c:v>2015 S</c:v>
                </c:pt>
                <c:pt idx="6">
                  <c:v>2016 O</c:v>
                </c:pt>
                <c:pt idx="7">
                  <c:v>2017 O</c:v>
                </c:pt>
                <c:pt idx="8">
                  <c:v>2018 O</c:v>
                </c:pt>
                <c:pt idx="9">
                  <c:v>2019 O</c:v>
                </c:pt>
              </c:strCache>
            </c:strRef>
          </c:cat>
          <c:val>
            <c:numRef>
              <c:f>'G39, G40'!$C$10:$L$10</c:f>
              <c:numCache>
                <c:formatCode>#\ ##0.0</c:formatCode>
                <c:ptCount val="10"/>
                <c:pt idx="0">
                  <c:v>2.0226836130729384</c:v>
                </c:pt>
                <c:pt idx="1">
                  <c:v>3.3170076839920286</c:v>
                </c:pt>
                <c:pt idx="2">
                  <c:v>3.5315724696858601</c:v>
                </c:pt>
                <c:pt idx="3">
                  <c:v>2.891366959755679</c:v>
                </c:pt>
                <c:pt idx="4">
                  <c:v>2.2083009990790408</c:v>
                </c:pt>
                <c:pt idx="5">
                  <c:v>0.63164012808321379</c:v>
                </c:pt>
                <c:pt idx="6">
                  <c:v>1.5058486194768712</c:v>
                </c:pt>
                <c:pt idx="7">
                  <c:v>2.5044862508816599</c:v>
                </c:pt>
                <c:pt idx="8">
                  <c:v>3.6383396344761065</c:v>
                </c:pt>
                <c:pt idx="9">
                  <c:v>5.0482271257390003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D3C-4477-A46F-394B97EFAF7A}"/>
            </c:ext>
          </c:extLst>
        </c:ser>
        <c:ser>
          <c:idx val="1"/>
          <c:order val="1"/>
          <c:tx>
            <c:v>Vplyv príjmov na zmenu salda</c:v>
          </c:tx>
          <c:spPr>
            <a:ln w="28575" cap="rnd">
              <a:solidFill>
                <a:srgbClr val="58595B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4.5454556300299764E-2"/>
                  <c:y val="-9.11681075295523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D3C-4477-A46F-394B97EFAF7A}"/>
                </c:ext>
              </c:extLst>
            </c:dLbl>
            <c:dLbl>
              <c:idx val="1"/>
              <c:layout>
                <c:manualLayout>
                  <c:x val="-4.5454556300299764E-2"/>
                  <c:y val="-5.47008645177314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D3C-4477-A46F-394B97EFAF7A}"/>
                </c:ext>
              </c:extLst>
            </c:dLbl>
            <c:dLbl>
              <c:idx val="2"/>
              <c:layout>
                <c:manualLayout>
                  <c:x val="-4.5454556300299764E-2"/>
                  <c:y val="-6.83760806471642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D3C-4477-A46F-394B97EFAF7A}"/>
                </c:ext>
              </c:extLst>
            </c:dLbl>
            <c:dLbl>
              <c:idx val="3"/>
              <c:layout>
                <c:manualLayout>
                  <c:x val="-5.4545467560359773E-2"/>
                  <c:y val="-4.10256483882986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D3C-4477-A46F-394B97EFAF7A}"/>
                </c:ext>
              </c:extLst>
            </c:dLbl>
            <c:dLbl>
              <c:idx val="4"/>
              <c:layout>
                <c:manualLayout>
                  <c:x val="-3.9393948793593071E-2"/>
                  <c:y val="-6.83760806471643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D3C-4477-A46F-394B97EFAF7A}"/>
                </c:ext>
              </c:extLst>
            </c:dLbl>
            <c:dLbl>
              <c:idx val="5"/>
              <c:layout>
                <c:manualLayout>
                  <c:x val="-5.1515163807006395E-2"/>
                  <c:y val="-4.10256483882986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D3C-4477-A46F-394B97EFAF7A}"/>
                </c:ext>
              </c:extLst>
            </c:dLbl>
            <c:dLbl>
              <c:idx val="6"/>
              <c:layout>
                <c:manualLayout>
                  <c:x val="-3.6363645040239923E-2"/>
                  <c:y val="-5.47008645177314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D3C-4477-A46F-394B97EFAF7A}"/>
                </c:ext>
              </c:extLst>
            </c:dLbl>
            <c:dLbl>
              <c:idx val="7"/>
              <c:layout>
                <c:manualLayout>
                  <c:x val="-3.33333412868866E-2"/>
                  <c:y val="-4.55840537647762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D3C-4477-A46F-394B97EFAF7A}"/>
                </c:ext>
              </c:extLst>
            </c:dLbl>
            <c:dLbl>
              <c:idx val="8"/>
              <c:layout>
                <c:manualLayout>
                  <c:x val="0"/>
                  <c:y val="-2.7350432258865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D3C-4477-A46F-394B97EFAF7A}"/>
                </c:ext>
              </c:extLst>
            </c:dLbl>
            <c:dLbl>
              <c:idx val="9"/>
              <c:layout>
                <c:manualLayout>
                  <c:x val="-2.727273378017997E-2"/>
                  <c:y val="-4.55840537647762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D3C-4477-A46F-394B97EFAF7A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58595B"/>
                    </a:solidFill>
                    <a:latin typeface="Constantia" panose="02030602050306030303" pitchFamily="18" charset="0"/>
                    <a:ea typeface="+mn-ea"/>
                    <a:cs typeface="+mn-cs"/>
                  </a:defRPr>
                </a:pPr>
                <a:endParaRPr lang="sk-SK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'G39, G40'!$C$2:$L$2</c:f>
              <c:strCache>
                <c:ptCount val="10"/>
                <c:pt idx="0">
                  <c:v>2010 S</c:v>
                </c:pt>
                <c:pt idx="1">
                  <c:v>2011 S</c:v>
                </c:pt>
                <c:pt idx="2">
                  <c:v>2012 S</c:v>
                </c:pt>
                <c:pt idx="3">
                  <c:v>2013 S</c:v>
                </c:pt>
                <c:pt idx="4">
                  <c:v>2014 S</c:v>
                </c:pt>
                <c:pt idx="5">
                  <c:v>2015 S</c:v>
                </c:pt>
                <c:pt idx="6">
                  <c:v>2016 O</c:v>
                </c:pt>
                <c:pt idx="7">
                  <c:v>2017 O</c:v>
                </c:pt>
                <c:pt idx="8">
                  <c:v>2018 O</c:v>
                </c:pt>
                <c:pt idx="9">
                  <c:v>2019 O</c:v>
                </c:pt>
              </c:strCache>
            </c:strRef>
          </c:cat>
          <c:val>
            <c:numRef>
              <c:f>'G39, G40'!$C$9:$L$9</c:f>
              <c:numCache>
                <c:formatCode>#\ ##0.0</c:formatCode>
                <c:ptCount val="10"/>
                <c:pt idx="0">
                  <c:v>-1.7034003623572787</c:v>
                </c:pt>
                <c:pt idx="1">
                  <c:v>0.21024442597120441</c:v>
                </c:pt>
                <c:pt idx="2">
                  <c:v>-7.2256096854509622E-2</c:v>
                </c:pt>
                <c:pt idx="3">
                  <c:v>2.1928490348638476</c:v>
                </c:pt>
                <c:pt idx="4">
                  <c:v>2.8885773175565674</c:v>
                </c:pt>
                <c:pt idx="5">
                  <c:v>4.4651975851277754</c:v>
                </c:pt>
                <c:pt idx="6">
                  <c:v>3.7659381770849691</c:v>
                </c:pt>
                <c:pt idx="7">
                  <c:v>3.7309782939517433</c:v>
                </c:pt>
                <c:pt idx="8">
                  <c:v>3.3641110075976215</c:v>
                </c:pt>
                <c:pt idx="9">
                  <c:v>2.760040496349049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6D3C-4477-A46F-394B97EFAF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8141608"/>
        <c:axId val="408145872"/>
      </c:lineChart>
      <c:catAx>
        <c:axId val="4081416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408145872"/>
        <c:crosses val="autoZero"/>
        <c:auto val="1"/>
        <c:lblAlgn val="ctr"/>
        <c:lblOffset val="100"/>
        <c:noMultiLvlLbl val="0"/>
      </c:catAx>
      <c:valAx>
        <c:axId val="4081458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#\ 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4081416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768829341166629"/>
          <c:y val="0.70119114362853374"/>
          <c:w val="0.60842128571254717"/>
          <c:h val="0.1785462778645988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onstantia" panose="02030602050306030303" pitchFamily="18" charset="0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latin typeface="Constantia" panose="02030602050306030303" pitchFamily="18" charset="0"/>
        </a:defRPr>
      </a:pPr>
      <a:endParaRPr lang="sk-SK"/>
    </a:p>
  </c:txPr>
  <c:printSettings>
    <c:headerFooter/>
    <c:pageMargins b="0.75" l="0.7" r="0.7" t="0.75" header="0.3" footer="0.3"/>
    <c:pageSetup/>
  </c:printSettings>
  <c:userShapes r:id="rId3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302737625572274E-2"/>
          <c:y val="5.1014502068150558E-2"/>
          <c:w val="0.8892052318823972"/>
          <c:h val="0.85125383567341517"/>
        </c:manualLayout>
      </c:layout>
      <c:barChart>
        <c:barDir val="col"/>
        <c:grouping val="stacked"/>
        <c:varyColors val="0"/>
        <c:ser>
          <c:idx val="0"/>
          <c:order val="0"/>
          <c:tx>
            <c:v>Vplyv výdavkov na zmenu salda</c:v>
          </c:tx>
          <c:spPr>
            <a:solidFill>
              <a:schemeClr val="accent1"/>
            </a:solidFill>
            <a:ln>
              <a:solidFill>
                <a:srgbClr val="13B5EA"/>
              </a:solidFill>
            </a:ln>
            <a:effectLst/>
          </c:spPr>
          <c:invertIfNegative val="0"/>
          <c:cat>
            <c:strRef>
              <c:f>'G39, G40'!$C$2:$L$2</c:f>
              <c:strCache>
                <c:ptCount val="10"/>
                <c:pt idx="0">
                  <c:v>2010 S</c:v>
                </c:pt>
                <c:pt idx="1">
                  <c:v>2011 S</c:v>
                </c:pt>
                <c:pt idx="2">
                  <c:v>2012 S</c:v>
                </c:pt>
                <c:pt idx="3">
                  <c:v>2013 S</c:v>
                </c:pt>
                <c:pt idx="4">
                  <c:v>2014 S</c:v>
                </c:pt>
                <c:pt idx="5">
                  <c:v>2015 S</c:v>
                </c:pt>
                <c:pt idx="6">
                  <c:v>2016 O</c:v>
                </c:pt>
                <c:pt idx="7">
                  <c:v>2017 O</c:v>
                </c:pt>
                <c:pt idx="8">
                  <c:v>2018 O</c:v>
                </c:pt>
                <c:pt idx="9">
                  <c:v>2019 O</c:v>
                </c:pt>
              </c:strCache>
            </c:strRef>
          </c:cat>
          <c:val>
            <c:numRef>
              <c:f>'G39, G40'!$C$5:$L$5</c:f>
              <c:numCache>
                <c:formatCode>#\ ##0.0</c:formatCode>
                <c:ptCount val="10"/>
                <c:pt idx="0">
                  <c:v>2.0226836130729384</c:v>
                </c:pt>
                <c:pt idx="1">
                  <c:v>1.2943240709190902</c:v>
                </c:pt>
                <c:pt idx="2">
                  <c:v>0.21456478569383153</c:v>
                </c:pt>
                <c:pt idx="3">
                  <c:v>-0.6402055099301811</c:v>
                </c:pt>
                <c:pt idx="4">
                  <c:v>-0.68306596067663827</c:v>
                </c:pt>
                <c:pt idx="5">
                  <c:v>-1.576660870995827</c:v>
                </c:pt>
                <c:pt idx="6">
                  <c:v>0.87420849139365742</c:v>
                </c:pt>
                <c:pt idx="7">
                  <c:v>0.99863763140478867</c:v>
                </c:pt>
                <c:pt idx="8">
                  <c:v>1.1338533835944464</c:v>
                </c:pt>
                <c:pt idx="9">
                  <c:v>1.4098874912628934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0B-47FA-9987-808FC9BC7733}"/>
            </c:ext>
          </c:extLst>
        </c:ser>
        <c:ser>
          <c:idx val="1"/>
          <c:order val="1"/>
          <c:tx>
            <c:v>Vplyv príjmov na zmenu salda</c:v>
          </c:tx>
          <c:spPr>
            <a:solidFill>
              <a:srgbClr val="58595B"/>
            </a:solidFill>
            <a:ln>
              <a:noFill/>
            </a:ln>
            <a:effectLst/>
          </c:spPr>
          <c:invertIfNegative val="0"/>
          <c:cat>
            <c:strRef>
              <c:f>'G39, G40'!$C$2:$L$2</c:f>
              <c:strCache>
                <c:ptCount val="10"/>
                <c:pt idx="0">
                  <c:v>2010 S</c:v>
                </c:pt>
                <c:pt idx="1">
                  <c:v>2011 S</c:v>
                </c:pt>
                <c:pt idx="2">
                  <c:v>2012 S</c:v>
                </c:pt>
                <c:pt idx="3">
                  <c:v>2013 S</c:v>
                </c:pt>
                <c:pt idx="4">
                  <c:v>2014 S</c:v>
                </c:pt>
                <c:pt idx="5">
                  <c:v>2015 S</c:v>
                </c:pt>
                <c:pt idx="6">
                  <c:v>2016 O</c:v>
                </c:pt>
                <c:pt idx="7">
                  <c:v>2017 O</c:v>
                </c:pt>
                <c:pt idx="8">
                  <c:v>2018 O</c:v>
                </c:pt>
                <c:pt idx="9">
                  <c:v>2019 O</c:v>
                </c:pt>
              </c:strCache>
            </c:strRef>
          </c:cat>
          <c:val>
            <c:numRef>
              <c:f>'G39, G40'!$C$4:$L$4</c:f>
              <c:numCache>
                <c:formatCode>#\ ##0.0</c:formatCode>
                <c:ptCount val="10"/>
                <c:pt idx="0">
                  <c:v>-1.7034003623572787</c:v>
                </c:pt>
                <c:pt idx="1">
                  <c:v>1.9136447883284831</c:v>
                </c:pt>
                <c:pt idx="2">
                  <c:v>-0.28250052282571403</c:v>
                </c:pt>
                <c:pt idx="3">
                  <c:v>2.2651051317183573</c:v>
                </c:pt>
                <c:pt idx="4">
                  <c:v>0.6957282826927198</c:v>
                </c:pt>
                <c:pt idx="5">
                  <c:v>1.576620267571208</c:v>
                </c:pt>
                <c:pt idx="6">
                  <c:v>-0.69925940804280629</c:v>
                </c:pt>
                <c:pt idx="7">
                  <c:v>-3.4959883133225844E-2</c:v>
                </c:pt>
                <c:pt idx="8">
                  <c:v>-0.3668672863541218</c:v>
                </c:pt>
                <c:pt idx="9">
                  <c:v>-0.60407051124857247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30B-47FA-9987-808FC9BC77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08141608"/>
        <c:axId val="408145872"/>
      </c:barChart>
      <c:lineChart>
        <c:grouping val="standard"/>
        <c:varyColors val="0"/>
        <c:ser>
          <c:idx val="2"/>
          <c:order val="2"/>
          <c:tx>
            <c:v>Skutočná zmena salda</c:v>
          </c:tx>
          <c:spPr>
            <a:ln w="28575" cap="rnd">
              <a:solidFill>
                <a:srgbClr val="C0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C00000"/>
              </a:solidFill>
              <a:ln w="9525">
                <a:noFill/>
              </a:ln>
              <a:effectLst/>
            </c:spPr>
          </c:marker>
          <c:dLbls>
            <c:dLbl>
              <c:idx val="1"/>
              <c:layout>
                <c:manualLayout>
                  <c:x val="-4.435204435204438E-2"/>
                  <c:y val="-4.17391380557595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30B-47FA-9987-808FC9BC7733}"/>
                </c:ext>
              </c:extLst>
            </c:dLbl>
            <c:dLbl>
              <c:idx val="2"/>
              <c:layout>
                <c:manualLayout>
                  <c:x val="-4.9896049896049899E-2"/>
                  <c:y val="6.95652300929324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30B-47FA-9987-808FC9BC7733}"/>
                </c:ext>
              </c:extLst>
            </c:dLbl>
            <c:dLbl>
              <c:idx val="3"/>
              <c:layout>
                <c:manualLayout>
                  <c:x val="-3.6036036036036036E-2"/>
                  <c:y val="-4.6376820061955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30B-47FA-9987-808FC9BC7733}"/>
                </c:ext>
              </c:extLst>
            </c:dLbl>
            <c:dLbl>
              <c:idx val="4"/>
              <c:layout>
                <c:manualLayout>
                  <c:x val="-3.8808038808038861E-2"/>
                  <c:y val="4.1739138055759545E-2"/>
                </c:manualLayout>
              </c:layout>
              <c:numFmt formatCode="#,##0.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C00000"/>
                      </a:solidFill>
                      <a:latin typeface="Constantia" panose="02030602050306030303" pitchFamily="18" charset="0"/>
                      <a:ea typeface="+mn-ea"/>
                      <a:cs typeface="+mn-cs"/>
                    </a:defRPr>
                  </a:pPr>
                  <a:endParaRPr lang="sk-SK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257114170499997E-2"/>
                      <c:h val="6.9495847448745401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430B-47FA-9987-808FC9BC7733}"/>
                </c:ext>
              </c:extLst>
            </c:dLbl>
            <c:dLbl>
              <c:idx val="5"/>
              <c:layout>
                <c:manualLayout>
                  <c:x val="-3.3264033264033363E-2"/>
                  <c:y val="4.17391380557595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30B-47FA-9987-808FC9BC7733}"/>
                </c:ext>
              </c:extLst>
            </c:dLbl>
            <c:dLbl>
              <c:idx val="6"/>
              <c:layout>
                <c:manualLayout>
                  <c:x val="-4.1580041580041582E-2"/>
                  <c:y val="-4.63768200619550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30B-47FA-9987-808FC9BC7733}"/>
                </c:ext>
              </c:extLst>
            </c:dLbl>
            <c:dLbl>
              <c:idx val="7"/>
              <c:layout>
                <c:manualLayout>
                  <c:x val="-4.4352044352044352E-2"/>
                  <c:y val="-4.17391380557595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30B-47FA-9987-808FC9BC7733}"/>
                </c:ext>
              </c:extLst>
            </c:dLbl>
            <c:dLbl>
              <c:idx val="8"/>
              <c:layout>
                <c:manualLayout>
                  <c:x val="-4.4352044352044248E-2"/>
                  <c:y val="-4.17391380557595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30B-47FA-9987-808FC9BC7733}"/>
                </c:ext>
              </c:extLst>
            </c:dLbl>
            <c:dLbl>
              <c:idx val="9"/>
              <c:layout>
                <c:manualLayout>
                  <c:x val="-4.1580041580041478E-2"/>
                  <c:y val="-4.17391380557596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30B-47FA-9987-808FC9BC773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C00000"/>
                    </a:solidFill>
                    <a:latin typeface="Constantia" panose="02030602050306030303" pitchFamily="18" charset="0"/>
                    <a:ea typeface="+mn-ea"/>
                    <a:cs typeface="+mn-cs"/>
                  </a:defRPr>
                </a:pPr>
                <a:endParaRPr lang="sk-SK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0"/>
              <c:pt idx="0">
                <c:v>2010 S</c:v>
              </c:pt>
              <c:pt idx="1">
                <c:v>2011 S</c:v>
              </c:pt>
              <c:pt idx="2">
                <c:v>2012 S</c:v>
              </c:pt>
              <c:pt idx="3">
                <c:v>2013 S</c:v>
              </c:pt>
              <c:pt idx="4">
                <c:v>2014 S</c:v>
              </c:pt>
              <c:pt idx="5">
                <c:v>2015 S</c:v>
              </c:pt>
              <c:pt idx="6">
                <c:v>2016 O</c:v>
              </c:pt>
              <c:pt idx="7">
                <c:v>2017 O</c:v>
              </c:pt>
              <c:pt idx="8">
                <c:v>2018 O</c:v>
              </c:pt>
              <c:pt idx="9">
                <c:v>2019 O</c:v>
              </c:pt>
            </c:strLit>
          </c:cat>
          <c:val>
            <c:numRef>
              <c:f>'G39, G40'!$C$6:$L$6</c:f>
              <c:numCache>
                <c:formatCode>#\ ##0.0</c:formatCode>
                <c:ptCount val="10"/>
                <c:pt idx="0">
                  <c:v>0.31928325071565977</c:v>
                </c:pt>
                <c:pt idx="1">
                  <c:v>3.2079688592475732</c:v>
                </c:pt>
                <c:pt idx="2">
                  <c:v>-6.7935737131882501E-2</c:v>
                </c:pt>
                <c:pt idx="3">
                  <c:v>1.6248996217881762</c:v>
                </c:pt>
                <c:pt idx="4">
                  <c:v>1.2662322016081529E-2</c:v>
                </c:pt>
                <c:pt idx="5">
                  <c:v>-4.0603424618979034E-5</c:v>
                </c:pt>
                <c:pt idx="6">
                  <c:v>0.17494908335085113</c:v>
                </c:pt>
                <c:pt idx="7">
                  <c:v>0.96367774827156283</c:v>
                </c:pt>
                <c:pt idx="8">
                  <c:v>0.76698609724032463</c:v>
                </c:pt>
                <c:pt idx="9">
                  <c:v>0.80581698001432089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430B-47FA-9987-808FC9BC77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8141608"/>
        <c:axId val="408145872"/>
      </c:lineChart>
      <c:catAx>
        <c:axId val="4081416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408145872"/>
        <c:crosses val="autoZero"/>
        <c:auto val="1"/>
        <c:lblAlgn val="ctr"/>
        <c:lblOffset val="100"/>
        <c:noMultiLvlLbl val="0"/>
      </c:catAx>
      <c:valAx>
        <c:axId val="4081458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#\ 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4081416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157998701305789E-2"/>
          <c:y val="2.202825918580566E-2"/>
          <c:w val="0.8999998908660326"/>
          <c:h val="7.826143161226642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onstantia" panose="02030602050306030303" pitchFamily="18" charset="0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latin typeface="Constantia" panose="02030602050306030303" pitchFamily="18" charset="0"/>
        </a:defRPr>
      </a:pPr>
      <a:endParaRPr lang="sk-SK"/>
    </a:p>
  </c:txPr>
  <c:printSettings>
    <c:headerFooter/>
    <c:pageMargins b="0.75" l="0.7" r="0.7" t="0.75" header="0.3" footer="0.3"/>
    <c:pageSetup/>
  </c:printSettings>
  <c:userShapes r:id="rId3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2948435222889139E-2"/>
          <c:y val="5.0925925925925923E-2"/>
          <c:w val="0.8864959811629709"/>
          <c:h val="0.70356622128875024"/>
        </c:manualLayout>
      </c:layout>
      <c:barChart>
        <c:barDir val="col"/>
        <c:grouping val="clustered"/>
        <c:varyColors val="0"/>
        <c:ser>
          <c:idx val="0"/>
          <c:order val="0"/>
          <c:tx>
            <c:v>Celkové príjmy rozpočtu</c:v>
          </c:tx>
          <c:spPr>
            <a:solidFill>
              <a:schemeClr val="accent1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Constantia" panose="02030602050306030303" pitchFamily="18" charset="0"/>
                    <a:ea typeface="+mn-ea"/>
                    <a:cs typeface="+mn-cs"/>
                  </a:defRPr>
                </a:pPr>
                <a:endParaRPr lang="sk-SK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'G42'!$B$2:$L$2</c:f>
              <c:strCache>
                <c:ptCount val="11"/>
                <c:pt idx="0">
                  <c:v>2009 S</c:v>
                </c:pt>
                <c:pt idx="1">
                  <c:v>2010 S</c:v>
                </c:pt>
                <c:pt idx="2">
                  <c:v>2011 S</c:v>
                </c:pt>
                <c:pt idx="3">
                  <c:v>2012 S</c:v>
                </c:pt>
                <c:pt idx="4">
                  <c:v>2013 S</c:v>
                </c:pt>
                <c:pt idx="5">
                  <c:v>2014 S</c:v>
                </c:pt>
                <c:pt idx="6">
                  <c:v>2015 S</c:v>
                </c:pt>
                <c:pt idx="7">
                  <c:v>2016 O</c:v>
                </c:pt>
                <c:pt idx="8">
                  <c:v>2017 O</c:v>
                </c:pt>
                <c:pt idx="9">
                  <c:v>2018 O</c:v>
                </c:pt>
                <c:pt idx="10">
                  <c:v>2019 O</c:v>
                </c:pt>
              </c:strCache>
            </c:strRef>
          </c:cat>
          <c:val>
            <c:numRef>
              <c:f>'G42'!$B$3:$L$3</c:f>
              <c:numCache>
                <c:formatCode>0.0</c:formatCode>
                <c:ptCount val="11"/>
                <c:pt idx="0">
                  <c:v>36.280127016654923</c:v>
                </c:pt>
                <c:pt idx="1">
                  <c:v>34.66007372298094</c:v>
                </c:pt>
                <c:pt idx="2">
                  <c:v>36.539932207421501</c:v>
                </c:pt>
                <c:pt idx="3">
                  <c:v>36.285180218283848</c:v>
                </c:pt>
                <c:pt idx="4">
                  <c:v>38.720746556217541</c:v>
                </c:pt>
                <c:pt idx="5">
                  <c:v>39.309960709131708</c:v>
                </c:pt>
                <c:pt idx="6">
                  <c:v>42.854235082403882</c:v>
                </c:pt>
                <c:pt idx="7">
                  <c:v>39.896064786057089</c:v>
                </c:pt>
                <c:pt idx="8">
                  <c:v>39.802910941181196</c:v>
                </c:pt>
                <c:pt idx="9">
                  <c:v>39.119575063193373</c:v>
                </c:pt>
                <c:pt idx="10">
                  <c:v>38.301540056129632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84-461F-8315-E9610EE431A1}"/>
            </c:ext>
          </c:extLst>
        </c:ser>
        <c:ser>
          <c:idx val="6"/>
          <c:order val="4"/>
          <c:tx>
            <c:v>Príjmy rozpočtu ovplyvňujúce saldo</c:v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Constantia" panose="02030602050306030303" pitchFamily="18" charset="0"/>
                    <a:ea typeface="+mn-ea"/>
                    <a:cs typeface="+mn-cs"/>
                  </a:defRPr>
                </a:pPr>
                <a:endParaRPr lang="sk-SK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'G42'!$B$2:$L$2</c:f>
              <c:strCache>
                <c:ptCount val="11"/>
                <c:pt idx="0">
                  <c:v>2009 S</c:v>
                </c:pt>
                <c:pt idx="1">
                  <c:v>2010 S</c:v>
                </c:pt>
                <c:pt idx="2">
                  <c:v>2011 S</c:v>
                </c:pt>
                <c:pt idx="3">
                  <c:v>2012 S</c:v>
                </c:pt>
                <c:pt idx="4">
                  <c:v>2013 S</c:v>
                </c:pt>
                <c:pt idx="5">
                  <c:v>2014 S</c:v>
                </c:pt>
                <c:pt idx="6">
                  <c:v>2015 S</c:v>
                </c:pt>
                <c:pt idx="7">
                  <c:v>2016 O</c:v>
                </c:pt>
                <c:pt idx="8">
                  <c:v>2017 O</c:v>
                </c:pt>
                <c:pt idx="9">
                  <c:v>2018 O</c:v>
                </c:pt>
                <c:pt idx="10">
                  <c:v>2019 O</c:v>
                </c:pt>
              </c:strCache>
            </c:strRef>
          </c:cat>
          <c:val>
            <c:numRef>
              <c:f>'G42'!$B$7:$L$7</c:f>
              <c:numCache>
                <c:formatCode>0.0</c:formatCode>
                <c:ptCount val="11"/>
                <c:pt idx="0">
                  <c:v>32.642739488809504</c:v>
                </c:pt>
                <c:pt idx="1">
                  <c:v>30.939339126452225</c:v>
                </c:pt>
                <c:pt idx="2">
                  <c:v>32.852983914780708</c:v>
                </c:pt>
                <c:pt idx="3">
                  <c:v>32.570483391954994</c:v>
                </c:pt>
                <c:pt idx="4">
                  <c:v>34.835588523673351</c:v>
                </c:pt>
                <c:pt idx="5">
                  <c:v>35.531316806366071</c:v>
                </c:pt>
                <c:pt idx="6">
                  <c:v>37.107937073937279</c:v>
                </c:pt>
                <c:pt idx="7">
                  <c:v>36.695388137318695</c:v>
                </c:pt>
                <c:pt idx="8">
                  <c:v>36.660144867853241</c:v>
                </c:pt>
                <c:pt idx="9">
                  <c:v>36.290389494541344</c:v>
                </c:pt>
                <c:pt idx="10">
                  <c:v>35.681573968979627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784-461F-8315-E9610EE431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25413304"/>
        <c:axId val="425422488"/>
      </c:barChart>
      <c:lineChart>
        <c:grouping val="standard"/>
        <c:varyColors val="0"/>
        <c:ser>
          <c:idx val="1"/>
          <c:order val="1"/>
          <c:tx>
            <c:v>Príjmy z daní a odvodov</c:v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strLit>
              <c:ptCount val="11"/>
              <c:pt idx="0">
                <c:v>2009 S</c:v>
              </c:pt>
              <c:pt idx="1">
                <c:v>2010 S</c:v>
              </c:pt>
              <c:pt idx="2">
                <c:v>2011 S</c:v>
              </c:pt>
              <c:pt idx="3">
                <c:v>2012 S</c:v>
              </c:pt>
              <c:pt idx="4">
                <c:v>2013 S</c:v>
              </c:pt>
              <c:pt idx="5">
                <c:v>2014 S</c:v>
              </c:pt>
              <c:pt idx="6">
                <c:v>2015 S</c:v>
              </c:pt>
              <c:pt idx="7">
                <c:v>2016 OS</c:v>
              </c:pt>
              <c:pt idx="8">
                <c:v>2017 N</c:v>
              </c:pt>
              <c:pt idx="9">
                <c:v>2018 N</c:v>
              </c:pt>
              <c:pt idx="10">
                <c:v>2019 N</c:v>
              </c:pt>
            </c:strLit>
          </c:cat>
          <c:val>
            <c:numRef>
              <c:f>'G42'!$B$4:$L$4</c:f>
              <c:numCache>
                <c:formatCode>#\ ##0.0</c:formatCode>
                <c:ptCount val="11"/>
                <c:pt idx="0">
                  <c:v>26.531614459468532</c:v>
                </c:pt>
                <c:pt idx="1">
                  <c:v>25.558798966516861</c:v>
                </c:pt>
                <c:pt idx="2">
                  <c:v>26.357296314394457</c:v>
                </c:pt>
                <c:pt idx="3">
                  <c:v>25.937519675352632</c:v>
                </c:pt>
                <c:pt idx="4">
                  <c:v>27.914492985914773</c:v>
                </c:pt>
                <c:pt idx="5">
                  <c:v>29.086609743516483</c:v>
                </c:pt>
                <c:pt idx="6">
                  <c:v>30.121992752651057</c:v>
                </c:pt>
                <c:pt idx="7">
                  <c:v>30.80417714698601</c:v>
                </c:pt>
                <c:pt idx="8">
                  <c:v>30.899489140579213</c:v>
                </c:pt>
                <c:pt idx="9">
                  <c:v>30.759252303386159</c:v>
                </c:pt>
                <c:pt idx="10">
                  <c:v>30.439391225886929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784-461F-8315-E9610EE431A1}"/>
            </c:ext>
          </c:extLst>
        </c:ser>
        <c:ser>
          <c:idx val="3"/>
          <c:order val="2"/>
          <c:tx>
            <c:v>Iné príjmy</c:v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Lit>
              <c:ptCount val="11"/>
              <c:pt idx="0">
                <c:v>2009 S</c:v>
              </c:pt>
              <c:pt idx="1">
                <c:v>2010 S</c:v>
              </c:pt>
              <c:pt idx="2">
                <c:v>2011 S</c:v>
              </c:pt>
              <c:pt idx="3">
                <c:v>2012 S</c:v>
              </c:pt>
              <c:pt idx="4">
                <c:v>2013 S</c:v>
              </c:pt>
              <c:pt idx="5">
                <c:v>2014 S</c:v>
              </c:pt>
              <c:pt idx="6">
                <c:v>2015 S</c:v>
              </c:pt>
              <c:pt idx="7">
                <c:v>2016 OS</c:v>
              </c:pt>
              <c:pt idx="8">
                <c:v>2017 N</c:v>
              </c:pt>
              <c:pt idx="9">
                <c:v>2018 N</c:v>
              </c:pt>
              <c:pt idx="10">
                <c:v>2019 N</c:v>
              </c:pt>
            </c:strLit>
          </c:cat>
          <c:val>
            <c:numRef>
              <c:f>'G42'!$B$6:$L$6</c:f>
              <c:numCache>
                <c:formatCode>0.0</c:formatCode>
                <c:ptCount val="11"/>
                <c:pt idx="0">
                  <c:v>8.3372714405581743</c:v>
                </c:pt>
                <c:pt idx="1">
                  <c:v>7.8120101150830239</c:v>
                </c:pt>
                <c:pt idx="2">
                  <c:v>8.6726004858468073</c:v>
                </c:pt>
                <c:pt idx="3">
                  <c:v>8.8904621627982099</c:v>
                </c:pt>
                <c:pt idx="4">
                  <c:v>9.1449632615117356</c:v>
                </c:pt>
                <c:pt idx="5">
                  <c:v>8.517638926308555</c:v>
                </c:pt>
                <c:pt idx="6">
                  <c:v>9.1820559465772504</c:v>
                </c:pt>
                <c:pt idx="7">
                  <c:v>8.0242946996332414</c:v>
                </c:pt>
                <c:pt idx="8">
                  <c:v>7.7505344529530804</c:v>
                </c:pt>
                <c:pt idx="9">
                  <c:v>7.466423952646486</c:v>
                </c:pt>
                <c:pt idx="10">
                  <c:v>7.1230133149997998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784-461F-8315-E9610EE431A1}"/>
            </c:ext>
          </c:extLst>
        </c:ser>
        <c:ser>
          <c:idx val="4"/>
          <c:order val="3"/>
          <c:tx>
            <c:v>Príjmy z EÚ</c:v>
          </c:tx>
          <c:spPr>
            <a:ln w="28575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cat>
            <c:strLit>
              <c:ptCount val="11"/>
              <c:pt idx="0">
                <c:v>2009 S</c:v>
              </c:pt>
              <c:pt idx="1">
                <c:v>2010 S</c:v>
              </c:pt>
              <c:pt idx="2">
                <c:v>2011 S</c:v>
              </c:pt>
              <c:pt idx="3">
                <c:v>2012 S</c:v>
              </c:pt>
              <c:pt idx="4">
                <c:v>2013 S</c:v>
              </c:pt>
              <c:pt idx="5">
                <c:v>2014 S</c:v>
              </c:pt>
              <c:pt idx="6">
                <c:v>2015 S</c:v>
              </c:pt>
              <c:pt idx="7">
                <c:v>2016 OS</c:v>
              </c:pt>
              <c:pt idx="8">
                <c:v>2017 N</c:v>
              </c:pt>
              <c:pt idx="9">
                <c:v>2018 N</c:v>
              </c:pt>
              <c:pt idx="10">
                <c:v>2019 N</c:v>
              </c:pt>
            </c:strLit>
          </c:cat>
          <c:val>
            <c:numRef>
              <c:f>'G42'!$B$5:$L$5</c:f>
              <c:numCache>
                <c:formatCode>0.0</c:formatCode>
                <c:ptCount val="11"/>
                <c:pt idx="0">
                  <c:v>1.4112411166282168</c:v>
                </c:pt>
                <c:pt idx="1">
                  <c:v>1.2892646413810553</c:v>
                </c:pt>
                <c:pt idx="2">
                  <c:v>1.5100354071802364</c:v>
                </c:pt>
                <c:pt idx="3">
                  <c:v>1.4571983801330062</c:v>
                </c:pt>
                <c:pt idx="4">
                  <c:v>1.6612903087910322</c:v>
                </c:pt>
                <c:pt idx="5">
                  <c:v>1.70571203930667</c:v>
                </c:pt>
                <c:pt idx="6">
                  <c:v>3.5501863831755749</c:v>
                </c:pt>
                <c:pt idx="7">
                  <c:v>1.067592939437837</c:v>
                </c:pt>
                <c:pt idx="8">
                  <c:v>1.1528873476489023</c:v>
                </c:pt>
                <c:pt idx="9">
                  <c:v>0.89389880716072823</c:v>
                </c:pt>
                <c:pt idx="10">
                  <c:v>0.73913551524290277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784-461F-8315-E9610EE431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5413304"/>
        <c:axId val="425422488"/>
      </c:lineChart>
      <c:catAx>
        <c:axId val="4254133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425422488"/>
        <c:crosses val="autoZero"/>
        <c:auto val="1"/>
        <c:lblAlgn val="ctr"/>
        <c:lblOffset val="100"/>
        <c:noMultiLvlLbl val="0"/>
      </c:catAx>
      <c:valAx>
        <c:axId val="4254224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4254133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4.1358640696228764E-2"/>
          <c:y val="0.85088700949418372"/>
          <c:w val="0.93296134825252108"/>
          <c:h val="0.1272251182574306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onstantia" panose="02030602050306030303" pitchFamily="18" charset="0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Constantia" panose="02030602050306030303" pitchFamily="18" charset="0"/>
        </a:defRPr>
      </a:pPr>
      <a:endParaRPr lang="sk-SK"/>
    </a:p>
  </c:txPr>
  <c:printSettings>
    <c:headerFooter/>
    <c:pageMargins b="0.75" l="0.7" r="0.7" t="0.75" header="0.3" footer="0.3"/>
    <c:pageSetup/>
  </c:printSettings>
  <c:userShapes r:id="rId3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8484033245844265E-2"/>
          <c:y val="5.0925925925925923E-2"/>
          <c:w val="0.88096041119860014"/>
          <c:h val="0.91608632254301547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'G43, G44'!$A$22</c:f>
              <c:strCache>
                <c:ptCount val="1"/>
                <c:pt idx="0">
                  <c:v>Dane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'G43, G44'!$B$2:$K$2</c:f>
              <c:strCache>
                <c:ptCount val="10"/>
                <c:pt idx="0">
                  <c:v>2010 S</c:v>
                </c:pt>
                <c:pt idx="1">
                  <c:v>2011 S</c:v>
                </c:pt>
                <c:pt idx="2">
                  <c:v>2012 S</c:v>
                </c:pt>
                <c:pt idx="3">
                  <c:v>2013 S</c:v>
                </c:pt>
                <c:pt idx="4">
                  <c:v>2014 S</c:v>
                </c:pt>
                <c:pt idx="5">
                  <c:v>2015 S</c:v>
                </c:pt>
                <c:pt idx="6">
                  <c:v>2016 O</c:v>
                </c:pt>
                <c:pt idx="7">
                  <c:v>2017 O</c:v>
                </c:pt>
                <c:pt idx="8">
                  <c:v>2018 O</c:v>
                </c:pt>
                <c:pt idx="9">
                  <c:v>2019 O</c:v>
                </c:pt>
              </c:strCache>
            </c:strRef>
          </c:cat>
          <c:val>
            <c:numRef>
              <c:f>'G43, G44'!$B$22:$K$22</c:f>
              <c:numCache>
                <c:formatCode>#\ ##0.0</c:formatCode>
                <c:ptCount val="10"/>
                <c:pt idx="0">
                  <c:v>-0.52259274739154038</c:v>
                </c:pt>
                <c:pt idx="1">
                  <c:v>-1.0298128413118992E-2</c:v>
                </c:pt>
                <c:pt idx="2">
                  <c:v>-0.52745621296275391</c:v>
                </c:pt>
                <c:pt idx="3">
                  <c:v>0.45135844884210924</c:v>
                </c:pt>
                <c:pt idx="4">
                  <c:v>1.3229038566124323</c:v>
                </c:pt>
                <c:pt idx="5">
                  <c:v>2.0893627896099991</c:v>
                </c:pt>
                <c:pt idx="6">
                  <c:v>2.439033196347788</c:v>
                </c:pt>
                <c:pt idx="7">
                  <c:v>2.4764297621307478</c:v>
                </c:pt>
                <c:pt idx="8">
                  <c:v>2.3762054800428398</c:v>
                </c:pt>
                <c:pt idx="9">
                  <c:v>2.1649915174134895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84-4671-82BF-DC32D4D1E6B9}"/>
            </c:ext>
          </c:extLst>
        </c:ser>
        <c:ser>
          <c:idx val="3"/>
          <c:order val="1"/>
          <c:tx>
            <c:strRef>
              <c:f>'G43, G44'!$A$18</c:f>
              <c:strCache>
                <c:ptCount val="1"/>
                <c:pt idx="0">
                  <c:v>Sociálne príspevky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'G43, G44'!$B$2:$K$2</c:f>
              <c:strCache>
                <c:ptCount val="10"/>
                <c:pt idx="0">
                  <c:v>2010 S</c:v>
                </c:pt>
                <c:pt idx="1">
                  <c:v>2011 S</c:v>
                </c:pt>
                <c:pt idx="2">
                  <c:v>2012 S</c:v>
                </c:pt>
                <c:pt idx="3">
                  <c:v>2013 S</c:v>
                </c:pt>
                <c:pt idx="4">
                  <c:v>2014 S</c:v>
                </c:pt>
                <c:pt idx="5">
                  <c:v>2015 S</c:v>
                </c:pt>
                <c:pt idx="6">
                  <c:v>2016 O</c:v>
                </c:pt>
                <c:pt idx="7">
                  <c:v>2017 O</c:v>
                </c:pt>
                <c:pt idx="8">
                  <c:v>2018 O</c:v>
                </c:pt>
                <c:pt idx="9">
                  <c:v>2019 O</c:v>
                </c:pt>
              </c:strCache>
            </c:strRef>
          </c:cat>
          <c:val>
            <c:numRef>
              <c:f>'G43, G44'!$B$18:$K$18</c:f>
              <c:numCache>
                <c:formatCode>#\ ##0.0</c:formatCode>
                <c:ptCount val="10"/>
                <c:pt idx="0">
                  <c:v>-0.45022274556013736</c:v>
                </c:pt>
                <c:pt idx="1">
                  <c:v>-0.16402001666096289</c:v>
                </c:pt>
                <c:pt idx="2">
                  <c:v>-6.6638571153150944E-2</c:v>
                </c:pt>
                <c:pt idx="3">
                  <c:v>0.93152007760412436</c:v>
                </c:pt>
                <c:pt idx="4">
                  <c:v>1.232091427435513</c:v>
                </c:pt>
                <c:pt idx="5">
                  <c:v>1.501015503572519</c:v>
                </c:pt>
                <c:pt idx="6">
                  <c:v>1.8335294911696929</c:v>
                </c:pt>
                <c:pt idx="7">
                  <c:v>1.8914449189799272</c:v>
                </c:pt>
                <c:pt idx="8">
                  <c:v>1.8514323638747865</c:v>
                </c:pt>
                <c:pt idx="9">
                  <c:v>1.7427852490049109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84-4671-82BF-DC32D4D1E6B9}"/>
            </c:ext>
          </c:extLst>
        </c:ser>
        <c:ser>
          <c:idx val="4"/>
          <c:order val="2"/>
          <c:tx>
            <c:strRef>
              <c:f>'G43, G44'!$A$19</c:f>
              <c:strCache>
                <c:ptCount val="1"/>
                <c:pt idx="0">
                  <c:v>Príjmy z majetku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'G43, G44'!$B$2:$K$2</c:f>
              <c:strCache>
                <c:ptCount val="10"/>
                <c:pt idx="0">
                  <c:v>2010 S</c:v>
                </c:pt>
                <c:pt idx="1">
                  <c:v>2011 S</c:v>
                </c:pt>
                <c:pt idx="2">
                  <c:v>2012 S</c:v>
                </c:pt>
                <c:pt idx="3">
                  <c:v>2013 S</c:v>
                </c:pt>
                <c:pt idx="4">
                  <c:v>2014 S</c:v>
                </c:pt>
                <c:pt idx="5">
                  <c:v>2015 S</c:v>
                </c:pt>
                <c:pt idx="6">
                  <c:v>2016 O</c:v>
                </c:pt>
                <c:pt idx="7">
                  <c:v>2017 O</c:v>
                </c:pt>
                <c:pt idx="8">
                  <c:v>2018 O</c:v>
                </c:pt>
                <c:pt idx="9">
                  <c:v>2019 O</c:v>
                </c:pt>
              </c:strCache>
            </c:strRef>
          </c:cat>
          <c:val>
            <c:numRef>
              <c:f>'G43, G44'!$B$19:$K$19</c:f>
              <c:numCache>
                <c:formatCode>#\ ##0.0</c:formatCode>
                <c:ptCount val="10"/>
                <c:pt idx="0">
                  <c:v>-0.39536003821588073</c:v>
                </c:pt>
                <c:pt idx="1">
                  <c:v>-0.40544218923530578</c:v>
                </c:pt>
                <c:pt idx="2">
                  <c:v>-0.21073695047766627</c:v>
                </c:pt>
                <c:pt idx="3">
                  <c:v>-0.44517291608755105</c:v>
                </c:pt>
                <c:pt idx="4">
                  <c:v>-0.62021532444587146</c:v>
                </c:pt>
                <c:pt idx="5">
                  <c:v>-0.54284833309537517</c:v>
                </c:pt>
                <c:pt idx="6">
                  <c:v>-0.6289886290159159</c:v>
                </c:pt>
                <c:pt idx="7">
                  <c:v>-0.63851391137334557</c:v>
                </c:pt>
                <c:pt idx="8">
                  <c:v>-0.65286057141955312</c:v>
                </c:pt>
                <c:pt idx="9">
                  <c:v>-0.68165909899787613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184-4671-82BF-DC32D4D1E6B9}"/>
            </c:ext>
          </c:extLst>
        </c:ser>
        <c:ser>
          <c:idx val="5"/>
          <c:order val="3"/>
          <c:tx>
            <c:strRef>
              <c:f>'G43, G44'!$A$20</c:f>
              <c:strCache>
                <c:ptCount val="1"/>
                <c:pt idx="0">
                  <c:v>Tržby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'G43, G44'!$B$2:$K$2</c:f>
              <c:strCache>
                <c:ptCount val="10"/>
                <c:pt idx="0">
                  <c:v>2010 S</c:v>
                </c:pt>
                <c:pt idx="1">
                  <c:v>2011 S</c:v>
                </c:pt>
                <c:pt idx="2">
                  <c:v>2012 S</c:v>
                </c:pt>
                <c:pt idx="3">
                  <c:v>2013 S</c:v>
                </c:pt>
                <c:pt idx="4">
                  <c:v>2014 S</c:v>
                </c:pt>
                <c:pt idx="5">
                  <c:v>2015 S</c:v>
                </c:pt>
                <c:pt idx="6">
                  <c:v>2016 O</c:v>
                </c:pt>
                <c:pt idx="7">
                  <c:v>2017 O</c:v>
                </c:pt>
                <c:pt idx="8">
                  <c:v>2018 O</c:v>
                </c:pt>
                <c:pt idx="9">
                  <c:v>2019 O</c:v>
                </c:pt>
              </c:strCache>
            </c:strRef>
          </c:cat>
          <c:val>
            <c:numRef>
              <c:f>'G43, G44'!$B$20:$K$20</c:f>
              <c:numCache>
                <c:formatCode>#\ ##0.0</c:formatCode>
                <c:ptCount val="10"/>
                <c:pt idx="0">
                  <c:v>5.6308847928154729E-2</c:v>
                </c:pt>
                <c:pt idx="1">
                  <c:v>7.3916340025203281E-2</c:v>
                </c:pt>
                <c:pt idx="2">
                  <c:v>0.43479279011040217</c:v>
                </c:pt>
                <c:pt idx="3">
                  <c:v>0.76488574256994679</c:v>
                </c:pt>
                <c:pt idx="4">
                  <c:v>0.5692538335762185</c:v>
                </c:pt>
                <c:pt idx="5">
                  <c:v>0.6561804035166301</c:v>
                </c:pt>
                <c:pt idx="6">
                  <c:v>0.50769464346483439</c:v>
                </c:pt>
                <c:pt idx="7">
                  <c:v>0.46578650357054152</c:v>
                </c:pt>
                <c:pt idx="8">
                  <c:v>0.32215216145185854</c:v>
                </c:pt>
                <c:pt idx="9">
                  <c:v>0.13691097973831762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184-4671-82BF-DC32D4D1E6B9}"/>
            </c:ext>
          </c:extLst>
        </c:ser>
        <c:ser>
          <c:idx val="0"/>
          <c:order val="4"/>
          <c:tx>
            <c:strRef>
              <c:f>'G43, G44'!$A$21</c:f>
              <c:strCache>
                <c:ptCount val="1"/>
                <c:pt idx="0">
                  <c:v>Bežné a kapitálové transfery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'G43, G44'!$B$2:$K$2</c:f>
              <c:strCache>
                <c:ptCount val="10"/>
                <c:pt idx="0">
                  <c:v>2010 S</c:v>
                </c:pt>
                <c:pt idx="1">
                  <c:v>2011 S</c:v>
                </c:pt>
                <c:pt idx="2">
                  <c:v>2012 S</c:v>
                </c:pt>
                <c:pt idx="3">
                  <c:v>2013 S</c:v>
                </c:pt>
                <c:pt idx="4">
                  <c:v>2014 S</c:v>
                </c:pt>
                <c:pt idx="5">
                  <c:v>2015 S</c:v>
                </c:pt>
                <c:pt idx="6">
                  <c:v>2016 O</c:v>
                </c:pt>
                <c:pt idx="7">
                  <c:v>2017 O</c:v>
                </c:pt>
                <c:pt idx="8">
                  <c:v>2018 O</c:v>
                </c:pt>
                <c:pt idx="9">
                  <c:v>2019 O</c:v>
                </c:pt>
              </c:strCache>
            </c:strRef>
          </c:cat>
          <c:val>
            <c:numRef>
              <c:f>'G43, G44'!$B$21:$K$21</c:f>
              <c:numCache>
                <c:formatCode>#\ ##0.0</c:formatCode>
                <c:ptCount val="10"/>
                <c:pt idx="0">
                  <c:v>-0.39153367911788273</c:v>
                </c:pt>
                <c:pt idx="1">
                  <c:v>0.38266588616087127</c:v>
                </c:pt>
                <c:pt idx="2">
                  <c:v>-0.18657464833151616</c:v>
                </c:pt>
                <c:pt idx="3">
                  <c:v>5.900185975040162E-3</c:v>
                </c:pt>
                <c:pt idx="4">
                  <c:v>-0.20578440204338616</c:v>
                </c:pt>
                <c:pt idx="5">
                  <c:v>1.3755914636293942E-2</c:v>
                </c:pt>
                <c:pt idx="6">
                  <c:v>-0.53854044285319413</c:v>
                </c:pt>
                <c:pt idx="7">
                  <c:v>-0.66687602786597489</c:v>
                </c:pt>
                <c:pt idx="8">
                  <c:v>-0.73656168513748621</c:v>
                </c:pt>
                <c:pt idx="9">
                  <c:v>-0.81020030662628562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184-4671-82BF-DC32D4D1E6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7"/>
        <c:overlap val="100"/>
        <c:axId val="350306152"/>
        <c:axId val="350301560"/>
      </c:barChart>
      <c:lineChart>
        <c:grouping val="stacked"/>
        <c:varyColors val="0"/>
        <c:ser>
          <c:idx val="2"/>
          <c:order val="5"/>
          <c:tx>
            <c:strRef>
              <c:f>'G43, G44'!$A$14</c:f>
              <c:strCache>
                <c:ptCount val="1"/>
                <c:pt idx="0">
                  <c:v>Upravené príjmy*</c:v>
                </c:pt>
              </c:strCache>
            </c:strRef>
          </c:tx>
          <c:spPr>
            <a:ln w="28575" cap="rnd">
              <a:solidFill>
                <a:schemeClr val="accent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50000"/>
                </a:schemeClr>
              </a:solidFill>
              <a:ln w="9525">
                <a:solidFill>
                  <a:schemeClr val="accent1">
                    <a:lumMod val="50000"/>
                  </a:schemeClr>
                </a:solidFill>
              </a:ln>
              <a:effectLst/>
            </c:spPr>
          </c:marker>
          <c:val>
            <c:numRef>
              <c:f>'G43, G44'!$B$14:$K$14</c:f>
              <c:numCache>
                <c:formatCode>#\ ##0.0</c:formatCode>
                <c:ptCount val="10"/>
                <c:pt idx="0">
                  <c:v>-1.7034003623572758</c:v>
                </c:pt>
                <c:pt idx="1">
                  <c:v>-0.12317810812331187</c:v>
                </c:pt>
                <c:pt idx="2">
                  <c:v>-0.55661359281468537</c:v>
                </c:pt>
                <c:pt idx="3">
                  <c:v>1.7084915389036639</c:v>
                </c:pt>
                <c:pt idx="4">
                  <c:v>2.29824939113491</c:v>
                </c:pt>
                <c:pt idx="5">
                  <c:v>3.7174662782400683</c:v>
                </c:pt>
                <c:pt idx="6">
                  <c:v>3.726524618641248</c:v>
                </c:pt>
                <c:pt idx="7">
                  <c:v>3.6530122546797226</c:v>
                </c:pt>
                <c:pt idx="8">
                  <c:v>3.2949627376338322</c:v>
                </c:pt>
                <c:pt idx="9">
                  <c:v>2.6979438611670883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184-4671-82BF-DC32D4D1E6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0306152"/>
        <c:axId val="350301560"/>
      </c:lineChart>
      <c:catAx>
        <c:axId val="3503061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350301560"/>
        <c:crosses val="autoZero"/>
        <c:auto val="1"/>
        <c:lblAlgn val="ctr"/>
        <c:lblOffset val="100"/>
        <c:noMultiLvlLbl val="0"/>
      </c:catAx>
      <c:valAx>
        <c:axId val="3503015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#,##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3503061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6.6146762904636919E-2"/>
          <c:y val="8.6789151356080497E-3"/>
          <c:w val="0.50381758530183729"/>
          <c:h val="0.3061358996792067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onstantia" panose="02030602050306030303" pitchFamily="18" charset="0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Constantia" panose="02030602050306030303" pitchFamily="18" charset="0"/>
        </a:defRPr>
      </a:pPr>
      <a:endParaRPr lang="sk-SK"/>
    </a:p>
  </c:txPr>
  <c:printSettings>
    <c:headerFooter/>
    <c:pageMargins b="0.75" l="0.7" r="0.7" t="0.75" header="0.3" footer="0.3"/>
    <c:pageSetup/>
  </c:printSettings>
  <c:userShapes r:id="rId3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8484033245844265E-2"/>
          <c:y val="4.394685039370079E-2"/>
          <c:w val="0.88096041119860014"/>
          <c:h val="0.87180191017789443"/>
        </c:manualLayout>
      </c:layout>
      <c:barChart>
        <c:barDir val="col"/>
        <c:grouping val="stacked"/>
        <c:varyColors val="0"/>
        <c:ser>
          <c:idx val="3"/>
          <c:order val="0"/>
          <c:tx>
            <c:strRef>
              <c:f>'G43, G44'!$A$18</c:f>
              <c:strCache>
                <c:ptCount val="1"/>
                <c:pt idx="0">
                  <c:v>Sociálne príspevky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'G43, G44'!$B$2:$K$2</c:f>
              <c:strCache>
                <c:ptCount val="10"/>
                <c:pt idx="0">
                  <c:v>2010 S</c:v>
                </c:pt>
                <c:pt idx="1">
                  <c:v>2011 S</c:v>
                </c:pt>
                <c:pt idx="2">
                  <c:v>2012 S</c:v>
                </c:pt>
                <c:pt idx="3">
                  <c:v>2013 S</c:v>
                </c:pt>
                <c:pt idx="4">
                  <c:v>2014 S</c:v>
                </c:pt>
                <c:pt idx="5">
                  <c:v>2015 S</c:v>
                </c:pt>
                <c:pt idx="6">
                  <c:v>2016 O</c:v>
                </c:pt>
                <c:pt idx="7">
                  <c:v>2017 O</c:v>
                </c:pt>
                <c:pt idx="8">
                  <c:v>2018 O</c:v>
                </c:pt>
                <c:pt idx="9">
                  <c:v>2019 O</c:v>
                </c:pt>
              </c:strCache>
            </c:strRef>
          </c:cat>
          <c:val>
            <c:numRef>
              <c:f>'G43, G44'!$B$8:$K$8</c:f>
              <c:numCache>
                <c:formatCode>#\ ##0.0</c:formatCode>
                <c:ptCount val="10"/>
                <c:pt idx="0">
                  <c:v>-0.45022274556013736</c:v>
                </c:pt>
                <c:pt idx="1">
                  <c:v>0.28620272889917447</c:v>
                </c:pt>
                <c:pt idx="2">
                  <c:v>9.7381445507811942E-2</c:v>
                </c:pt>
                <c:pt idx="3">
                  <c:v>0.99815864875727534</c:v>
                </c:pt>
                <c:pt idx="4">
                  <c:v>0.30057134983138861</c:v>
                </c:pt>
                <c:pt idx="5">
                  <c:v>0.26892407613700609</c:v>
                </c:pt>
                <c:pt idx="6">
                  <c:v>0.33251398759717382</c:v>
                </c:pt>
                <c:pt idx="7">
                  <c:v>5.791542781023426E-2</c:v>
                </c:pt>
                <c:pt idx="8">
                  <c:v>-4.0012555105140755E-2</c:v>
                </c:pt>
                <c:pt idx="9">
                  <c:v>-0.10864711486987565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359-4A16-931D-5A9D2B1737F6}"/>
            </c:ext>
          </c:extLst>
        </c:ser>
        <c:ser>
          <c:idx val="4"/>
          <c:order val="1"/>
          <c:tx>
            <c:strRef>
              <c:f>'G43, G44'!$A$19</c:f>
              <c:strCache>
                <c:ptCount val="1"/>
                <c:pt idx="0">
                  <c:v>Príjmy z majetku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'G43, G44'!$B$2:$K$2</c:f>
              <c:strCache>
                <c:ptCount val="10"/>
                <c:pt idx="0">
                  <c:v>2010 S</c:v>
                </c:pt>
                <c:pt idx="1">
                  <c:v>2011 S</c:v>
                </c:pt>
                <c:pt idx="2">
                  <c:v>2012 S</c:v>
                </c:pt>
                <c:pt idx="3">
                  <c:v>2013 S</c:v>
                </c:pt>
                <c:pt idx="4">
                  <c:v>2014 S</c:v>
                </c:pt>
                <c:pt idx="5">
                  <c:v>2015 S</c:v>
                </c:pt>
                <c:pt idx="6">
                  <c:v>2016 O</c:v>
                </c:pt>
                <c:pt idx="7">
                  <c:v>2017 O</c:v>
                </c:pt>
                <c:pt idx="8">
                  <c:v>2018 O</c:v>
                </c:pt>
                <c:pt idx="9">
                  <c:v>2019 O</c:v>
                </c:pt>
              </c:strCache>
            </c:strRef>
          </c:cat>
          <c:val>
            <c:numRef>
              <c:f>'G43, G44'!$B$9:$K$9</c:f>
              <c:numCache>
                <c:formatCode>#\ ##0.0</c:formatCode>
                <c:ptCount val="10"/>
                <c:pt idx="0">
                  <c:v>-0.39536003821588073</c:v>
                </c:pt>
                <c:pt idx="1">
                  <c:v>-1.0082151019425048E-2</c:v>
                </c:pt>
                <c:pt idx="2">
                  <c:v>0.19470523875763951</c:v>
                </c:pt>
                <c:pt idx="3">
                  <c:v>-0.23443596560988478</c:v>
                </c:pt>
                <c:pt idx="4">
                  <c:v>-0.17504240835832047</c:v>
                </c:pt>
                <c:pt idx="5">
                  <c:v>7.7366991350496295E-2</c:v>
                </c:pt>
                <c:pt idx="6">
                  <c:v>-8.6140295920540733E-2</c:v>
                </c:pt>
                <c:pt idx="7">
                  <c:v>-9.5252823574296687E-3</c:v>
                </c:pt>
                <c:pt idx="8">
                  <c:v>-1.4346660046207495E-2</c:v>
                </c:pt>
                <c:pt idx="9">
                  <c:v>-2.8798527578323071E-2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359-4A16-931D-5A9D2B1737F6}"/>
            </c:ext>
          </c:extLst>
        </c:ser>
        <c:ser>
          <c:idx val="5"/>
          <c:order val="2"/>
          <c:tx>
            <c:strRef>
              <c:f>'G43, G44'!$A$20</c:f>
              <c:strCache>
                <c:ptCount val="1"/>
                <c:pt idx="0">
                  <c:v>Tržby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'G43, G44'!$B$2:$K$2</c:f>
              <c:strCache>
                <c:ptCount val="10"/>
                <c:pt idx="0">
                  <c:v>2010 S</c:v>
                </c:pt>
                <c:pt idx="1">
                  <c:v>2011 S</c:v>
                </c:pt>
                <c:pt idx="2">
                  <c:v>2012 S</c:v>
                </c:pt>
                <c:pt idx="3">
                  <c:v>2013 S</c:v>
                </c:pt>
                <c:pt idx="4">
                  <c:v>2014 S</c:v>
                </c:pt>
                <c:pt idx="5">
                  <c:v>2015 S</c:v>
                </c:pt>
                <c:pt idx="6">
                  <c:v>2016 O</c:v>
                </c:pt>
                <c:pt idx="7">
                  <c:v>2017 O</c:v>
                </c:pt>
                <c:pt idx="8">
                  <c:v>2018 O</c:v>
                </c:pt>
                <c:pt idx="9">
                  <c:v>2019 O</c:v>
                </c:pt>
              </c:strCache>
            </c:strRef>
          </c:cat>
          <c:val>
            <c:numRef>
              <c:f>'G43, G44'!$B$10:$K$10</c:f>
              <c:numCache>
                <c:formatCode>#\ ##0.0</c:formatCode>
                <c:ptCount val="10"/>
                <c:pt idx="0">
                  <c:v>5.6308847928154729E-2</c:v>
                </c:pt>
                <c:pt idx="1">
                  <c:v>1.7607492097048545E-2</c:v>
                </c:pt>
                <c:pt idx="2">
                  <c:v>0.36087645008519886</c:v>
                </c:pt>
                <c:pt idx="3">
                  <c:v>0.33009295245954462</c:v>
                </c:pt>
                <c:pt idx="4">
                  <c:v>-0.19563190899372834</c:v>
                </c:pt>
                <c:pt idx="5">
                  <c:v>8.6926569940411591E-2</c:v>
                </c:pt>
                <c:pt idx="6">
                  <c:v>-0.14848576005179565</c:v>
                </c:pt>
                <c:pt idx="7">
                  <c:v>-4.1908139894292873E-2</c:v>
                </c:pt>
                <c:pt idx="8">
                  <c:v>-0.14363434211868301</c:v>
                </c:pt>
                <c:pt idx="9">
                  <c:v>-0.18524118171354093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359-4A16-931D-5A9D2B1737F6}"/>
            </c:ext>
          </c:extLst>
        </c:ser>
        <c:ser>
          <c:idx val="6"/>
          <c:order val="3"/>
          <c:tx>
            <c:strRef>
              <c:f>'G43, G44'!$A$11</c:f>
              <c:strCache>
                <c:ptCount val="1"/>
                <c:pt idx="0">
                  <c:v>Bežné a kapitálové transfery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'G43, G44'!$B$2:$K$2</c:f>
              <c:strCache>
                <c:ptCount val="10"/>
                <c:pt idx="0">
                  <c:v>2010 S</c:v>
                </c:pt>
                <c:pt idx="1">
                  <c:v>2011 S</c:v>
                </c:pt>
                <c:pt idx="2">
                  <c:v>2012 S</c:v>
                </c:pt>
                <c:pt idx="3">
                  <c:v>2013 S</c:v>
                </c:pt>
                <c:pt idx="4">
                  <c:v>2014 S</c:v>
                </c:pt>
                <c:pt idx="5">
                  <c:v>2015 S</c:v>
                </c:pt>
                <c:pt idx="6">
                  <c:v>2016 O</c:v>
                </c:pt>
                <c:pt idx="7">
                  <c:v>2017 O</c:v>
                </c:pt>
                <c:pt idx="8">
                  <c:v>2018 O</c:v>
                </c:pt>
                <c:pt idx="9">
                  <c:v>2019 O</c:v>
                </c:pt>
              </c:strCache>
            </c:strRef>
          </c:cat>
          <c:val>
            <c:numRef>
              <c:f>'G43, G44'!$B$11:$K$11</c:f>
              <c:numCache>
                <c:formatCode>#\ ##0.0</c:formatCode>
                <c:ptCount val="10"/>
                <c:pt idx="0">
                  <c:v>-0.39153367911788273</c:v>
                </c:pt>
                <c:pt idx="1">
                  <c:v>0.774199565278754</c:v>
                </c:pt>
                <c:pt idx="2">
                  <c:v>-0.56924053449238743</c:v>
                </c:pt>
                <c:pt idx="3">
                  <c:v>0.19247483430655632</c:v>
                </c:pt>
                <c:pt idx="4">
                  <c:v>-0.21168458801842632</c:v>
                </c:pt>
                <c:pt idx="5">
                  <c:v>0.2195403166796801</c:v>
                </c:pt>
                <c:pt idx="6">
                  <c:v>-0.55229635748948813</c:v>
                </c:pt>
                <c:pt idx="7">
                  <c:v>-0.1283355850127807</c:v>
                </c:pt>
                <c:pt idx="8">
                  <c:v>-6.9685657271511339E-2</c:v>
                </c:pt>
                <c:pt idx="9">
                  <c:v>-7.3638621488799405E-2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359-4A16-931D-5A9D2B1737F6}"/>
            </c:ext>
          </c:extLst>
        </c:ser>
        <c:ser>
          <c:idx val="7"/>
          <c:order val="4"/>
          <c:tx>
            <c:strRef>
              <c:f>'G43, G44'!$A$12</c:f>
              <c:strCache>
                <c:ptCount val="1"/>
                <c:pt idx="0">
                  <c:v>Dane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'G43, G44'!$B$2:$K$2</c:f>
              <c:strCache>
                <c:ptCount val="10"/>
                <c:pt idx="0">
                  <c:v>2010 S</c:v>
                </c:pt>
                <c:pt idx="1">
                  <c:v>2011 S</c:v>
                </c:pt>
                <c:pt idx="2">
                  <c:v>2012 S</c:v>
                </c:pt>
                <c:pt idx="3">
                  <c:v>2013 S</c:v>
                </c:pt>
                <c:pt idx="4">
                  <c:v>2014 S</c:v>
                </c:pt>
                <c:pt idx="5">
                  <c:v>2015 S</c:v>
                </c:pt>
                <c:pt idx="6">
                  <c:v>2016 O</c:v>
                </c:pt>
                <c:pt idx="7">
                  <c:v>2017 O</c:v>
                </c:pt>
                <c:pt idx="8">
                  <c:v>2018 O</c:v>
                </c:pt>
                <c:pt idx="9">
                  <c:v>2019 O</c:v>
                </c:pt>
              </c:strCache>
            </c:strRef>
          </c:cat>
          <c:val>
            <c:numRef>
              <c:f>'G43, G44'!$B$12:$K$12</c:f>
              <c:numCache>
                <c:formatCode>#\ ##0.0</c:formatCode>
                <c:ptCount val="10"/>
                <c:pt idx="0">
                  <c:v>-0.52259274739154038</c:v>
                </c:pt>
                <c:pt idx="1">
                  <c:v>0.51229461897842143</c:v>
                </c:pt>
                <c:pt idx="2">
                  <c:v>-0.51715808454963486</c:v>
                </c:pt>
                <c:pt idx="3">
                  <c:v>0.9788146618048631</c:v>
                </c:pt>
                <c:pt idx="4">
                  <c:v>0.87154540777032319</c:v>
                </c:pt>
                <c:pt idx="5">
                  <c:v>0.76645893299756662</c:v>
                </c:pt>
                <c:pt idx="6">
                  <c:v>0.34967040673778882</c:v>
                </c:pt>
                <c:pt idx="7">
                  <c:v>3.7396565782960002E-2</c:v>
                </c:pt>
                <c:pt idx="8">
                  <c:v>-0.10022428208790804</c:v>
                </c:pt>
                <c:pt idx="9">
                  <c:v>-0.21121396262935035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359-4A16-931D-5A9D2B1737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7"/>
        <c:overlap val="100"/>
        <c:axId val="350306152"/>
        <c:axId val="350301560"/>
      </c:barChart>
      <c:lineChart>
        <c:grouping val="standard"/>
        <c:varyColors val="0"/>
        <c:ser>
          <c:idx val="0"/>
          <c:order val="5"/>
          <c:tx>
            <c:strRef>
              <c:f>'G43, G44'!$A$14</c:f>
              <c:strCache>
                <c:ptCount val="1"/>
                <c:pt idx="0">
                  <c:v>Upravené príjmy*</c:v>
                </c:pt>
              </c:strCache>
            </c:strRef>
          </c:tx>
          <c:spPr>
            <a:ln w="28575" cap="rnd">
              <a:solidFill>
                <a:schemeClr val="accent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50000"/>
                </a:schemeClr>
              </a:solidFill>
              <a:ln w="9525">
                <a:solidFill>
                  <a:schemeClr val="accent1"/>
                </a:solidFill>
              </a:ln>
              <a:effectLst/>
            </c:spPr>
          </c:marker>
          <c:val>
            <c:numRef>
              <c:f>'G43, G44'!$B$4:$K$4</c:f>
              <c:numCache>
                <c:formatCode>#\ ##0.0</c:formatCode>
                <c:ptCount val="10"/>
                <c:pt idx="0">
                  <c:v>-1.7034003623572758</c:v>
                </c:pt>
                <c:pt idx="1">
                  <c:v>1.5802222542339639</c:v>
                </c:pt>
                <c:pt idx="2">
                  <c:v>-0.4334354846913735</c:v>
                </c:pt>
                <c:pt idx="3">
                  <c:v>2.2651051317183493</c:v>
                </c:pt>
                <c:pt idx="4">
                  <c:v>0.5897578522312461</c:v>
                </c:pt>
                <c:pt idx="5">
                  <c:v>1.4192168871051583</c:v>
                </c:pt>
                <c:pt idx="6">
                  <c:v>9.0583404011797611E-3</c:v>
                </c:pt>
                <c:pt idx="7">
                  <c:v>-7.3512363961525259E-2</c:v>
                </c:pt>
                <c:pt idx="8">
                  <c:v>-0.35804951704589028</c:v>
                </c:pt>
                <c:pt idx="9">
                  <c:v>-0.59701887646674379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359-4A16-931D-5A9D2B1737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0306152"/>
        <c:axId val="350301560"/>
      </c:lineChart>
      <c:catAx>
        <c:axId val="3503061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350301560"/>
        <c:crosses val="autoZero"/>
        <c:auto val="1"/>
        <c:lblAlgn val="ctr"/>
        <c:lblOffset val="100"/>
        <c:noMultiLvlLbl val="0"/>
      </c:catAx>
      <c:valAx>
        <c:axId val="3503015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#,##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3503061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5035651793525812E-2"/>
          <c:y val="2.7197433654126572E-2"/>
          <c:w val="0.85742825896762909"/>
          <c:h val="0.204284047827354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onstantia" panose="02030602050306030303" pitchFamily="18" charset="0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Constantia" panose="02030602050306030303" pitchFamily="18" charset="0"/>
        </a:defRPr>
      </a:pPr>
      <a:endParaRPr lang="sk-SK"/>
    </a:p>
  </c:txPr>
  <c:printSettings>
    <c:headerFooter/>
    <c:pageMargins b="0.75" l="0.7" r="0.7" t="0.75" header="0.3" footer="0.3"/>
    <c:pageSetup/>
  </c:printSettings>
  <c:userShapes r:id="rId3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247594050743664E-2"/>
          <c:y val="5.0925925925925923E-2"/>
          <c:w val="0.89575240594925631"/>
          <c:h val="0.86077136191309422"/>
        </c:manualLayout>
      </c:layout>
      <c:lineChart>
        <c:grouping val="standard"/>
        <c:varyColors val="0"/>
        <c:ser>
          <c:idx val="0"/>
          <c:order val="0"/>
          <c:tx>
            <c:strRef>
              <c:f>'G45'!$B$2</c:f>
              <c:strCache>
                <c:ptCount val="1"/>
                <c:pt idx="0">
                  <c:v>Skutočné ŽM</c:v>
                </c:pt>
              </c:strCache>
            </c:strRef>
          </c:tx>
          <c:spPr>
            <a:ln w="28575" cap="rnd">
              <a:solidFill>
                <a:srgbClr val="585858"/>
              </a:solidFill>
              <a:round/>
            </a:ln>
            <a:effectLst/>
          </c:spPr>
          <c:marker>
            <c:symbol val="none"/>
          </c:marker>
          <c:cat>
            <c:numRef>
              <c:f>'G45'!$A$3:$A$14</c:f>
              <c:numCache>
                <c:formatCode>General</c:formatCode>
                <c:ptCount val="12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</c:numCache>
            </c:numRef>
          </c:cat>
          <c:val>
            <c:numRef>
              <c:f>'G45'!$B$3:$B$14</c:f>
              <c:numCache>
                <c:formatCode>General</c:formatCode>
                <c:ptCount val="12"/>
                <c:pt idx="0">
                  <c:v>170.28</c:v>
                </c:pt>
                <c:pt idx="1">
                  <c:v>178.92</c:v>
                </c:pt>
                <c:pt idx="2">
                  <c:v>185.19</c:v>
                </c:pt>
                <c:pt idx="3">
                  <c:v>185.38</c:v>
                </c:pt>
                <c:pt idx="4">
                  <c:v>189.83</c:v>
                </c:pt>
                <c:pt idx="5">
                  <c:v>194.58</c:v>
                </c:pt>
                <c:pt idx="6">
                  <c:v>198.09</c:v>
                </c:pt>
                <c:pt idx="7">
                  <c:v>198.09</c:v>
                </c:pt>
                <c:pt idx="8">
                  <c:v>198.09</c:v>
                </c:pt>
                <c:pt idx="9">
                  <c:v>199.69</c:v>
                </c:pt>
                <c:pt idx="10">
                  <c:v>202.45</c:v>
                </c:pt>
                <c:pt idx="11">
                  <c:v>205.87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D2D-405F-A8AD-2C9096E72303}"/>
            </c:ext>
          </c:extLst>
        </c:ser>
        <c:ser>
          <c:idx val="1"/>
          <c:order val="1"/>
          <c:tx>
            <c:strRef>
              <c:f>'G45'!$F$2</c:f>
              <c:strCache>
                <c:ptCount val="1"/>
                <c:pt idx="0">
                  <c:v>Teoretické ŽM</c:v>
                </c:pt>
              </c:strCache>
            </c:strRef>
          </c:tx>
          <c:spPr>
            <a:ln w="28575" cap="rnd">
              <a:solidFill>
                <a:srgbClr val="13B5EA"/>
              </a:solidFill>
              <a:round/>
            </a:ln>
            <a:effectLst/>
          </c:spPr>
          <c:marker>
            <c:symbol val="none"/>
          </c:marker>
          <c:cat>
            <c:numRef>
              <c:f>'G45'!$A$3:$A$14</c:f>
              <c:numCache>
                <c:formatCode>General</c:formatCode>
                <c:ptCount val="12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</c:numCache>
            </c:numRef>
          </c:cat>
          <c:val>
            <c:numRef>
              <c:f>'G45'!$F$3:$F$14</c:f>
              <c:numCache>
                <c:formatCode>0.00</c:formatCode>
                <c:ptCount val="12"/>
                <c:pt idx="0">
                  <c:v>170.28</c:v>
                </c:pt>
                <c:pt idx="1">
                  <c:v>176.03391172993565</c:v>
                </c:pt>
                <c:pt idx="2">
                  <c:v>182.01149349796401</c:v>
                </c:pt>
                <c:pt idx="3">
                  <c:v>187.32365690266647</c:v>
                </c:pt>
                <c:pt idx="4">
                  <c:v>196.55004597399181</c:v>
                </c:pt>
                <c:pt idx="5">
                  <c:v>200.7438591882306</c:v>
                </c:pt>
                <c:pt idx="6">
                  <c:v>211.36818599763558</c:v>
                </c:pt>
                <c:pt idx="7">
                  <c:v>216.68034940233807</c:v>
                </c:pt>
                <c:pt idx="8">
                  <c:v>222.81450019703138</c:v>
                </c:pt>
                <c:pt idx="9">
                  <c:v>230.66811440956255</c:v>
                </c:pt>
                <c:pt idx="10">
                  <c:v>240.48443320635749</c:v>
                </c:pt>
                <c:pt idx="11">
                  <c:v>252.0174195455142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D2D-405F-A8AD-2C9096E723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3558816"/>
        <c:axId val="403561112"/>
      </c:lineChart>
      <c:catAx>
        <c:axId val="4035588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403561112"/>
        <c:crosses val="autoZero"/>
        <c:auto val="1"/>
        <c:lblAlgn val="ctr"/>
        <c:lblOffset val="100"/>
        <c:noMultiLvlLbl val="0"/>
      </c:catAx>
      <c:valAx>
        <c:axId val="403561112"/>
        <c:scaling>
          <c:orientation val="minMax"/>
          <c:min val="1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4035588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6118139994405466"/>
          <c:y val="0.70428186060075815"/>
          <c:w val="0.30772034448074942"/>
          <c:h val="0.1660885097696121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onstantia" panose="02030602050306030303" pitchFamily="18" charset="0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2438024574512396E-2"/>
          <c:y val="3.6521914590029257E-2"/>
          <c:w val="0.93172129228542511"/>
          <c:h val="0.92695617081994153"/>
        </c:manualLayout>
      </c:layout>
      <c:lineChart>
        <c:grouping val="standard"/>
        <c:varyColors val="0"/>
        <c:ser>
          <c:idx val="0"/>
          <c:order val="0"/>
          <c:tx>
            <c:strRef>
              <c:f>'G46'!$B$2</c:f>
              <c:strCache>
                <c:ptCount val="1"/>
                <c:pt idx="0">
                  <c:v>2008</c:v>
                </c:pt>
              </c:strCache>
            </c:strRef>
          </c:tx>
          <c:spPr>
            <a:ln w="28575" cap="rnd">
              <a:solidFill>
                <a:srgbClr val="0C7596"/>
              </a:solidFill>
              <a:round/>
            </a:ln>
            <a:effectLst/>
          </c:spPr>
          <c:marker>
            <c:symbol val="none"/>
          </c:marker>
          <c:val>
            <c:numRef>
              <c:f>'G46'!$B$3:$B$22</c:f>
              <c:numCache>
                <c:formatCode>0.00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194-4297-908D-F8334D16E029}"/>
            </c:ext>
          </c:extLst>
        </c:ser>
        <c:ser>
          <c:idx val="1"/>
          <c:order val="1"/>
          <c:tx>
            <c:strRef>
              <c:f>'G46'!$C$2</c:f>
              <c:strCache>
                <c:ptCount val="1"/>
                <c:pt idx="0">
                  <c:v>2009</c:v>
                </c:pt>
              </c:strCache>
            </c:strRef>
          </c:tx>
          <c:spPr>
            <a:ln w="28575" cap="rnd">
              <a:solidFill>
                <a:srgbClr val="0C7596"/>
              </a:solidFill>
              <a:prstDash val="dash"/>
              <a:round/>
            </a:ln>
            <a:effectLst/>
          </c:spPr>
          <c:marker>
            <c:symbol val="none"/>
          </c:marker>
          <c:val>
            <c:numRef>
              <c:f>'G46'!$C$3:$C$22</c:f>
              <c:numCache>
                <c:formatCode>0.00</c:formatCode>
                <c:ptCount val="20"/>
                <c:pt idx="0">
                  <c:v>0</c:v>
                </c:pt>
                <c:pt idx="1">
                  <c:v>-1.8409700000000001E-2</c:v>
                </c:pt>
                <c:pt idx="2">
                  <c:v>-3.1426900000000001E-2</c:v>
                </c:pt>
                <c:pt idx="3">
                  <c:v>-9.72359E-2</c:v>
                </c:pt>
                <c:pt idx="4">
                  <c:v>-0.17411080000000001</c:v>
                </c:pt>
                <c:pt idx="5">
                  <c:v>-0.2077534</c:v>
                </c:pt>
                <c:pt idx="6">
                  <c:v>-0.1821006</c:v>
                </c:pt>
                <c:pt idx="7">
                  <c:v>-0.1557608</c:v>
                </c:pt>
                <c:pt idx="8">
                  <c:v>-0.1610019</c:v>
                </c:pt>
                <c:pt idx="9">
                  <c:v>-0.13224050000000001</c:v>
                </c:pt>
                <c:pt idx="10">
                  <c:v>-0.14333679999999999</c:v>
                </c:pt>
                <c:pt idx="11">
                  <c:v>-0.13972619999999999</c:v>
                </c:pt>
                <c:pt idx="12">
                  <c:v>-0.150703</c:v>
                </c:pt>
                <c:pt idx="13">
                  <c:v>-0.1370063</c:v>
                </c:pt>
                <c:pt idx="14">
                  <c:v>-0.14086679999999999</c:v>
                </c:pt>
                <c:pt idx="15">
                  <c:v>-0.1186533</c:v>
                </c:pt>
                <c:pt idx="16">
                  <c:v>-0.1213984</c:v>
                </c:pt>
                <c:pt idx="17">
                  <c:v>-9.7998600000000005E-2</c:v>
                </c:pt>
                <c:pt idx="18">
                  <c:v>-9.8213200000000001E-2</c:v>
                </c:pt>
                <c:pt idx="19">
                  <c:v>-8.37088E-2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194-4297-908D-F8334D16E029}"/>
            </c:ext>
          </c:extLst>
        </c:ser>
        <c:ser>
          <c:idx val="2"/>
          <c:order val="2"/>
          <c:tx>
            <c:strRef>
              <c:f>'G46'!$D$2</c:f>
              <c:strCache>
                <c:ptCount val="1"/>
                <c:pt idx="0">
                  <c:v>2010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val>
            <c:numRef>
              <c:f>'G46'!$D$3:$D$22</c:f>
              <c:numCache>
                <c:formatCode>0.00</c:formatCode>
                <c:ptCount val="20"/>
                <c:pt idx="0">
                  <c:v>0</c:v>
                </c:pt>
                <c:pt idx="1">
                  <c:v>-2.1548299999999999E-2</c:v>
                </c:pt>
                <c:pt idx="2">
                  <c:v>-3.3168299999999998E-2</c:v>
                </c:pt>
                <c:pt idx="3">
                  <c:v>-0.1026372</c:v>
                </c:pt>
                <c:pt idx="4">
                  <c:v>-0.183781</c:v>
                </c:pt>
                <c:pt idx="5">
                  <c:v>-0.21892059999999999</c:v>
                </c:pt>
                <c:pt idx="6">
                  <c:v>-0.19221450000000001</c:v>
                </c:pt>
                <c:pt idx="7">
                  <c:v>-0.16440560000000001</c:v>
                </c:pt>
                <c:pt idx="8">
                  <c:v>-0.16994429999999999</c:v>
                </c:pt>
                <c:pt idx="9">
                  <c:v>-0.1395807</c:v>
                </c:pt>
                <c:pt idx="10">
                  <c:v>-0.15123410000000001</c:v>
                </c:pt>
                <c:pt idx="11">
                  <c:v>-0.14745949999999999</c:v>
                </c:pt>
                <c:pt idx="12">
                  <c:v>-0.15902140000000001</c:v>
                </c:pt>
                <c:pt idx="13">
                  <c:v>-0.14459230000000001</c:v>
                </c:pt>
                <c:pt idx="14">
                  <c:v>-0.14867449999999999</c:v>
                </c:pt>
                <c:pt idx="15">
                  <c:v>-0.12523129999999999</c:v>
                </c:pt>
                <c:pt idx="16">
                  <c:v>-0.12813569999999999</c:v>
                </c:pt>
                <c:pt idx="17">
                  <c:v>-0.1034307</c:v>
                </c:pt>
                <c:pt idx="18">
                  <c:v>-0.1036501</c:v>
                </c:pt>
                <c:pt idx="19">
                  <c:v>-8.8358900000000004E-2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194-4297-908D-F8334D16E029}"/>
            </c:ext>
          </c:extLst>
        </c:ser>
        <c:ser>
          <c:idx val="3"/>
          <c:order val="3"/>
          <c:tx>
            <c:strRef>
              <c:f>'G46'!$E$2</c:f>
              <c:strCache>
                <c:ptCount val="1"/>
                <c:pt idx="0">
                  <c:v>2011</c:v>
                </c:pt>
              </c:strCache>
            </c:strRef>
          </c:tx>
          <c:spPr>
            <a:ln w="28575" cap="rnd">
              <a:solidFill>
                <a:schemeClr val="tx1"/>
              </a:solidFill>
              <a:prstDash val="dash"/>
              <a:round/>
            </a:ln>
            <a:effectLst/>
          </c:spPr>
          <c:marker>
            <c:symbol val="none"/>
          </c:marker>
          <c:val>
            <c:numRef>
              <c:f>'G46'!$E$3:$E$22</c:f>
              <c:numCache>
                <c:formatCode>0.00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2.1101000000000002E-2</c:v>
                </c:pt>
                <c:pt idx="3">
                  <c:v>6.4777000000000001E-2</c:v>
                </c:pt>
                <c:pt idx="4">
                  <c:v>0.11608980000000001</c:v>
                </c:pt>
                <c:pt idx="5">
                  <c:v>0.14243359999999999</c:v>
                </c:pt>
                <c:pt idx="6">
                  <c:v>0.12139560000000001</c:v>
                </c:pt>
                <c:pt idx="7">
                  <c:v>0.10440770000000001</c:v>
                </c:pt>
                <c:pt idx="8">
                  <c:v>0.10734340000000001</c:v>
                </c:pt>
                <c:pt idx="9">
                  <c:v>8.9188100000000006E-2</c:v>
                </c:pt>
                <c:pt idx="10">
                  <c:v>9.6827499999999997E-2</c:v>
                </c:pt>
                <c:pt idx="11">
                  <c:v>9.57813E-2</c:v>
                </c:pt>
                <c:pt idx="12">
                  <c:v>0.1007762</c:v>
                </c:pt>
                <c:pt idx="13">
                  <c:v>9.1790200000000002E-2</c:v>
                </c:pt>
                <c:pt idx="14">
                  <c:v>9.4322199999999995E-2</c:v>
                </c:pt>
                <c:pt idx="15">
                  <c:v>7.9929399999999998E-2</c:v>
                </c:pt>
                <c:pt idx="16">
                  <c:v>8.13551E-2</c:v>
                </c:pt>
                <c:pt idx="17">
                  <c:v>6.5506900000000007E-2</c:v>
                </c:pt>
                <c:pt idx="18">
                  <c:v>6.5837900000000005E-2</c:v>
                </c:pt>
                <c:pt idx="19">
                  <c:v>5.58062E-2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194-4297-908D-F8334D16E029}"/>
            </c:ext>
          </c:extLst>
        </c:ser>
        <c:ser>
          <c:idx val="4"/>
          <c:order val="4"/>
          <c:tx>
            <c:strRef>
              <c:f>'G46'!$F$2</c:f>
              <c:strCache>
                <c:ptCount val="1"/>
                <c:pt idx="0">
                  <c:v>2012</c:v>
                </c:pt>
              </c:strCache>
            </c:strRef>
          </c:tx>
          <c:spPr>
            <a:ln w="28575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val>
            <c:numRef>
              <c:f>'G46'!$F$3:$F$22</c:f>
              <c:numCache>
                <c:formatCode>0.00</c:formatCode>
                <c:ptCount val="20"/>
                <c:pt idx="0">
                  <c:v>0</c:v>
                </c:pt>
                <c:pt idx="1">
                  <c:v>3.2519300000000001E-2</c:v>
                </c:pt>
                <c:pt idx="2">
                  <c:v>6.2911999999999996E-2</c:v>
                </c:pt>
                <c:pt idx="3">
                  <c:v>0.1191974</c:v>
                </c:pt>
                <c:pt idx="4">
                  <c:v>0.184141</c:v>
                </c:pt>
                <c:pt idx="5">
                  <c:v>0.43721179999999998</c:v>
                </c:pt>
                <c:pt idx="6">
                  <c:v>0.38458500000000001</c:v>
                </c:pt>
                <c:pt idx="7">
                  <c:v>0.3329667</c:v>
                </c:pt>
                <c:pt idx="8">
                  <c:v>0.3426189</c:v>
                </c:pt>
                <c:pt idx="9">
                  <c:v>0.27993269999999998</c:v>
                </c:pt>
                <c:pt idx="10">
                  <c:v>0.30050559999999998</c:v>
                </c:pt>
                <c:pt idx="11">
                  <c:v>0.30607079999999998</c:v>
                </c:pt>
                <c:pt idx="12">
                  <c:v>0.31966020000000001</c:v>
                </c:pt>
                <c:pt idx="13">
                  <c:v>0.2922225</c:v>
                </c:pt>
                <c:pt idx="14">
                  <c:v>0.29256009999999999</c:v>
                </c:pt>
                <c:pt idx="15">
                  <c:v>0.25401020000000002</c:v>
                </c:pt>
                <c:pt idx="16">
                  <c:v>0.25642300000000001</c:v>
                </c:pt>
                <c:pt idx="17">
                  <c:v>0.21056649999999999</c:v>
                </c:pt>
                <c:pt idx="18">
                  <c:v>0.21701529999999999</c:v>
                </c:pt>
                <c:pt idx="19">
                  <c:v>0.18110560000000001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194-4297-908D-F8334D16E029}"/>
            </c:ext>
          </c:extLst>
        </c:ser>
        <c:ser>
          <c:idx val="5"/>
          <c:order val="5"/>
          <c:tx>
            <c:strRef>
              <c:f>'G46'!$G$2</c:f>
              <c:strCache>
                <c:ptCount val="1"/>
                <c:pt idx="0">
                  <c:v>2013</c:v>
                </c:pt>
              </c:strCache>
            </c:strRef>
          </c:tx>
          <c:spPr>
            <a:ln w="28575" cap="rnd">
              <a:solidFill>
                <a:srgbClr val="0070C0"/>
              </a:solidFill>
              <a:prstDash val="dash"/>
              <a:round/>
            </a:ln>
            <a:effectLst/>
          </c:spPr>
          <c:marker>
            <c:symbol val="none"/>
          </c:marker>
          <c:val>
            <c:numRef>
              <c:f>'G46'!$G$3:$G$22</c:f>
              <c:numCache>
                <c:formatCode>0.00</c:formatCode>
                <c:ptCount val="20"/>
                <c:pt idx="0">
                  <c:v>0</c:v>
                </c:pt>
                <c:pt idx="1">
                  <c:v>1.3225600000000001E-2</c:v>
                </c:pt>
                <c:pt idx="2">
                  <c:v>5.6786999999999997E-2</c:v>
                </c:pt>
                <c:pt idx="3">
                  <c:v>0.1153381</c:v>
                </c:pt>
                <c:pt idx="4">
                  <c:v>0.1824935</c:v>
                </c:pt>
                <c:pt idx="5">
                  <c:v>0.39363500000000001</c:v>
                </c:pt>
                <c:pt idx="6">
                  <c:v>0.34600560000000002</c:v>
                </c:pt>
                <c:pt idx="7">
                  <c:v>0.29896349999999999</c:v>
                </c:pt>
                <c:pt idx="8">
                  <c:v>0.30769659999999999</c:v>
                </c:pt>
                <c:pt idx="9">
                  <c:v>0.25213069999999999</c:v>
                </c:pt>
                <c:pt idx="10">
                  <c:v>0.27080680000000001</c:v>
                </c:pt>
                <c:pt idx="11">
                  <c:v>0.2751555</c:v>
                </c:pt>
                <c:pt idx="12">
                  <c:v>0.28763100000000003</c:v>
                </c:pt>
                <c:pt idx="13">
                  <c:v>0.26256610000000002</c:v>
                </c:pt>
                <c:pt idx="14">
                  <c:v>0.26380110000000001</c:v>
                </c:pt>
                <c:pt idx="15">
                  <c:v>0.22793869999999999</c:v>
                </c:pt>
                <c:pt idx="16">
                  <c:v>0.23080680000000001</c:v>
                </c:pt>
                <c:pt idx="17">
                  <c:v>0.1891832</c:v>
                </c:pt>
                <c:pt idx="18">
                  <c:v>0.19457340000000001</c:v>
                </c:pt>
                <c:pt idx="19">
                  <c:v>0.16252800000000001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194-4297-908D-F8334D16E029}"/>
            </c:ext>
          </c:extLst>
        </c:ser>
        <c:ser>
          <c:idx val="6"/>
          <c:order val="6"/>
          <c:tx>
            <c:strRef>
              <c:f>'G46'!$H$2</c:f>
              <c:strCache>
                <c:ptCount val="1"/>
                <c:pt idx="0">
                  <c:v>2014</c:v>
                </c:pt>
              </c:strCache>
            </c:strRef>
          </c:tx>
          <c:spPr>
            <a:ln w="28575" cap="rnd">
              <a:solidFill>
                <a:schemeClr val="tx1">
                  <a:lumMod val="65000"/>
                  <a:lumOff val="35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'G46'!$H$3:$H$22</c:f>
              <c:numCache>
                <c:formatCode>0.00</c:formatCode>
                <c:ptCount val="20"/>
                <c:pt idx="0">
                  <c:v>0</c:v>
                </c:pt>
                <c:pt idx="1">
                  <c:v>0.27428910000000001</c:v>
                </c:pt>
                <c:pt idx="2">
                  <c:v>9.67774E-2</c:v>
                </c:pt>
                <c:pt idx="3">
                  <c:v>0.15007119999999999</c:v>
                </c:pt>
                <c:pt idx="4">
                  <c:v>0.22227669999999999</c:v>
                </c:pt>
                <c:pt idx="5">
                  <c:v>0.78782399999999997</c:v>
                </c:pt>
                <c:pt idx="6">
                  <c:v>0.69352130000000001</c:v>
                </c:pt>
                <c:pt idx="7">
                  <c:v>0.60630629999999996</c:v>
                </c:pt>
                <c:pt idx="8">
                  <c:v>0.6235368</c:v>
                </c:pt>
                <c:pt idx="9">
                  <c:v>0.50234820000000002</c:v>
                </c:pt>
                <c:pt idx="10">
                  <c:v>0.54620310000000005</c:v>
                </c:pt>
                <c:pt idx="11">
                  <c:v>0.55393510000000001</c:v>
                </c:pt>
                <c:pt idx="12">
                  <c:v>0.57629300000000006</c:v>
                </c:pt>
                <c:pt idx="13">
                  <c:v>0.52967690000000001</c:v>
                </c:pt>
                <c:pt idx="14">
                  <c:v>0.52348799999999995</c:v>
                </c:pt>
                <c:pt idx="15">
                  <c:v>0.4635725</c:v>
                </c:pt>
                <c:pt idx="16">
                  <c:v>0.45942309999999997</c:v>
                </c:pt>
                <c:pt idx="17">
                  <c:v>0.38163380000000002</c:v>
                </c:pt>
                <c:pt idx="18">
                  <c:v>0.39657690000000001</c:v>
                </c:pt>
                <c:pt idx="19">
                  <c:v>0.33070179999999999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194-4297-908D-F8334D16E029}"/>
            </c:ext>
          </c:extLst>
        </c:ser>
        <c:ser>
          <c:idx val="7"/>
          <c:order val="7"/>
          <c:tx>
            <c:strRef>
              <c:f>'G46'!$I$2</c:f>
              <c:strCache>
                <c:ptCount val="1"/>
                <c:pt idx="0">
                  <c:v>2015</c:v>
                </c:pt>
              </c:strCache>
            </c:strRef>
          </c:tx>
          <c:spPr>
            <a:ln w="28575" cap="rnd">
              <a:solidFill>
                <a:schemeClr val="tx1">
                  <a:lumMod val="65000"/>
                  <a:lumOff val="35000"/>
                </a:schemeClr>
              </a:solidFill>
              <a:prstDash val="dash"/>
              <a:round/>
            </a:ln>
            <a:effectLst/>
          </c:spPr>
          <c:marker>
            <c:symbol val="none"/>
          </c:marker>
          <c:val>
            <c:numRef>
              <c:f>'G46'!$I$3:$I$22</c:f>
              <c:numCache>
                <c:formatCode>0.00</c:formatCode>
                <c:ptCount val="20"/>
                <c:pt idx="0">
                  <c:v>0</c:v>
                </c:pt>
                <c:pt idx="1">
                  <c:v>0.31943890000000003</c:v>
                </c:pt>
                <c:pt idx="2">
                  <c:v>0.1081886</c:v>
                </c:pt>
                <c:pt idx="3">
                  <c:v>0.17515620000000001</c:v>
                </c:pt>
                <c:pt idx="4">
                  <c:v>0.28210259999999998</c:v>
                </c:pt>
                <c:pt idx="5">
                  <c:v>1.0751809999999999</c:v>
                </c:pt>
                <c:pt idx="6">
                  <c:v>0.94473929999999995</c:v>
                </c:pt>
                <c:pt idx="7">
                  <c:v>0.83489080000000004</c:v>
                </c:pt>
                <c:pt idx="8">
                  <c:v>0.85205200000000003</c:v>
                </c:pt>
                <c:pt idx="9">
                  <c:v>0.68321589999999999</c:v>
                </c:pt>
                <c:pt idx="10">
                  <c:v>0.75647880000000001</c:v>
                </c:pt>
                <c:pt idx="11">
                  <c:v>0.75538590000000005</c:v>
                </c:pt>
                <c:pt idx="12">
                  <c:v>0.78558729999999999</c:v>
                </c:pt>
                <c:pt idx="13">
                  <c:v>0.72456500000000001</c:v>
                </c:pt>
                <c:pt idx="14">
                  <c:v>0.712225</c:v>
                </c:pt>
                <c:pt idx="15">
                  <c:v>0.63467119999999999</c:v>
                </c:pt>
                <c:pt idx="16">
                  <c:v>0.62464330000000001</c:v>
                </c:pt>
                <c:pt idx="17">
                  <c:v>0.5206556</c:v>
                </c:pt>
                <c:pt idx="18">
                  <c:v>0.54493429999999998</c:v>
                </c:pt>
                <c:pt idx="19">
                  <c:v>0.4525499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5194-4297-908D-F8334D16E029}"/>
            </c:ext>
          </c:extLst>
        </c:ser>
        <c:ser>
          <c:idx val="8"/>
          <c:order val="8"/>
          <c:tx>
            <c:strRef>
              <c:f>'G46'!$J$2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rgbClr val="13B5EA"/>
              </a:solidFill>
              <a:round/>
            </a:ln>
            <a:effectLst/>
          </c:spPr>
          <c:marker>
            <c:symbol val="none"/>
          </c:marker>
          <c:val>
            <c:numRef>
              <c:f>'G46'!$J$3:$J$22</c:f>
              <c:numCache>
                <c:formatCode>0.00</c:formatCode>
                <c:ptCount val="20"/>
                <c:pt idx="0">
                  <c:v>0</c:v>
                </c:pt>
                <c:pt idx="1">
                  <c:v>0.36443039999999999</c:v>
                </c:pt>
                <c:pt idx="2">
                  <c:v>0.11551</c:v>
                </c:pt>
                <c:pt idx="3">
                  <c:v>0.20210130000000001</c:v>
                </c:pt>
                <c:pt idx="4">
                  <c:v>0.35741659999999997</c:v>
                </c:pt>
                <c:pt idx="5">
                  <c:v>1.388919</c:v>
                </c:pt>
                <c:pt idx="6">
                  <c:v>1.21574</c:v>
                </c:pt>
                <c:pt idx="7">
                  <c:v>1.1010249999999999</c:v>
                </c:pt>
                <c:pt idx="8">
                  <c:v>1.09815</c:v>
                </c:pt>
                <c:pt idx="9">
                  <c:v>0.88162830000000003</c:v>
                </c:pt>
                <c:pt idx="10">
                  <c:v>0.98532770000000003</c:v>
                </c:pt>
                <c:pt idx="11">
                  <c:v>0.97228190000000003</c:v>
                </c:pt>
                <c:pt idx="12">
                  <c:v>1.0110380000000001</c:v>
                </c:pt>
                <c:pt idx="13">
                  <c:v>0.93615289999999995</c:v>
                </c:pt>
                <c:pt idx="14">
                  <c:v>0.91679809999999995</c:v>
                </c:pt>
                <c:pt idx="15">
                  <c:v>0.81934739999999995</c:v>
                </c:pt>
                <c:pt idx="16">
                  <c:v>0.80477810000000005</c:v>
                </c:pt>
                <c:pt idx="17">
                  <c:v>0.6707497</c:v>
                </c:pt>
                <c:pt idx="18">
                  <c:v>0.70840840000000005</c:v>
                </c:pt>
                <c:pt idx="19">
                  <c:v>0.5849934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194-4297-908D-F8334D16E029}"/>
            </c:ext>
          </c:extLst>
        </c:ser>
        <c:ser>
          <c:idx val="9"/>
          <c:order val="9"/>
          <c:tx>
            <c:strRef>
              <c:f>'G46'!$K$2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rgbClr val="13B5EA"/>
              </a:solidFill>
              <a:prstDash val="dash"/>
              <a:round/>
            </a:ln>
            <a:effectLst/>
          </c:spPr>
          <c:marker>
            <c:symbol val="none"/>
          </c:marker>
          <c:val>
            <c:numRef>
              <c:f>'G46'!$K$3:$K$22</c:f>
              <c:numCache>
                <c:formatCode>0.00</c:formatCode>
                <c:ptCount val="20"/>
                <c:pt idx="0">
                  <c:v>0</c:v>
                </c:pt>
                <c:pt idx="1">
                  <c:v>0.41922470000000001</c:v>
                </c:pt>
                <c:pt idx="2">
                  <c:v>-0.12529370000000001</c:v>
                </c:pt>
                <c:pt idx="3">
                  <c:v>0.97453860000000003</c:v>
                </c:pt>
                <c:pt idx="4">
                  <c:v>0.44999060000000002</c:v>
                </c:pt>
                <c:pt idx="5">
                  <c:v>2.094989</c:v>
                </c:pt>
                <c:pt idx="6">
                  <c:v>1.475711</c:v>
                </c:pt>
                <c:pt idx="7">
                  <c:v>1.3234490000000001</c:v>
                </c:pt>
                <c:pt idx="8">
                  <c:v>1.1717150000000001</c:v>
                </c:pt>
                <c:pt idx="9">
                  <c:v>1.017223</c:v>
                </c:pt>
                <c:pt idx="10">
                  <c:v>1.1580010000000001</c:v>
                </c:pt>
                <c:pt idx="11">
                  <c:v>1.1716869999999999</c:v>
                </c:pt>
                <c:pt idx="12">
                  <c:v>1.0074810000000001</c:v>
                </c:pt>
                <c:pt idx="13">
                  <c:v>0.99494360000000004</c:v>
                </c:pt>
                <c:pt idx="14">
                  <c:v>1.012481</c:v>
                </c:pt>
                <c:pt idx="15">
                  <c:v>0.92918489999999998</c:v>
                </c:pt>
                <c:pt idx="16">
                  <c:v>0.94677069999999997</c:v>
                </c:pt>
                <c:pt idx="17">
                  <c:v>0.6562557</c:v>
                </c:pt>
                <c:pt idx="18">
                  <c:v>0.70336529999999997</c:v>
                </c:pt>
                <c:pt idx="19">
                  <c:v>0.44996639999999999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5194-4297-908D-F8334D16E029}"/>
            </c:ext>
          </c:extLst>
        </c:ser>
        <c:ser>
          <c:idx val="10"/>
          <c:order val="10"/>
          <c:tx>
            <c:strRef>
              <c:f>'G46'!$L$2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bg1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'G46'!$L$3:$L$22</c:f>
              <c:numCache>
                <c:formatCode>0.00</c:formatCode>
                <c:ptCount val="20"/>
                <c:pt idx="0">
                  <c:v>0</c:v>
                </c:pt>
                <c:pt idx="1">
                  <c:v>0.60028360000000003</c:v>
                </c:pt>
                <c:pt idx="2">
                  <c:v>-0.1080303</c:v>
                </c:pt>
                <c:pt idx="3">
                  <c:v>0.99286160000000001</c:v>
                </c:pt>
                <c:pt idx="4">
                  <c:v>0.53831949999999995</c:v>
                </c:pt>
                <c:pt idx="5">
                  <c:v>2.3823699999999999</c:v>
                </c:pt>
                <c:pt idx="6">
                  <c:v>1.739047</c:v>
                </c:pt>
                <c:pt idx="7">
                  <c:v>1.5803799999999999</c:v>
                </c:pt>
                <c:pt idx="8">
                  <c:v>1.394215</c:v>
                </c:pt>
                <c:pt idx="9">
                  <c:v>1.242944</c:v>
                </c:pt>
                <c:pt idx="10">
                  <c:v>1.380755</c:v>
                </c:pt>
                <c:pt idx="11">
                  <c:v>1.380762</c:v>
                </c:pt>
                <c:pt idx="12">
                  <c:v>1.2230019999999999</c:v>
                </c:pt>
                <c:pt idx="13">
                  <c:v>1.190763</c:v>
                </c:pt>
                <c:pt idx="14">
                  <c:v>1.2070129999999999</c:v>
                </c:pt>
                <c:pt idx="15">
                  <c:v>1.1054949999999999</c:v>
                </c:pt>
                <c:pt idx="16">
                  <c:v>1.120941</c:v>
                </c:pt>
                <c:pt idx="17">
                  <c:v>0.80128569999999999</c:v>
                </c:pt>
                <c:pt idx="18">
                  <c:v>0.86306099999999997</c:v>
                </c:pt>
                <c:pt idx="19">
                  <c:v>0.57998850000000002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194-4297-908D-F8334D16E029}"/>
            </c:ext>
          </c:extLst>
        </c:ser>
        <c:ser>
          <c:idx val="11"/>
          <c:order val="11"/>
          <c:tx>
            <c:strRef>
              <c:f>'G46'!$M$2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bg1">
                  <a:lumMod val="75000"/>
                </a:schemeClr>
              </a:solidFill>
              <a:prstDash val="dash"/>
              <a:round/>
            </a:ln>
            <a:effectLst/>
          </c:spPr>
          <c:marker>
            <c:symbol val="none"/>
          </c:marker>
          <c:val>
            <c:numRef>
              <c:f>'G46'!$M$3:$M$22</c:f>
              <c:numCache>
                <c:formatCode>0.00</c:formatCode>
                <c:ptCount val="20"/>
                <c:pt idx="0">
                  <c:v>0</c:v>
                </c:pt>
                <c:pt idx="1">
                  <c:v>0.64354420000000001</c:v>
                </c:pt>
                <c:pt idx="2">
                  <c:v>-8.9199500000000001E-2</c:v>
                </c:pt>
                <c:pt idx="3">
                  <c:v>1.0020979999999999</c:v>
                </c:pt>
                <c:pt idx="4">
                  <c:v>0.64126320000000003</c:v>
                </c:pt>
                <c:pt idx="5">
                  <c:v>2.6803919999999999</c:v>
                </c:pt>
                <c:pt idx="6">
                  <c:v>2.0188990000000002</c:v>
                </c:pt>
                <c:pt idx="7">
                  <c:v>1.8438330000000001</c:v>
                </c:pt>
                <c:pt idx="8">
                  <c:v>1.6259589999999999</c:v>
                </c:pt>
                <c:pt idx="9">
                  <c:v>1.4844459999999999</c:v>
                </c:pt>
                <c:pt idx="10">
                  <c:v>1.6124419999999999</c:v>
                </c:pt>
                <c:pt idx="11">
                  <c:v>1.5975809999999999</c:v>
                </c:pt>
                <c:pt idx="12">
                  <c:v>1.4471020000000001</c:v>
                </c:pt>
                <c:pt idx="13">
                  <c:v>1.3974260000000001</c:v>
                </c:pt>
                <c:pt idx="14">
                  <c:v>1.4121999999999999</c:v>
                </c:pt>
                <c:pt idx="15">
                  <c:v>1.2892060000000001</c:v>
                </c:pt>
                <c:pt idx="16">
                  <c:v>1.3025979999999999</c:v>
                </c:pt>
                <c:pt idx="17">
                  <c:v>0.9544144</c:v>
                </c:pt>
                <c:pt idx="18">
                  <c:v>1.0293680000000001</c:v>
                </c:pt>
                <c:pt idx="19">
                  <c:v>0.71635819999999995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5194-4297-908D-F8334D16E0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32477784"/>
        <c:axId val="432475488"/>
      </c:lineChart>
      <c:catAx>
        <c:axId val="43247778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432475488"/>
        <c:crosses val="autoZero"/>
        <c:auto val="1"/>
        <c:lblAlgn val="ctr"/>
        <c:lblOffset val="100"/>
        <c:noMultiLvlLbl val="0"/>
      </c:catAx>
      <c:valAx>
        <c:axId val="4324754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432477784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legend>
      <c:legendPos val="tr"/>
      <c:layout>
        <c:manualLayout>
          <c:xMode val="edge"/>
          <c:yMode val="edge"/>
          <c:x val="0.64174711010434771"/>
          <c:y val="6.4064879199710503E-2"/>
          <c:w val="0.32175430515156411"/>
          <c:h val="0.20596422253856594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onstantia" panose="02030602050306030303" pitchFamily="18" charset="0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69410315737869"/>
          <c:y val="6.0194659754894131E-2"/>
          <c:w val="0.85930586694886379"/>
          <c:h val="0.84517056272802082"/>
        </c:manualLayout>
      </c:layout>
      <c:lineChart>
        <c:grouping val="standard"/>
        <c:varyColors val="0"/>
        <c:ser>
          <c:idx val="0"/>
          <c:order val="0"/>
          <c:tx>
            <c:strRef>
              <c:f>'G47,G48'!$B$1</c:f>
              <c:strCache>
                <c:ptCount val="1"/>
                <c:pt idx="0">
                  <c:v>Daňový klin na úrovni domácností (v %)</c:v>
                </c:pt>
              </c:strCache>
            </c:strRef>
          </c:tx>
          <c:spPr>
            <a:ln w="28575" cap="rnd">
              <a:solidFill>
                <a:srgbClr val="13B5EA"/>
              </a:solidFill>
              <a:round/>
            </a:ln>
            <a:effectLst/>
          </c:spPr>
          <c:marker>
            <c:symbol val="none"/>
          </c:marker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Constantia" panose="02030602050306030303" pitchFamily="18" charset="0"/>
                    <a:ea typeface="+mn-ea"/>
                    <a:cs typeface="+mn-cs"/>
                  </a:defRPr>
                </a:pPr>
                <a:endParaRPr lang="sk-SK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'G47,G48'!$A$2:$A$13</c:f>
              <c:numCache>
                <c:formatCode>General</c:formatCode>
                <c:ptCount val="12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</c:numCache>
            </c:numRef>
          </c:cat>
          <c:val>
            <c:numRef>
              <c:f>'G47,G48'!$B$2:$B$13</c:f>
              <c:numCache>
                <c:formatCode>0.00</c:formatCode>
                <c:ptCount val="12"/>
                <c:pt idx="0">
                  <c:v>35.14087</c:v>
                </c:pt>
                <c:pt idx="1">
                  <c:v>33.548580000000001</c:v>
                </c:pt>
                <c:pt idx="2">
                  <c:v>32.988700000000001</c:v>
                </c:pt>
                <c:pt idx="3">
                  <c:v>34.764539999999997</c:v>
                </c:pt>
                <c:pt idx="4">
                  <c:v>34.88579</c:v>
                </c:pt>
                <c:pt idx="5">
                  <c:v>36.541679999999999</c:v>
                </c:pt>
                <c:pt idx="6">
                  <c:v>36.744950000000003</c:v>
                </c:pt>
                <c:pt idx="7">
                  <c:v>35.855699999999999</c:v>
                </c:pt>
                <c:pt idx="8">
                  <c:v>35.984110000000001</c:v>
                </c:pt>
                <c:pt idx="9">
                  <c:v>35.880989999999997</c:v>
                </c:pt>
                <c:pt idx="10">
                  <c:v>36.008719999999997</c:v>
                </c:pt>
                <c:pt idx="11">
                  <c:v>36.135820000000002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907-4457-9B07-F92A0909BF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3558816"/>
        <c:axId val="403561112"/>
      </c:lineChart>
      <c:catAx>
        <c:axId val="403558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403561112"/>
        <c:crosses val="autoZero"/>
        <c:auto val="1"/>
        <c:lblAlgn val="ctr"/>
        <c:lblOffset val="100"/>
        <c:noMultiLvlLbl val="0"/>
      </c:catAx>
      <c:valAx>
        <c:axId val="403561112"/>
        <c:scaling>
          <c:orientation val="minMax"/>
          <c:min val="3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k-SK" sz="900">
                    <a:latin typeface="Constantia" panose="02030602050306030303" pitchFamily="18" charset="0"/>
                  </a:rPr>
                  <a:t>Daňový</a:t>
                </a:r>
                <a:r>
                  <a:rPr lang="sk-SK" sz="900" baseline="0">
                    <a:latin typeface="Constantia" panose="02030602050306030303" pitchFamily="18" charset="0"/>
                  </a:rPr>
                  <a:t> klin v </a:t>
                </a:r>
                <a:r>
                  <a:rPr lang="en-US" sz="900" baseline="0">
                    <a:latin typeface="Constantia" panose="02030602050306030303" pitchFamily="18" charset="0"/>
                  </a:rPr>
                  <a:t>%</a:t>
                </a:r>
                <a:endParaRPr lang="sk-SK" sz="900">
                  <a:latin typeface="Constantia" panose="02030602050306030303" pitchFamily="18" charset="0"/>
                </a:endParaRPr>
              </a:p>
            </c:rich>
          </c:tx>
          <c:layout>
            <c:manualLayout>
              <c:xMode val="edge"/>
              <c:yMode val="edge"/>
              <c:x val="4.194692064403119E-4"/>
              <c:y val="0.2968594019351325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403558816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69410315737869"/>
          <c:y val="6.0194659754894131E-2"/>
          <c:w val="0.85930586694886379"/>
          <c:h val="0.84517056272802082"/>
        </c:manualLayout>
      </c:layout>
      <c:lineChart>
        <c:grouping val="standard"/>
        <c:varyColors val="0"/>
        <c:ser>
          <c:idx val="0"/>
          <c:order val="0"/>
          <c:tx>
            <c:strRef>
              <c:f>'G47,G48'!$C$1</c:f>
              <c:strCache>
                <c:ptCount val="1"/>
                <c:pt idx="0">
                  <c:v>Efektívna daňová sadzba na úrovni domácností (v %)</c:v>
                </c:pt>
              </c:strCache>
            </c:strRef>
          </c:tx>
          <c:spPr>
            <a:ln w="28575" cap="rnd">
              <a:solidFill>
                <a:srgbClr val="13B5EA"/>
              </a:solidFill>
              <a:round/>
            </a:ln>
            <a:effectLst/>
          </c:spPr>
          <c:marker>
            <c:symbol val="none"/>
          </c:marker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Constantia" panose="02030602050306030303" pitchFamily="18" charset="0"/>
                    <a:ea typeface="+mn-ea"/>
                    <a:cs typeface="+mn-cs"/>
                  </a:defRPr>
                </a:pPr>
                <a:endParaRPr lang="sk-SK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'G47,G48'!$A$2:$A$13</c:f>
              <c:numCache>
                <c:formatCode>General</c:formatCode>
                <c:ptCount val="12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</c:numCache>
            </c:numRef>
          </c:cat>
          <c:val>
            <c:numRef>
              <c:f>'G47,G48'!$C$2:$C$13</c:f>
              <c:numCache>
                <c:formatCode>0.00</c:formatCode>
                <c:ptCount val="12"/>
                <c:pt idx="0">
                  <c:v>4.8560379999999999</c:v>
                </c:pt>
                <c:pt idx="1">
                  <c:v>2.976969</c:v>
                </c:pt>
                <c:pt idx="2">
                  <c:v>3.302486</c:v>
                </c:pt>
                <c:pt idx="3">
                  <c:v>5.7771650000000001</c:v>
                </c:pt>
                <c:pt idx="4">
                  <c:v>5.9378409999999997</c:v>
                </c:pt>
                <c:pt idx="5">
                  <c:v>6.3096690000000004</c:v>
                </c:pt>
                <c:pt idx="6">
                  <c:v>6.4869349999999999</c:v>
                </c:pt>
                <c:pt idx="7">
                  <c:v>6.6861230000000003</c:v>
                </c:pt>
                <c:pt idx="8">
                  <c:v>6.8536169999999998</c:v>
                </c:pt>
                <c:pt idx="9">
                  <c:v>6.9137300000000002</c:v>
                </c:pt>
                <c:pt idx="10">
                  <c:v>7.0807799999999999</c:v>
                </c:pt>
                <c:pt idx="11">
                  <c:v>7.2476770000000004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47A-403E-8B86-6CB914028D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3558816"/>
        <c:axId val="403561112"/>
      </c:lineChart>
      <c:catAx>
        <c:axId val="403558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403561112"/>
        <c:crosses val="autoZero"/>
        <c:auto val="1"/>
        <c:lblAlgn val="ctr"/>
        <c:lblOffset val="100"/>
        <c:noMultiLvlLbl val="0"/>
      </c:catAx>
      <c:valAx>
        <c:axId val="403561112"/>
        <c:scaling>
          <c:orientation val="minMax"/>
          <c:min val="2.9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onstantia" panose="02030602050306030303" pitchFamily="18" charset="0"/>
                    <a:ea typeface="+mn-ea"/>
                    <a:cs typeface="+mn-cs"/>
                  </a:defRPr>
                </a:pPr>
                <a:r>
                  <a:rPr lang="sk-SK" sz="900"/>
                  <a:t>Daňová sadzba v </a:t>
                </a:r>
                <a:r>
                  <a:rPr lang="en-US" sz="900"/>
                  <a:t>%</a:t>
                </a:r>
                <a:endParaRPr lang="sk-SK" sz="900"/>
              </a:p>
            </c:rich>
          </c:tx>
          <c:layout>
            <c:manualLayout>
              <c:xMode val="edge"/>
              <c:yMode val="edge"/>
              <c:x val="4.194692064403119E-4"/>
              <c:y val="0.2968594019351325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onstantia" panose="02030602050306030303" pitchFamily="18" charset="0"/>
                  <a:ea typeface="+mn-ea"/>
                  <a:cs typeface="+mn-cs"/>
                </a:defRPr>
              </a:pPr>
              <a:endParaRPr lang="sk-SK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403558816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Constantia" panose="02030602050306030303" pitchFamily="18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790224335165649E-2"/>
          <c:y val="0.1553994750656168"/>
          <c:w val="0.90742361214282174"/>
          <c:h val="0.81530708661417328"/>
        </c:manualLayout>
      </c:layout>
      <c:lineChart>
        <c:grouping val="standard"/>
        <c:varyColors val="0"/>
        <c:ser>
          <c:idx val="0"/>
          <c:order val="0"/>
          <c:tx>
            <c:strRef>
              <c:f>'G05'!$A$2</c:f>
              <c:strCache>
                <c:ptCount val="1"/>
                <c:pt idx="0">
                  <c:v>NRVS 2017-2019</c:v>
                </c:pt>
              </c:strCache>
            </c:strRef>
          </c:tx>
          <c:spPr>
            <a:ln w="28575" cap="rnd">
              <a:solidFill>
                <a:srgbClr val="13B5EA"/>
              </a:solidFill>
              <a:round/>
            </a:ln>
            <a:effectLst/>
          </c:spPr>
          <c:marker>
            <c:symbol val="none"/>
          </c:marker>
          <c:cat>
            <c:strRef>
              <c:f>'G05'!$B$1:$E$1</c:f>
              <c:strCache>
                <c:ptCount val="4"/>
                <c:pt idx="0">
                  <c:v>2016O</c:v>
                </c:pt>
                <c:pt idx="1">
                  <c:v>2017N</c:v>
                </c:pt>
                <c:pt idx="2">
                  <c:v>2018N</c:v>
                </c:pt>
                <c:pt idx="3">
                  <c:v>2019N</c:v>
                </c:pt>
              </c:strCache>
            </c:strRef>
          </c:cat>
          <c:val>
            <c:numRef>
              <c:f>'G05'!$B$2:$E$2</c:f>
              <c:numCache>
                <c:formatCode>0.00</c:formatCode>
                <c:ptCount val="4"/>
                <c:pt idx="0">
                  <c:v>-1.970000324279477</c:v>
                </c:pt>
                <c:pt idx="1">
                  <c:v>-1.2900001435861554</c:v>
                </c:pt>
                <c:pt idx="2">
                  <c:v>-0.44000038092531923</c:v>
                </c:pt>
                <c:pt idx="3">
                  <c:v>0.15999958902343536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D02-409C-88A8-85D4C48141EC}"/>
            </c:ext>
          </c:extLst>
        </c:ser>
        <c:ser>
          <c:idx val="3"/>
          <c:order val="1"/>
          <c:tx>
            <c:strRef>
              <c:f>'G05'!$A$3</c:f>
              <c:strCache>
                <c:ptCount val="1"/>
                <c:pt idx="0">
                  <c:v>NPC (MF SR)</c:v>
                </c:pt>
              </c:strCache>
            </c:strRef>
          </c:tx>
          <c:spPr>
            <a:ln w="28575" cap="rnd">
              <a:solidFill>
                <a:srgbClr val="58595B"/>
              </a:solidFill>
              <a:round/>
            </a:ln>
            <a:effectLst/>
          </c:spPr>
          <c:marker>
            <c:symbol val="none"/>
          </c:marker>
          <c:cat>
            <c:strRef>
              <c:f>'G05'!$B$1:$E$1</c:f>
              <c:strCache>
                <c:ptCount val="4"/>
                <c:pt idx="0">
                  <c:v>2016O</c:v>
                </c:pt>
                <c:pt idx="1">
                  <c:v>2017N</c:v>
                </c:pt>
                <c:pt idx="2">
                  <c:v>2018N</c:v>
                </c:pt>
                <c:pt idx="3">
                  <c:v>2019N</c:v>
                </c:pt>
              </c:strCache>
            </c:strRef>
          </c:cat>
          <c:val>
            <c:numRef>
              <c:f>'G05'!$B$3:$E$3</c:f>
              <c:numCache>
                <c:formatCode>0.00</c:formatCode>
                <c:ptCount val="4"/>
                <c:pt idx="0">
                  <c:v>-1.970000324279477</c:v>
                </c:pt>
                <c:pt idx="1">
                  <c:v>-0.29151688756182637</c:v>
                </c:pt>
                <c:pt idx="2">
                  <c:v>-3.8575999794169036E-2</c:v>
                </c:pt>
                <c:pt idx="3">
                  <c:v>0.54673941228606537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D02-409C-88A8-85D4C48141EC}"/>
            </c:ext>
          </c:extLst>
        </c:ser>
        <c:ser>
          <c:idx val="2"/>
          <c:order val="2"/>
          <c:tx>
            <c:strRef>
              <c:f>'G05'!$A$4</c:f>
              <c:strCache>
                <c:ptCount val="1"/>
                <c:pt idx="0">
                  <c:v>NPC (daňové opatrenia)</c:v>
                </c:pt>
              </c:strCache>
            </c:strRef>
          </c:tx>
          <c:spPr>
            <a:ln w="28575" cap="rnd">
              <a:solidFill>
                <a:srgbClr val="DCB47B"/>
              </a:solidFill>
              <a:round/>
            </a:ln>
            <a:effectLst/>
          </c:spPr>
          <c:marker>
            <c:symbol val="none"/>
          </c:marker>
          <c:cat>
            <c:strRef>
              <c:f>'G05'!$B$1:$E$1</c:f>
              <c:strCache>
                <c:ptCount val="4"/>
                <c:pt idx="0">
                  <c:v>2016O</c:v>
                </c:pt>
                <c:pt idx="1">
                  <c:v>2017N</c:v>
                </c:pt>
                <c:pt idx="2">
                  <c:v>2018N</c:v>
                </c:pt>
                <c:pt idx="3">
                  <c:v>2019N</c:v>
                </c:pt>
              </c:strCache>
            </c:strRef>
          </c:cat>
          <c:val>
            <c:numRef>
              <c:f>'G05'!$B$4:$E$4</c:f>
              <c:numCache>
                <c:formatCode>0.00</c:formatCode>
                <c:ptCount val="4"/>
                <c:pt idx="0">
                  <c:v>-1.970000324279477</c:v>
                </c:pt>
                <c:pt idx="1">
                  <c:v>-3.599946806646076E-2</c:v>
                </c:pt>
                <c:pt idx="2">
                  <c:v>0.27788176159705991</c:v>
                </c:pt>
                <c:pt idx="3">
                  <c:v>0.83208025241243266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D02-409C-88A8-85D4C48141EC}"/>
            </c:ext>
          </c:extLst>
        </c:ser>
        <c:ser>
          <c:idx val="1"/>
          <c:order val="3"/>
          <c:tx>
            <c:strRef>
              <c:f>'G05'!$A$5</c:f>
              <c:strCache>
                <c:ptCount val="1"/>
                <c:pt idx="0">
                  <c:v>NPC (nedaňové opatrenia)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'G05'!$B$1:$E$1</c:f>
              <c:strCache>
                <c:ptCount val="4"/>
                <c:pt idx="0">
                  <c:v>2016O</c:v>
                </c:pt>
                <c:pt idx="1">
                  <c:v>2017N</c:v>
                </c:pt>
                <c:pt idx="2">
                  <c:v>2018N</c:v>
                </c:pt>
                <c:pt idx="3">
                  <c:v>2019N</c:v>
                </c:pt>
              </c:strCache>
            </c:strRef>
          </c:cat>
          <c:val>
            <c:numRef>
              <c:f>'G05'!$B$5:$E$5</c:f>
              <c:numCache>
                <c:formatCode>0.00</c:formatCode>
                <c:ptCount val="4"/>
                <c:pt idx="0">
                  <c:v>-1.970000324279477</c:v>
                </c:pt>
                <c:pt idx="1">
                  <c:v>-9.6638609210759924E-2</c:v>
                </c:pt>
                <c:pt idx="2">
                  <c:v>7.8708687296972696E-2</c:v>
                </c:pt>
                <c:pt idx="3">
                  <c:v>0.59276898271251366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D02-409C-88A8-85D4C48141EC}"/>
            </c:ext>
          </c:extLst>
        </c:ser>
        <c:ser>
          <c:idx val="4"/>
          <c:order val="4"/>
          <c:tx>
            <c:strRef>
              <c:f>'G05'!$A$6</c:f>
              <c:strCache>
                <c:ptCount val="1"/>
                <c:pt idx="0">
                  <c:v>NPC (výdavková opatrenia)</c:v>
                </c:pt>
              </c:strCache>
            </c:strRef>
          </c:tx>
          <c:spPr>
            <a:ln w="28575" cap="rnd">
              <a:solidFill>
                <a:srgbClr val="B2E4F8"/>
              </a:solidFill>
              <a:round/>
            </a:ln>
            <a:effectLst/>
          </c:spPr>
          <c:marker>
            <c:symbol val="none"/>
          </c:marker>
          <c:val>
            <c:numRef>
              <c:f>'G05'!$B$6:$E$6</c:f>
              <c:numCache>
                <c:formatCode>0.00</c:formatCode>
                <c:ptCount val="4"/>
                <c:pt idx="0">
                  <c:v>-1.970000324279477</c:v>
                </c:pt>
                <c:pt idx="1">
                  <c:v>-1.7403958404582507</c:v>
                </c:pt>
                <c:pt idx="2">
                  <c:v>-0.87374282880446474</c:v>
                </c:pt>
                <c:pt idx="3">
                  <c:v>-0.17137082163132666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54C-481F-B1F6-87802A56F8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2804888"/>
        <c:axId val="382805280"/>
      </c:lineChart>
      <c:catAx>
        <c:axId val="3828048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high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382805280"/>
        <c:crosses val="autoZero"/>
        <c:auto val="1"/>
        <c:lblAlgn val="ctr"/>
        <c:lblOffset val="100"/>
        <c:noMultiLvlLbl val="0"/>
      </c:catAx>
      <c:valAx>
        <c:axId val="382805280"/>
        <c:scaling>
          <c:orientation val="minMax"/>
          <c:max val="1"/>
          <c:min val="-2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prstDash val="sysDash"/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382804888"/>
        <c:crosses val="autoZero"/>
        <c:crossBetween val="between"/>
        <c:majorUnit val="0.5"/>
        <c:minorUnit val="0.2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7.6911843902881472E-2"/>
          <c:y val="0.13318927239358239"/>
          <c:w val="0.41624870325334606"/>
          <c:h val="0.3013802222090659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onstantia" panose="02030602050306030303" pitchFamily="18" charset="0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Constantia" panose="02030602050306030303" pitchFamily="18" charset="0"/>
        </a:defRPr>
      </a:pPr>
      <a:endParaRPr lang="sk-SK"/>
    </a:p>
  </c:txPr>
  <c:printSettings>
    <c:headerFooter/>
    <c:pageMargins b="0.75" l="0.7" r="0.7" t="0.75" header="0.3" footer="0.3"/>
    <c:pageSetup paperSize="9" orientation="landscape"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8888044603592231E-2"/>
          <c:y val="6.0194659754894131E-2"/>
          <c:w val="0.88611182347683015"/>
          <c:h val="0.68785754459264026"/>
        </c:manualLayout>
      </c:layout>
      <c:lineChart>
        <c:grouping val="standard"/>
        <c:varyColors val="0"/>
        <c:ser>
          <c:idx val="0"/>
          <c:order val="0"/>
          <c:tx>
            <c:strRef>
              <c:f>'G49,G50'!$B$2</c:f>
              <c:strCache>
                <c:ptCount val="1"/>
                <c:pt idx="0">
                  <c:v>príjem od 400€ do 500€</c:v>
                </c:pt>
              </c:strCache>
            </c:strRef>
          </c:tx>
          <c:spPr>
            <a:ln w="28575" cap="rnd">
              <a:solidFill>
                <a:srgbClr val="585858"/>
              </a:solidFill>
              <a:round/>
            </a:ln>
            <a:effectLst/>
          </c:spPr>
          <c:marker>
            <c:symbol val="none"/>
          </c:marker>
          <c:cat>
            <c:numRef>
              <c:f>'G49,G50'!$A$3:$A$14</c:f>
              <c:numCache>
                <c:formatCode>General</c:formatCode>
                <c:ptCount val="12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</c:numCache>
            </c:numRef>
          </c:cat>
          <c:val>
            <c:numRef>
              <c:f>'G49,G50'!$B$3:$B$14</c:f>
              <c:numCache>
                <c:formatCode>0.00</c:formatCode>
                <c:ptCount val="12"/>
                <c:pt idx="0">
                  <c:v>35.388129999999997</c:v>
                </c:pt>
                <c:pt idx="1">
                  <c:v>33.481340000000003</c:v>
                </c:pt>
                <c:pt idx="2">
                  <c:v>33.75949</c:v>
                </c:pt>
                <c:pt idx="3">
                  <c:v>35.724969999999999</c:v>
                </c:pt>
                <c:pt idx="4">
                  <c:v>35.894539999999999</c:v>
                </c:pt>
                <c:pt idx="5">
                  <c:v>35.119750000000003</c:v>
                </c:pt>
                <c:pt idx="6">
                  <c:v>35.411790000000003</c:v>
                </c:pt>
                <c:pt idx="7">
                  <c:v>32.391480000000001</c:v>
                </c:pt>
                <c:pt idx="8">
                  <c:v>32.647210000000001</c:v>
                </c:pt>
                <c:pt idx="9">
                  <c:v>32.766269999999999</c:v>
                </c:pt>
                <c:pt idx="10">
                  <c:v>32.995240000000003</c:v>
                </c:pt>
                <c:pt idx="11">
                  <c:v>33.23227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AE8-455C-90D3-94B9867E8409}"/>
            </c:ext>
          </c:extLst>
        </c:ser>
        <c:ser>
          <c:idx val="1"/>
          <c:order val="1"/>
          <c:tx>
            <c:strRef>
              <c:f>'G49,G50'!$C$2</c:f>
              <c:strCache>
                <c:ptCount val="1"/>
                <c:pt idx="0">
                  <c:v>príjem od 600€ do 700€</c:v>
                </c:pt>
              </c:strCache>
            </c:strRef>
          </c:tx>
          <c:spPr>
            <a:ln w="28575" cap="rnd">
              <a:solidFill>
                <a:srgbClr val="13B5EA"/>
              </a:solidFill>
              <a:round/>
            </a:ln>
            <a:effectLst/>
          </c:spPr>
          <c:marker>
            <c:symbol val="none"/>
          </c:marker>
          <c:val>
            <c:numRef>
              <c:f>'G49,G50'!$C$3:$C$14</c:f>
              <c:numCache>
                <c:formatCode>0.00</c:formatCode>
                <c:ptCount val="12"/>
                <c:pt idx="0">
                  <c:v>38.029119999999999</c:v>
                </c:pt>
                <c:pt idx="1">
                  <c:v>36.435360000000003</c:v>
                </c:pt>
                <c:pt idx="2">
                  <c:v>36.62659</c:v>
                </c:pt>
                <c:pt idx="3">
                  <c:v>38.023180000000004</c:v>
                </c:pt>
                <c:pt idx="4">
                  <c:v>38.187179999999998</c:v>
                </c:pt>
                <c:pt idx="5">
                  <c:v>38.893039999999999</c:v>
                </c:pt>
                <c:pt idx="6">
                  <c:v>39.128909999999998</c:v>
                </c:pt>
                <c:pt idx="7">
                  <c:v>39.407980000000002</c:v>
                </c:pt>
                <c:pt idx="8">
                  <c:v>39.599269999999997</c:v>
                </c:pt>
                <c:pt idx="9">
                  <c:v>39.486609999999999</c:v>
                </c:pt>
                <c:pt idx="10">
                  <c:v>39.6571</c:v>
                </c:pt>
                <c:pt idx="11">
                  <c:v>39.83426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AE8-455C-90D3-94B9867E8409}"/>
            </c:ext>
          </c:extLst>
        </c:ser>
        <c:ser>
          <c:idx val="2"/>
          <c:order val="2"/>
          <c:tx>
            <c:strRef>
              <c:f>'G49,G50'!$D$2</c:f>
              <c:strCache>
                <c:ptCount val="1"/>
                <c:pt idx="0">
                  <c:v>príjem od 800€ do 900€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'G49,G50'!$D$3:$D$14</c:f>
              <c:numCache>
                <c:formatCode>0.00</c:formatCode>
                <c:ptCount val="12"/>
                <c:pt idx="0">
                  <c:v>40.611499999999999</c:v>
                </c:pt>
                <c:pt idx="1">
                  <c:v>39.232849999999999</c:v>
                </c:pt>
                <c:pt idx="2">
                  <c:v>39.410879999999999</c:v>
                </c:pt>
                <c:pt idx="3">
                  <c:v>40.68985</c:v>
                </c:pt>
                <c:pt idx="4">
                  <c:v>40.847900000000003</c:v>
                </c:pt>
                <c:pt idx="5">
                  <c:v>41.256410000000002</c:v>
                </c:pt>
                <c:pt idx="6">
                  <c:v>41.487209999999997</c:v>
                </c:pt>
                <c:pt idx="7">
                  <c:v>41.651200000000003</c:v>
                </c:pt>
                <c:pt idx="8">
                  <c:v>41.803040000000003</c:v>
                </c:pt>
                <c:pt idx="9">
                  <c:v>41.799149999999997</c:v>
                </c:pt>
                <c:pt idx="10">
                  <c:v>41.945569999999996</c:v>
                </c:pt>
                <c:pt idx="11">
                  <c:v>42.09742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AE8-455C-90D3-94B9867E8409}"/>
            </c:ext>
          </c:extLst>
        </c:ser>
        <c:ser>
          <c:idx val="3"/>
          <c:order val="3"/>
          <c:tx>
            <c:strRef>
              <c:f>'G49,G50'!$E$2</c:f>
              <c:strCache>
                <c:ptCount val="1"/>
                <c:pt idx="0">
                  <c:v>príjem nad 3300€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'G49,G50'!$E$3:$E$14</c:f>
              <c:numCache>
                <c:formatCode>0.00</c:formatCode>
                <c:ptCount val="12"/>
                <c:pt idx="0">
                  <c:v>36.164459999999998</c:v>
                </c:pt>
                <c:pt idx="1">
                  <c:v>35.840760000000003</c:v>
                </c:pt>
                <c:pt idx="2">
                  <c:v>35.788600000000002</c:v>
                </c:pt>
                <c:pt idx="3">
                  <c:v>36.100610000000003</c:v>
                </c:pt>
                <c:pt idx="4">
                  <c:v>36.133560000000003</c:v>
                </c:pt>
                <c:pt idx="5">
                  <c:v>41.585630000000002</c:v>
                </c:pt>
                <c:pt idx="6">
                  <c:v>42.503970000000002</c:v>
                </c:pt>
                <c:pt idx="7">
                  <c:v>42.972929999999998</c:v>
                </c:pt>
                <c:pt idx="8">
                  <c:v>43.048780000000001</c:v>
                </c:pt>
                <c:pt idx="9">
                  <c:v>41.13308</c:v>
                </c:pt>
                <c:pt idx="10">
                  <c:v>41.208069999999999</c:v>
                </c:pt>
                <c:pt idx="11">
                  <c:v>41.28584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AE8-455C-90D3-94B9867E84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3558816"/>
        <c:axId val="403561112"/>
      </c:lineChart>
      <c:catAx>
        <c:axId val="403558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403561112"/>
        <c:crosses val="autoZero"/>
        <c:auto val="1"/>
        <c:lblAlgn val="ctr"/>
        <c:lblOffset val="100"/>
        <c:noMultiLvlLbl val="0"/>
      </c:catAx>
      <c:valAx>
        <c:axId val="403561112"/>
        <c:scaling>
          <c:orientation val="minMax"/>
          <c:max val="45"/>
          <c:min val="3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onstantia" panose="02030602050306030303" pitchFamily="18" charset="0"/>
                    <a:ea typeface="+mn-ea"/>
                    <a:cs typeface="+mn-cs"/>
                  </a:defRPr>
                </a:pPr>
                <a:r>
                  <a:rPr lang="sk-SK" sz="900"/>
                  <a:t>Daňový</a:t>
                </a:r>
                <a:r>
                  <a:rPr lang="sk-SK" sz="900" baseline="0"/>
                  <a:t> klin </a:t>
                </a:r>
                <a:r>
                  <a:rPr lang="sk-SK" sz="900"/>
                  <a:t>v </a:t>
                </a:r>
                <a:r>
                  <a:rPr lang="en-US" sz="900"/>
                  <a:t>%</a:t>
                </a:r>
                <a:endParaRPr lang="sk-SK" sz="900"/>
              </a:p>
            </c:rich>
          </c:tx>
          <c:layout>
            <c:manualLayout>
              <c:xMode val="edge"/>
              <c:yMode val="edge"/>
              <c:x val="8.4612161718627156E-3"/>
              <c:y val="0.2968594327494777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onstantia" panose="02030602050306030303" pitchFamily="18" charset="0"/>
                  <a:ea typeface="+mn-ea"/>
                  <a:cs typeface="+mn-cs"/>
                </a:defRPr>
              </a:pPr>
              <a:endParaRPr lang="sk-SK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403558816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2.5484614341873377E-3"/>
          <c:y val="0.86097072687342635"/>
          <c:w val="0.9974515385658127"/>
          <c:h val="0.1362539503990572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onstantia" panose="02030602050306030303" pitchFamily="18" charset="0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Constantia" panose="02030602050306030303" pitchFamily="18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5948148148148149E-2"/>
          <c:y val="6.0194659754894131E-2"/>
          <c:w val="0.88905162037037022"/>
          <c:h val="0.68785754459264026"/>
        </c:manualLayout>
      </c:layout>
      <c:lineChart>
        <c:grouping val="standard"/>
        <c:varyColors val="0"/>
        <c:ser>
          <c:idx val="0"/>
          <c:order val="0"/>
          <c:tx>
            <c:strRef>
              <c:f>'G49,G50'!$G$2</c:f>
              <c:strCache>
                <c:ptCount val="1"/>
                <c:pt idx="0">
                  <c:v>príjem od 400€ do 500€</c:v>
                </c:pt>
              </c:strCache>
            </c:strRef>
          </c:tx>
          <c:spPr>
            <a:ln w="28575" cap="rnd">
              <a:solidFill>
                <a:srgbClr val="585858"/>
              </a:solidFill>
              <a:round/>
            </a:ln>
            <a:effectLst/>
          </c:spPr>
          <c:marker>
            <c:symbol val="none"/>
          </c:marker>
          <c:cat>
            <c:numRef>
              <c:f>'G49,G50'!$A$3:$A$14</c:f>
              <c:numCache>
                <c:formatCode>General</c:formatCode>
                <c:ptCount val="12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</c:numCache>
            </c:numRef>
          </c:cat>
          <c:val>
            <c:numRef>
              <c:f>'G49,G50'!$G$3:$G$14</c:f>
              <c:numCache>
                <c:formatCode>0.00</c:formatCode>
                <c:ptCount val="12"/>
                <c:pt idx="0">
                  <c:v>34.804160000000003</c:v>
                </c:pt>
                <c:pt idx="1">
                  <c:v>32.771740000000001</c:v>
                </c:pt>
                <c:pt idx="2">
                  <c:v>32.787640000000003</c:v>
                </c:pt>
                <c:pt idx="3">
                  <c:v>34.349980000000002</c:v>
                </c:pt>
                <c:pt idx="4">
                  <c:v>34.512700000000002</c:v>
                </c:pt>
                <c:pt idx="5">
                  <c:v>34.740119999999997</c:v>
                </c:pt>
                <c:pt idx="6">
                  <c:v>34.997149999999998</c:v>
                </c:pt>
                <c:pt idx="7">
                  <c:v>32.006</c:v>
                </c:pt>
                <c:pt idx="8">
                  <c:v>32.230220000000003</c:v>
                </c:pt>
                <c:pt idx="9">
                  <c:v>32.346240000000002</c:v>
                </c:pt>
                <c:pt idx="10">
                  <c:v>32.555239999999998</c:v>
                </c:pt>
                <c:pt idx="11">
                  <c:v>32.771979999999999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DC0-487F-9B18-A713F324122F}"/>
            </c:ext>
          </c:extLst>
        </c:ser>
        <c:ser>
          <c:idx val="1"/>
          <c:order val="1"/>
          <c:tx>
            <c:strRef>
              <c:f>'G49,G50'!$H$2</c:f>
              <c:strCache>
                <c:ptCount val="1"/>
                <c:pt idx="0">
                  <c:v>príjem od 800€ do 900€</c:v>
                </c:pt>
              </c:strCache>
            </c:strRef>
          </c:tx>
          <c:spPr>
            <a:ln w="28575" cap="rnd">
              <a:solidFill>
                <a:srgbClr val="13B5EA"/>
              </a:solidFill>
              <a:round/>
            </a:ln>
            <a:effectLst/>
          </c:spPr>
          <c:marker>
            <c:symbol val="none"/>
          </c:marker>
          <c:cat>
            <c:numRef>
              <c:f>'G49,G50'!$A$3:$A$14</c:f>
              <c:numCache>
                <c:formatCode>General</c:formatCode>
                <c:ptCount val="12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</c:numCache>
            </c:numRef>
          </c:cat>
          <c:val>
            <c:numRef>
              <c:f>'G49,G50'!$H$3:$H$14</c:f>
              <c:numCache>
                <c:formatCode>0.00</c:formatCode>
                <c:ptCount val="12"/>
                <c:pt idx="0">
                  <c:v>39.811599999999999</c:v>
                </c:pt>
                <c:pt idx="1">
                  <c:v>38.662739999999999</c:v>
                </c:pt>
                <c:pt idx="2">
                  <c:v>38.654069999999997</c:v>
                </c:pt>
                <c:pt idx="3">
                  <c:v>39.6404</c:v>
                </c:pt>
                <c:pt idx="4">
                  <c:v>39.802129999999998</c:v>
                </c:pt>
                <c:pt idx="5">
                  <c:v>40.26634</c:v>
                </c:pt>
                <c:pt idx="6">
                  <c:v>40.487139999999997</c:v>
                </c:pt>
                <c:pt idx="7">
                  <c:v>40.032809999999998</c:v>
                </c:pt>
                <c:pt idx="8">
                  <c:v>40.199809999999999</c:v>
                </c:pt>
                <c:pt idx="9">
                  <c:v>40.283619999999999</c:v>
                </c:pt>
                <c:pt idx="10">
                  <c:v>40.444629999999997</c:v>
                </c:pt>
                <c:pt idx="11">
                  <c:v>40.611600000000003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DC0-487F-9B18-A713F324122F}"/>
            </c:ext>
          </c:extLst>
        </c:ser>
        <c:ser>
          <c:idx val="2"/>
          <c:order val="2"/>
          <c:tx>
            <c:strRef>
              <c:f>'G49,G50'!$I$2</c:f>
              <c:strCache>
                <c:ptCount val="1"/>
                <c:pt idx="0">
                  <c:v>príjem od 1200€ do 1300€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'G49,G50'!$A$3:$A$14</c:f>
              <c:numCache>
                <c:formatCode>General</c:formatCode>
                <c:ptCount val="12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</c:numCache>
            </c:numRef>
          </c:cat>
          <c:val>
            <c:numRef>
              <c:f>'G49,G50'!$I$3:$I$14</c:f>
              <c:numCache>
                <c:formatCode>0.00</c:formatCode>
                <c:ptCount val="12"/>
                <c:pt idx="0">
                  <c:v>41.170839999999998</c:v>
                </c:pt>
                <c:pt idx="1">
                  <c:v>39.812440000000002</c:v>
                </c:pt>
                <c:pt idx="2">
                  <c:v>39.81091</c:v>
                </c:pt>
                <c:pt idx="3">
                  <c:v>40.967140000000001</c:v>
                </c:pt>
                <c:pt idx="4">
                  <c:v>41.108820000000001</c:v>
                </c:pt>
                <c:pt idx="5">
                  <c:v>41.320959999999999</c:v>
                </c:pt>
                <c:pt idx="6">
                  <c:v>41.522280000000002</c:v>
                </c:pt>
                <c:pt idx="7">
                  <c:v>41.257359999999998</c:v>
                </c:pt>
                <c:pt idx="8">
                  <c:v>41.403010000000002</c:v>
                </c:pt>
                <c:pt idx="9">
                  <c:v>41.364100000000001</c:v>
                </c:pt>
                <c:pt idx="10">
                  <c:v>41.50132</c:v>
                </c:pt>
                <c:pt idx="11">
                  <c:v>41.642780000000002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DC0-487F-9B18-A713F324122F}"/>
            </c:ext>
          </c:extLst>
        </c:ser>
        <c:ser>
          <c:idx val="3"/>
          <c:order val="3"/>
          <c:tx>
            <c:strRef>
              <c:f>'G49,G50'!$J$2</c:f>
              <c:strCache>
                <c:ptCount val="1"/>
                <c:pt idx="0">
                  <c:v>príjem nad 4000€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'G49,G50'!$A$3:$A$14</c:f>
              <c:numCache>
                <c:formatCode>General</c:formatCode>
                <c:ptCount val="12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</c:numCache>
            </c:numRef>
          </c:cat>
          <c:val>
            <c:numRef>
              <c:f>'G49,G50'!$J$3:$J$14</c:f>
              <c:numCache>
                <c:formatCode>0.00</c:formatCode>
                <c:ptCount val="12"/>
                <c:pt idx="0">
                  <c:v>38.272750000000002</c:v>
                </c:pt>
                <c:pt idx="1">
                  <c:v>38.059249999999999</c:v>
                </c:pt>
                <c:pt idx="2">
                  <c:v>38.008420000000001</c:v>
                </c:pt>
                <c:pt idx="3">
                  <c:v>38.203699999999998</c:v>
                </c:pt>
                <c:pt idx="4">
                  <c:v>38.24606</c:v>
                </c:pt>
                <c:pt idx="5">
                  <c:v>42.79374</c:v>
                </c:pt>
                <c:pt idx="6">
                  <c:v>43.174500000000002</c:v>
                </c:pt>
                <c:pt idx="7">
                  <c:v>43.346240000000002</c:v>
                </c:pt>
                <c:pt idx="8">
                  <c:v>43.430070000000001</c:v>
                </c:pt>
                <c:pt idx="9">
                  <c:v>42.84207</c:v>
                </c:pt>
                <c:pt idx="10">
                  <c:v>42.923009999999998</c:v>
                </c:pt>
                <c:pt idx="11">
                  <c:v>43.006950000000003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DC0-487F-9B18-A713F32412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3558816"/>
        <c:axId val="403561112"/>
      </c:lineChart>
      <c:catAx>
        <c:axId val="403558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403561112"/>
        <c:crosses val="autoZero"/>
        <c:auto val="1"/>
        <c:lblAlgn val="ctr"/>
        <c:lblOffset val="100"/>
        <c:noMultiLvlLbl val="0"/>
      </c:catAx>
      <c:valAx>
        <c:axId val="403561112"/>
        <c:scaling>
          <c:orientation val="minMax"/>
          <c:max val="45"/>
          <c:min val="3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onstantia" panose="02030602050306030303" pitchFamily="18" charset="0"/>
                    <a:ea typeface="+mn-ea"/>
                    <a:cs typeface="+mn-cs"/>
                  </a:defRPr>
                </a:pPr>
                <a:r>
                  <a:rPr lang="sk-SK" sz="900"/>
                  <a:t>Daňový</a:t>
                </a:r>
                <a:r>
                  <a:rPr lang="sk-SK" sz="900" baseline="0"/>
                  <a:t> klin </a:t>
                </a:r>
                <a:r>
                  <a:rPr lang="sk-SK" sz="900"/>
                  <a:t>v </a:t>
                </a:r>
                <a:r>
                  <a:rPr lang="en-US" sz="900"/>
                  <a:t>%</a:t>
                </a:r>
                <a:endParaRPr lang="sk-SK" sz="900"/>
              </a:p>
            </c:rich>
          </c:tx>
          <c:layout>
            <c:manualLayout>
              <c:xMode val="edge"/>
              <c:yMode val="edge"/>
              <c:x val="2.5814814814814815E-3"/>
              <c:y val="0.296859523809523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onstantia" panose="02030602050306030303" pitchFamily="18" charset="0"/>
                  <a:ea typeface="+mn-ea"/>
                  <a:cs typeface="+mn-cs"/>
                </a:defRPr>
              </a:pPr>
              <a:endParaRPr lang="sk-SK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403558816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2.5484614341873377E-3"/>
          <c:y val="0.86097072687342635"/>
          <c:w val="0.9974515385658127"/>
          <c:h val="0.1362539503990572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onstantia" panose="02030602050306030303" pitchFamily="18" charset="0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Constantia" panose="02030602050306030303" pitchFamily="18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2948435222889139E-2"/>
          <c:y val="5.0925925925925923E-2"/>
          <c:w val="0.8864959811629709"/>
          <c:h val="0.703566221288750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'G52'!$A$3</c:f>
              <c:strCache>
                <c:ptCount val="1"/>
                <c:pt idx="0">
                  <c:v>Celkové výdavky rozpočtu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Constantia" panose="02030602050306030303" pitchFamily="18" charset="0"/>
                    <a:ea typeface="+mn-ea"/>
                    <a:cs typeface="+mn-cs"/>
                  </a:defRPr>
                </a:pPr>
                <a:endParaRPr lang="sk-SK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'G52'!$B$2:$L$2</c:f>
              <c:strCache>
                <c:ptCount val="11"/>
                <c:pt idx="0">
                  <c:v>2009 S</c:v>
                </c:pt>
                <c:pt idx="1">
                  <c:v>2010 S</c:v>
                </c:pt>
                <c:pt idx="2">
                  <c:v>2011 S</c:v>
                </c:pt>
                <c:pt idx="3">
                  <c:v>2012 S</c:v>
                </c:pt>
                <c:pt idx="4">
                  <c:v>2013 S</c:v>
                </c:pt>
                <c:pt idx="5">
                  <c:v>2014 S</c:v>
                </c:pt>
                <c:pt idx="6">
                  <c:v>2015 S</c:v>
                </c:pt>
                <c:pt idx="7">
                  <c:v>2016 O</c:v>
                </c:pt>
                <c:pt idx="8">
                  <c:v>2017 O</c:v>
                </c:pt>
                <c:pt idx="9">
                  <c:v>2018 O</c:v>
                </c:pt>
                <c:pt idx="10">
                  <c:v>2019 O</c:v>
                </c:pt>
              </c:strCache>
            </c:strRef>
          </c:cat>
          <c:val>
            <c:numRef>
              <c:f>'G52'!$B$3:$L$3</c:f>
              <c:numCache>
                <c:formatCode>#\ ##0.0</c:formatCode>
                <c:ptCount val="11"/>
                <c:pt idx="0">
                  <c:v>44.08433049946035</c:v>
                </c:pt>
                <c:pt idx="1">
                  <c:v>42.14499395507071</c:v>
                </c:pt>
                <c:pt idx="2">
                  <c:v>40.816883580263699</c:v>
                </c:pt>
                <c:pt idx="3">
                  <c:v>40.63006732825793</c:v>
                </c:pt>
                <c:pt idx="4">
                  <c:v>41.440734044403456</c:v>
                </c:pt>
                <c:pt idx="5">
                  <c:v>42.017285875301532</c:v>
                </c:pt>
                <c:pt idx="6">
                  <c:v>45.561600851998328</c:v>
                </c:pt>
                <c:pt idx="7">
                  <c:v>42.448423706638842</c:v>
                </c:pt>
                <c:pt idx="8">
                  <c:v>41.384003010718082</c:v>
                </c:pt>
                <c:pt idx="9">
                  <c:v>39.927641374669633</c:v>
                </c:pt>
                <c:pt idx="10">
                  <c:v>38.297443912084063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F86-4B3A-85F2-98B5EA61C751}"/>
            </c:ext>
          </c:extLst>
        </c:ser>
        <c:ser>
          <c:idx val="6"/>
          <c:order val="4"/>
          <c:tx>
            <c:strRef>
              <c:f>'G52'!$A$5</c:f>
              <c:strCache>
                <c:ptCount val="1"/>
                <c:pt idx="0">
                  <c:v>Výdavky ovplyvňujúce saldo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Constantia" panose="02030602050306030303" pitchFamily="18" charset="0"/>
                    <a:ea typeface="+mn-ea"/>
                    <a:cs typeface="+mn-cs"/>
                  </a:defRPr>
                </a:pPr>
                <a:endParaRPr lang="sk-SK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'G52'!$B$2:$L$2</c:f>
              <c:strCache>
                <c:ptCount val="11"/>
                <c:pt idx="0">
                  <c:v>2009 S</c:v>
                </c:pt>
                <c:pt idx="1">
                  <c:v>2010 S</c:v>
                </c:pt>
                <c:pt idx="2">
                  <c:v>2011 S</c:v>
                </c:pt>
                <c:pt idx="3">
                  <c:v>2012 S</c:v>
                </c:pt>
                <c:pt idx="4">
                  <c:v>2013 S</c:v>
                </c:pt>
                <c:pt idx="5">
                  <c:v>2014 S</c:v>
                </c:pt>
                <c:pt idx="6">
                  <c:v>2015 S</c:v>
                </c:pt>
                <c:pt idx="7">
                  <c:v>2016 O</c:v>
                </c:pt>
                <c:pt idx="8">
                  <c:v>2017 O</c:v>
                </c:pt>
                <c:pt idx="9">
                  <c:v>2018 O</c:v>
                </c:pt>
                <c:pt idx="10">
                  <c:v>2019 O</c:v>
                </c:pt>
              </c:strCache>
            </c:strRef>
          </c:cat>
          <c:val>
            <c:numRef>
              <c:f>'G52'!$B$5:$L$5</c:f>
              <c:numCache>
                <c:formatCode>0.0</c:formatCode>
                <c:ptCount val="11"/>
                <c:pt idx="0">
                  <c:v>40.34644100416881</c:v>
                </c:pt>
                <c:pt idx="1">
                  <c:v>38.214955408147411</c:v>
                </c:pt>
                <c:pt idx="2">
                  <c:v>37.108540326191616</c:v>
                </c:pt>
                <c:pt idx="3">
                  <c:v>36.967684278157179</c:v>
                </c:pt>
                <c:pt idx="4">
                  <c:v>37.50890878682592</c:v>
                </c:pt>
                <c:pt idx="5">
                  <c:v>38.219184515184395</c:v>
                </c:pt>
                <c:pt idx="6">
                  <c:v>39.63270378039946</c:v>
                </c:pt>
                <c:pt idx="7">
                  <c:v>39.217350200382299</c:v>
                </c:pt>
                <c:pt idx="8">
                  <c:v>38.231234325217926</c:v>
                </c:pt>
                <c:pt idx="9">
                  <c:v>37.08792635943243</c:v>
                </c:pt>
                <c:pt idx="10">
                  <c:v>35.66559074798419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F86-4B3A-85F2-98B5EA61C7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3365984"/>
        <c:axId val="533361064"/>
      </c:barChart>
      <c:lineChart>
        <c:grouping val="standard"/>
        <c:varyColors val="0"/>
        <c:ser>
          <c:idx val="1"/>
          <c:order val="1"/>
          <c:tx>
            <c:strRef>
              <c:f>'G52'!$A$6</c:f>
              <c:strCache>
                <c:ptCount val="1"/>
                <c:pt idx="0">
                  <c:v>Sociálne transfery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'G52'!$B$2:$L$2</c:f>
              <c:strCache>
                <c:ptCount val="11"/>
                <c:pt idx="0">
                  <c:v>2009 S</c:v>
                </c:pt>
                <c:pt idx="1">
                  <c:v>2010 S</c:v>
                </c:pt>
                <c:pt idx="2">
                  <c:v>2011 S</c:v>
                </c:pt>
                <c:pt idx="3">
                  <c:v>2012 S</c:v>
                </c:pt>
                <c:pt idx="4">
                  <c:v>2013 S</c:v>
                </c:pt>
                <c:pt idx="5">
                  <c:v>2014 S</c:v>
                </c:pt>
                <c:pt idx="6">
                  <c:v>2015 S</c:v>
                </c:pt>
                <c:pt idx="7">
                  <c:v>2016 O</c:v>
                </c:pt>
                <c:pt idx="8">
                  <c:v>2017 O</c:v>
                </c:pt>
                <c:pt idx="9">
                  <c:v>2018 O</c:v>
                </c:pt>
                <c:pt idx="10">
                  <c:v>2019 O</c:v>
                </c:pt>
              </c:strCache>
            </c:strRef>
          </c:cat>
          <c:val>
            <c:numRef>
              <c:f>'G52'!$B$6:$L$6</c:f>
              <c:numCache>
                <c:formatCode>#\ ##0.0</c:formatCode>
                <c:ptCount val="11"/>
                <c:pt idx="0">
                  <c:v>11.532792055383135</c:v>
                </c:pt>
                <c:pt idx="1">
                  <c:v>11.660519369018886</c:v>
                </c:pt>
                <c:pt idx="2">
                  <c:v>11.447438341106544</c:v>
                </c:pt>
                <c:pt idx="3">
                  <c:v>11.477114088097547</c:v>
                </c:pt>
                <c:pt idx="4">
                  <c:v>11.581211812635583</c:v>
                </c:pt>
                <c:pt idx="5">
                  <c:v>11.7564278736451</c:v>
                </c:pt>
                <c:pt idx="6">
                  <c:v>11.526284012297038</c:v>
                </c:pt>
                <c:pt idx="7">
                  <c:v>11.550581145605463</c:v>
                </c:pt>
                <c:pt idx="8">
                  <c:v>11.442060508575878</c:v>
                </c:pt>
                <c:pt idx="9">
                  <c:v>11.083513636830912</c:v>
                </c:pt>
                <c:pt idx="10">
                  <c:v>10.691494083719508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F86-4B3A-85F2-98B5EA61C751}"/>
            </c:ext>
          </c:extLst>
        </c:ser>
        <c:ser>
          <c:idx val="3"/>
          <c:order val="2"/>
          <c:tx>
            <c:strRef>
              <c:f>'G52'!$A$7</c:f>
              <c:strCache>
                <c:ptCount val="1"/>
                <c:pt idx="0">
                  <c:v>Zdravotná starostlivosť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'G52'!$B$2:$L$2</c:f>
              <c:strCache>
                <c:ptCount val="11"/>
                <c:pt idx="0">
                  <c:v>2009 S</c:v>
                </c:pt>
                <c:pt idx="1">
                  <c:v>2010 S</c:v>
                </c:pt>
                <c:pt idx="2">
                  <c:v>2011 S</c:v>
                </c:pt>
                <c:pt idx="3">
                  <c:v>2012 S</c:v>
                </c:pt>
                <c:pt idx="4">
                  <c:v>2013 S</c:v>
                </c:pt>
                <c:pt idx="5">
                  <c:v>2014 S</c:v>
                </c:pt>
                <c:pt idx="6">
                  <c:v>2015 S</c:v>
                </c:pt>
                <c:pt idx="7">
                  <c:v>2016 O</c:v>
                </c:pt>
                <c:pt idx="8">
                  <c:v>2017 O</c:v>
                </c:pt>
                <c:pt idx="9">
                  <c:v>2018 O</c:v>
                </c:pt>
                <c:pt idx="10">
                  <c:v>2019 O</c:v>
                </c:pt>
              </c:strCache>
            </c:strRef>
          </c:cat>
          <c:val>
            <c:numRef>
              <c:f>'G52'!$B$7:$L$7</c:f>
              <c:numCache>
                <c:formatCode>#\ ##0.0</c:formatCode>
                <c:ptCount val="11"/>
                <c:pt idx="0">
                  <c:v>5.1316759107259724</c:v>
                </c:pt>
                <c:pt idx="1">
                  <c:v>5.1524831563261628</c:v>
                </c:pt>
                <c:pt idx="2">
                  <c:v>4.803914072765167</c:v>
                </c:pt>
                <c:pt idx="3">
                  <c:v>4.8161505292042346</c:v>
                </c:pt>
                <c:pt idx="4">
                  <c:v>4.9406201167859205</c:v>
                </c:pt>
                <c:pt idx="5">
                  <c:v>5.0429987464843631</c:v>
                </c:pt>
                <c:pt idx="6">
                  <c:v>5.0744532671797637</c:v>
                </c:pt>
                <c:pt idx="7">
                  <c:v>5.2339207278162778</c:v>
                </c:pt>
                <c:pt idx="8">
                  <c:v>5.2093271438683244</c:v>
                </c:pt>
                <c:pt idx="9">
                  <c:v>5.1105915729896747</c:v>
                </c:pt>
                <c:pt idx="10">
                  <c:v>4.9668214602969476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F86-4B3A-85F2-98B5EA61C751}"/>
            </c:ext>
          </c:extLst>
        </c:ser>
        <c:ser>
          <c:idx val="4"/>
          <c:order val="3"/>
          <c:tx>
            <c:strRef>
              <c:f>'G52'!$A$8</c:f>
              <c:strCache>
                <c:ptCount val="1"/>
                <c:pt idx="0">
                  <c:v>Dotácie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'G52'!$B$2:$L$2</c:f>
              <c:strCache>
                <c:ptCount val="11"/>
                <c:pt idx="0">
                  <c:v>2009 S</c:v>
                </c:pt>
                <c:pt idx="1">
                  <c:v>2010 S</c:v>
                </c:pt>
                <c:pt idx="2">
                  <c:v>2011 S</c:v>
                </c:pt>
                <c:pt idx="3">
                  <c:v>2012 S</c:v>
                </c:pt>
                <c:pt idx="4">
                  <c:v>2013 S</c:v>
                </c:pt>
                <c:pt idx="5">
                  <c:v>2014 S</c:v>
                </c:pt>
                <c:pt idx="6">
                  <c:v>2015 S</c:v>
                </c:pt>
                <c:pt idx="7">
                  <c:v>2016 O</c:v>
                </c:pt>
                <c:pt idx="8">
                  <c:v>2017 O</c:v>
                </c:pt>
                <c:pt idx="9">
                  <c:v>2018 O</c:v>
                </c:pt>
                <c:pt idx="10">
                  <c:v>2019 O</c:v>
                </c:pt>
              </c:strCache>
            </c:strRef>
          </c:cat>
          <c:val>
            <c:numRef>
              <c:f>'G52'!$B$8:$L$8</c:f>
              <c:numCache>
                <c:formatCode>#\ ##0.0</c:formatCode>
                <c:ptCount val="11"/>
                <c:pt idx="0">
                  <c:v>0.57805122065317049</c:v>
                </c:pt>
                <c:pt idx="1">
                  <c:v>0.71404637080794886</c:v>
                </c:pt>
                <c:pt idx="2">
                  <c:v>0.51749417986271584</c:v>
                </c:pt>
                <c:pt idx="3">
                  <c:v>0.52795702812106704</c:v>
                </c:pt>
                <c:pt idx="4">
                  <c:v>0.66419882444226042</c:v>
                </c:pt>
                <c:pt idx="5">
                  <c:v>0.56980318045358314</c:v>
                </c:pt>
                <c:pt idx="6">
                  <c:v>0.52429893931036931</c:v>
                </c:pt>
                <c:pt idx="7">
                  <c:v>0.35086495223953967</c:v>
                </c:pt>
                <c:pt idx="8">
                  <c:v>0.38208428362903823</c:v>
                </c:pt>
                <c:pt idx="9">
                  <c:v>0.34556333108528681</c:v>
                </c:pt>
                <c:pt idx="10">
                  <c:v>0.32305189747661189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F86-4B3A-85F2-98B5EA61C751}"/>
            </c:ext>
          </c:extLst>
        </c:ser>
        <c:ser>
          <c:idx val="2"/>
          <c:order val="5"/>
          <c:tx>
            <c:strRef>
              <c:f>'G52'!$A$9</c:f>
              <c:strCache>
                <c:ptCount val="1"/>
                <c:pt idx="0">
                  <c:v>Kapitálové výdavky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'G52'!$B$2:$L$2</c:f>
              <c:strCache>
                <c:ptCount val="11"/>
                <c:pt idx="0">
                  <c:v>2009 S</c:v>
                </c:pt>
                <c:pt idx="1">
                  <c:v>2010 S</c:v>
                </c:pt>
                <c:pt idx="2">
                  <c:v>2011 S</c:v>
                </c:pt>
                <c:pt idx="3">
                  <c:v>2012 S</c:v>
                </c:pt>
                <c:pt idx="4">
                  <c:v>2013 S</c:v>
                </c:pt>
                <c:pt idx="5">
                  <c:v>2014 S</c:v>
                </c:pt>
                <c:pt idx="6">
                  <c:v>2015 S</c:v>
                </c:pt>
                <c:pt idx="7">
                  <c:v>2016 O</c:v>
                </c:pt>
                <c:pt idx="8">
                  <c:v>2017 O</c:v>
                </c:pt>
                <c:pt idx="9">
                  <c:v>2018 O</c:v>
                </c:pt>
                <c:pt idx="10">
                  <c:v>2019 O</c:v>
                </c:pt>
              </c:strCache>
            </c:strRef>
          </c:cat>
          <c:val>
            <c:numRef>
              <c:f>'G52'!$B$9:$L$9</c:f>
              <c:numCache>
                <c:formatCode>#\ ##0.0</c:formatCode>
                <c:ptCount val="11"/>
                <c:pt idx="0">
                  <c:v>4.5196844701365615</c:v>
                </c:pt>
                <c:pt idx="1">
                  <c:v>2.9584927753698356</c:v>
                </c:pt>
                <c:pt idx="2">
                  <c:v>2.8647164048128766</c:v>
                </c:pt>
                <c:pt idx="3">
                  <c:v>2.4829565892701173</c:v>
                </c:pt>
                <c:pt idx="4">
                  <c:v>2.2938635554989291</c:v>
                </c:pt>
                <c:pt idx="5">
                  <c:v>2.6718621738489259</c:v>
                </c:pt>
                <c:pt idx="6">
                  <c:v>3.4445597414139337</c:v>
                </c:pt>
                <c:pt idx="7">
                  <c:v>3.4432701397412551</c:v>
                </c:pt>
                <c:pt idx="8">
                  <c:v>3.2565431222583574</c:v>
                </c:pt>
                <c:pt idx="9">
                  <c:v>2.8813493890260249</c:v>
                </c:pt>
                <c:pt idx="10">
                  <c:v>2.6266905778831462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F86-4B3A-85F2-98B5EA61C751}"/>
            </c:ext>
          </c:extLst>
        </c:ser>
        <c:ser>
          <c:idx val="5"/>
          <c:order val="6"/>
          <c:tx>
            <c:strRef>
              <c:f>'G52'!$A$10</c:f>
              <c:strCache>
                <c:ptCount val="1"/>
                <c:pt idx="0">
                  <c:v>Prevádzkové (mzdy, tovary a služby)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'G52'!$B$2:$L$2</c:f>
              <c:strCache>
                <c:ptCount val="11"/>
                <c:pt idx="0">
                  <c:v>2009 S</c:v>
                </c:pt>
                <c:pt idx="1">
                  <c:v>2010 S</c:v>
                </c:pt>
                <c:pt idx="2">
                  <c:v>2011 S</c:v>
                </c:pt>
                <c:pt idx="3">
                  <c:v>2012 S</c:v>
                </c:pt>
                <c:pt idx="4">
                  <c:v>2013 S</c:v>
                </c:pt>
                <c:pt idx="5">
                  <c:v>2014 S</c:v>
                </c:pt>
                <c:pt idx="6">
                  <c:v>2015 S</c:v>
                </c:pt>
                <c:pt idx="7">
                  <c:v>2016 O</c:v>
                </c:pt>
                <c:pt idx="8">
                  <c:v>2017 O</c:v>
                </c:pt>
                <c:pt idx="9">
                  <c:v>2018 O</c:v>
                </c:pt>
                <c:pt idx="10">
                  <c:v>2019 O</c:v>
                </c:pt>
              </c:strCache>
            </c:strRef>
          </c:cat>
          <c:val>
            <c:numRef>
              <c:f>'G52'!$B$10:$L$10</c:f>
              <c:numCache>
                <c:formatCode>#\ ##0.0</c:formatCode>
                <c:ptCount val="11"/>
                <c:pt idx="0">
                  <c:v>14.33831082793554</c:v>
                </c:pt>
                <c:pt idx="1">
                  <c:v>13.80001797078309</c:v>
                </c:pt>
                <c:pt idx="2">
                  <c:v>13.540545603775882</c:v>
                </c:pt>
                <c:pt idx="3">
                  <c:v>13.430971605672354</c:v>
                </c:pt>
                <c:pt idx="4">
                  <c:v>13.656985239942349</c:v>
                </c:pt>
                <c:pt idx="5">
                  <c:v>13.853527954847102</c:v>
                </c:pt>
                <c:pt idx="6">
                  <c:v>14.067587735379789</c:v>
                </c:pt>
                <c:pt idx="7">
                  <c:v>14.359813100689131</c:v>
                </c:pt>
                <c:pt idx="8">
                  <c:v>13.963590170059714</c:v>
                </c:pt>
                <c:pt idx="9">
                  <c:v>13.755388597985343</c:v>
                </c:pt>
                <c:pt idx="10">
                  <c:v>13.343625011549065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0F86-4B3A-85F2-98B5EA61C751}"/>
            </c:ext>
          </c:extLst>
        </c:ser>
        <c:ser>
          <c:idx val="7"/>
          <c:order val="7"/>
          <c:tx>
            <c:strRef>
              <c:f>'G52'!$A$11</c:f>
              <c:strCache>
                <c:ptCount val="1"/>
                <c:pt idx="0">
                  <c:v>Ostatné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'G52'!$B$2:$L$2</c:f>
              <c:strCache>
                <c:ptCount val="11"/>
                <c:pt idx="0">
                  <c:v>2009 S</c:v>
                </c:pt>
                <c:pt idx="1">
                  <c:v>2010 S</c:v>
                </c:pt>
                <c:pt idx="2">
                  <c:v>2011 S</c:v>
                </c:pt>
                <c:pt idx="3">
                  <c:v>2012 S</c:v>
                </c:pt>
                <c:pt idx="4">
                  <c:v>2013 S</c:v>
                </c:pt>
                <c:pt idx="5">
                  <c:v>2014 S</c:v>
                </c:pt>
                <c:pt idx="6">
                  <c:v>2015 S</c:v>
                </c:pt>
                <c:pt idx="7">
                  <c:v>2016 O</c:v>
                </c:pt>
                <c:pt idx="8">
                  <c:v>2017 O</c:v>
                </c:pt>
                <c:pt idx="9">
                  <c:v>2018 O</c:v>
                </c:pt>
                <c:pt idx="10">
                  <c:v>2019 O</c:v>
                </c:pt>
              </c:strCache>
            </c:strRef>
          </c:cat>
          <c:val>
            <c:numRef>
              <c:f>'G52'!$B$11:$L$11</c:f>
              <c:numCache>
                <c:formatCode>#\ ##0.0</c:formatCode>
                <c:ptCount val="11"/>
                <c:pt idx="0">
                  <c:v>4.2459265193344322</c:v>
                </c:pt>
                <c:pt idx="1">
                  <c:v>3.9293957658414893</c:v>
                </c:pt>
                <c:pt idx="2">
                  <c:v>3.9344317238684283</c:v>
                </c:pt>
                <c:pt idx="3">
                  <c:v>4.2325344377918626</c:v>
                </c:pt>
                <c:pt idx="4">
                  <c:v>4.3720292375208789</c:v>
                </c:pt>
                <c:pt idx="5">
                  <c:v>4.3245645859053177</c:v>
                </c:pt>
                <c:pt idx="6">
                  <c:v>4.9955200848185655</c:v>
                </c:pt>
                <c:pt idx="7">
                  <c:v>4.2789001342906339</c:v>
                </c:pt>
                <c:pt idx="8">
                  <c:v>3.9776290968266146</c:v>
                </c:pt>
                <c:pt idx="9">
                  <c:v>3.9115198315151911</c:v>
                </c:pt>
                <c:pt idx="10">
                  <c:v>3.713907717058909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F86-4B3A-85F2-98B5EA61C7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5413304"/>
        <c:axId val="425422488"/>
      </c:lineChart>
      <c:catAx>
        <c:axId val="4254133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425422488"/>
        <c:crosses val="autoZero"/>
        <c:auto val="1"/>
        <c:lblAlgn val="ctr"/>
        <c:lblOffset val="100"/>
        <c:noMultiLvlLbl val="0"/>
      </c:catAx>
      <c:valAx>
        <c:axId val="4254224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425413304"/>
        <c:crosses val="autoZero"/>
        <c:crossBetween val="between"/>
      </c:valAx>
      <c:valAx>
        <c:axId val="533361064"/>
        <c:scaling>
          <c:orientation val="minMax"/>
        </c:scaling>
        <c:delete val="0"/>
        <c:axPos val="r"/>
        <c:numFmt formatCode="#\ ##0.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533365984"/>
        <c:crosses val="max"/>
        <c:crossBetween val="between"/>
      </c:valAx>
      <c:catAx>
        <c:axId val="5333659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3336106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4.1358640696228764E-2"/>
          <c:y val="0.83442610414438934"/>
          <c:w val="0.92654432932725517"/>
          <c:h val="0.1655738958556106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onstantia" panose="02030602050306030303" pitchFamily="18" charset="0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Constantia" panose="02030602050306030303" pitchFamily="18" charset="0"/>
        </a:defRPr>
      </a:pPr>
      <a:endParaRPr lang="sk-SK"/>
    </a:p>
  </c:txPr>
  <c:printSettings>
    <c:headerFooter/>
    <c:pageMargins b="0.75" l="0.7" r="0.7" t="0.75" header="0.3" footer="0.3"/>
    <c:pageSetup/>
  </c:printSettings>
  <c:userShapes r:id="rId3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8484033245844265E-2"/>
          <c:y val="4.394685039370079E-2"/>
          <c:w val="0.88096041119860014"/>
          <c:h val="0.87180191017789443"/>
        </c:manualLayout>
      </c:layout>
      <c:barChart>
        <c:barDir val="col"/>
        <c:grouping val="stacked"/>
        <c:varyColors val="0"/>
        <c:ser>
          <c:idx val="6"/>
          <c:order val="0"/>
          <c:tx>
            <c:strRef>
              <c:f>'G53, G54, G55, G56, G57, G58'!$A$5</c:f>
              <c:strCache>
                <c:ptCount val="1"/>
                <c:pt idx="0">
                  <c:v>Fakultatívne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'G53, G54, G55, G56, G57, G58'!$B$2:$K$2</c:f>
              <c:strCache>
                <c:ptCount val="10"/>
                <c:pt idx="0">
                  <c:v>2010 S</c:v>
                </c:pt>
                <c:pt idx="1">
                  <c:v>2011 S</c:v>
                </c:pt>
                <c:pt idx="2">
                  <c:v>2012 S</c:v>
                </c:pt>
                <c:pt idx="3">
                  <c:v>2013 S</c:v>
                </c:pt>
                <c:pt idx="4">
                  <c:v>2014 S</c:v>
                </c:pt>
                <c:pt idx="5">
                  <c:v>2015 S</c:v>
                </c:pt>
                <c:pt idx="6">
                  <c:v>2016 O</c:v>
                </c:pt>
                <c:pt idx="7">
                  <c:v>2017 O</c:v>
                </c:pt>
                <c:pt idx="8">
                  <c:v>2018 O</c:v>
                </c:pt>
                <c:pt idx="9">
                  <c:v>2019 O</c:v>
                </c:pt>
              </c:strCache>
            </c:strRef>
          </c:cat>
          <c:val>
            <c:numRef>
              <c:f>'G53, G54, G55, G56, G57, G58'!$B$5:$K$5</c:f>
              <c:numCache>
                <c:formatCode>#\ ##0.0</c:formatCode>
                <c:ptCount val="10"/>
                <c:pt idx="0">
                  <c:v>1.9372323100120314</c:v>
                </c:pt>
                <c:pt idx="1">
                  <c:v>0.84144539335243351</c:v>
                </c:pt>
                <c:pt idx="2">
                  <c:v>0.59546410385416237</c:v>
                </c:pt>
                <c:pt idx="3">
                  <c:v>-0.13311933951345684</c:v>
                </c:pt>
                <c:pt idx="4">
                  <c:v>-0.36897991200414831</c:v>
                </c:pt>
                <c:pt idx="5">
                  <c:v>-1.5612529171818936</c:v>
                </c:pt>
                <c:pt idx="6">
                  <c:v>0.14610480735583936</c:v>
                </c:pt>
                <c:pt idx="7">
                  <c:v>0.66221954792134818</c:v>
                </c:pt>
                <c:pt idx="8">
                  <c:v>0.66687316351476356</c:v>
                </c:pt>
                <c:pt idx="9">
                  <c:v>0.7453140588644529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380-4FA0-B8A4-D060C08121C7}"/>
            </c:ext>
          </c:extLst>
        </c:ser>
        <c:ser>
          <c:idx val="7"/>
          <c:order val="1"/>
          <c:tx>
            <c:strRef>
              <c:f>'G53, G54, G55, G56, G57, G58'!$A$6</c:f>
              <c:strCache>
                <c:ptCount val="1"/>
                <c:pt idx="0">
                  <c:v>Povinné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cat>
            <c:strRef>
              <c:f>'G53, G54, G55, G56, G57, G58'!$B$2:$K$2</c:f>
              <c:strCache>
                <c:ptCount val="10"/>
                <c:pt idx="0">
                  <c:v>2010 S</c:v>
                </c:pt>
                <c:pt idx="1">
                  <c:v>2011 S</c:v>
                </c:pt>
                <c:pt idx="2">
                  <c:v>2012 S</c:v>
                </c:pt>
                <c:pt idx="3">
                  <c:v>2013 S</c:v>
                </c:pt>
                <c:pt idx="4">
                  <c:v>2014 S</c:v>
                </c:pt>
                <c:pt idx="5">
                  <c:v>2015 S</c:v>
                </c:pt>
                <c:pt idx="6">
                  <c:v>2016 O</c:v>
                </c:pt>
                <c:pt idx="7">
                  <c:v>2017 O</c:v>
                </c:pt>
                <c:pt idx="8">
                  <c:v>2018 O</c:v>
                </c:pt>
                <c:pt idx="9">
                  <c:v>2019 O</c:v>
                </c:pt>
              </c:strCache>
            </c:strRef>
          </c:cat>
          <c:val>
            <c:numRef>
              <c:f>'G53, G54, G55, G56, G57, G58'!$B$6:$K$6</c:f>
              <c:numCache>
                <c:formatCode>#\ ##0.0</c:formatCode>
                <c:ptCount val="10"/>
                <c:pt idx="0">
                  <c:v>0.19425328600936004</c:v>
                </c:pt>
                <c:pt idx="1">
                  <c:v>0.29450505174957398</c:v>
                </c:pt>
                <c:pt idx="2">
                  <c:v>-0.27705126694436133</c:v>
                </c:pt>
                <c:pt idx="3">
                  <c:v>-0.40810516915528655</c:v>
                </c:pt>
                <c:pt idx="4">
                  <c:v>-0.17462402677641436</c:v>
                </c:pt>
                <c:pt idx="5">
                  <c:v>0.30630026771353613</c:v>
                </c:pt>
                <c:pt idx="6">
                  <c:v>-0.12545658188263481</c:v>
                </c:pt>
                <c:pt idx="7">
                  <c:v>0.36758324221310401</c:v>
                </c:pt>
                <c:pt idx="8">
                  <c:v>0.47058813267706973</c:v>
                </c:pt>
                <c:pt idx="9">
                  <c:v>0.67068124068725643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380-4FA0-B8A4-D060C08121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7"/>
        <c:overlap val="100"/>
        <c:axId val="350306152"/>
        <c:axId val="350301560"/>
      </c:barChart>
      <c:lineChart>
        <c:grouping val="standard"/>
        <c:varyColors val="0"/>
        <c:ser>
          <c:idx val="0"/>
          <c:order val="2"/>
          <c:tx>
            <c:strRef>
              <c:f>'G53, G54, G55, G56, G57, G58'!$A$4</c:f>
              <c:strCache>
                <c:ptCount val="1"/>
                <c:pt idx="0">
                  <c:v>Vplyv celkových výdavkov*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val>
            <c:numRef>
              <c:f>'G53, G54, G55, G56, G57, G58'!$B$4:$K$4</c:f>
              <c:numCache>
                <c:formatCode>#\ ##0.0</c:formatCode>
                <c:ptCount val="10"/>
                <c:pt idx="0">
                  <c:v>2.1314855960213914</c:v>
                </c:pt>
                <c:pt idx="1">
                  <c:v>1.1359504451020075</c:v>
                </c:pt>
                <c:pt idx="2">
                  <c:v>0.3184128369098011</c:v>
                </c:pt>
                <c:pt idx="3">
                  <c:v>-0.54122450866874339</c:v>
                </c:pt>
                <c:pt idx="4">
                  <c:v>-0.54360393878056268</c:v>
                </c:pt>
                <c:pt idx="5">
                  <c:v>-1.2549526494683576</c:v>
                </c:pt>
                <c:pt idx="6">
                  <c:v>2.0648225473204565E-2</c:v>
                </c:pt>
                <c:pt idx="7">
                  <c:v>1.0298027901344522</c:v>
                </c:pt>
                <c:pt idx="8">
                  <c:v>1.1374612961918333</c:v>
                </c:pt>
                <c:pt idx="9">
                  <c:v>1.4159952995517093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380-4FA0-B8A4-D060C08121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0306152"/>
        <c:axId val="350301560"/>
      </c:lineChart>
      <c:catAx>
        <c:axId val="3503061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350301560"/>
        <c:crosses val="autoZero"/>
        <c:auto val="1"/>
        <c:lblAlgn val="ctr"/>
        <c:lblOffset val="100"/>
        <c:noMultiLvlLbl val="0"/>
      </c:catAx>
      <c:valAx>
        <c:axId val="3503015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#\ 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3503061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480096237970259E-2"/>
          <c:y val="0.69386410032079315"/>
          <c:w val="0.44353937007874017"/>
          <c:h val="0.1950247885680956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onstantia" panose="02030602050306030303" pitchFamily="18" charset="0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Constantia" panose="02030602050306030303" pitchFamily="18" charset="0"/>
        </a:defRPr>
      </a:pPr>
      <a:endParaRPr lang="sk-SK"/>
    </a:p>
  </c:txPr>
  <c:printSettings>
    <c:headerFooter/>
    <c:pageMargins b="0.75" l="0.7" r="0.7" t="0.75" header="0.3" footer="0.3"/>
    <c:pageSetup/>
  </c:printSettings>
  <c:userShapes r:id="rId3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8484033245844265E-2"/>
          <c:y val="4.394685039370079E-2"/>
          <c:w val="0.88096041119860014"/>
          <c:h val="0.87180191017789443"/>
        </c:manualLayout>
      </c:layout>
      <c:barChart>
        <c:barDir val="col"/>
        <c:grouping val="stacked"/>
        <c:varyColors val="0"/>
        <c:ser>
          <c:idx val="6"/>
          <c:order val="0"/>
          <c:tx>
            <c:strRef>
              <c:f>'G53, G54, G55, G56, G57, G58'!$A$10</c:f>
              <c:strCache>
                <c:ptCount val="1"/>
                <c:pt idx="0">
                  <c:v>Fakultatívne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'G53, G54, G55, G56, G57, G58'!$B$2:$K$2</c:f>
              <c:strCache>
                <c:ptCount val="10"/>
                <c:pt idx="0">
                  <c:v>2010 S</c:v>
                </c:pt>
                <c:pt idx="1">
                  <c:v>2011 S</c:v>
                </c:pt>
                <c:pt idx="2">
                  <c:v>2012 S</c:v>
                </c:pt>
                <c:pt idx="3">
                  <c:v>2013 S</c:v>
                </c:pt>
                <c:pt idx="4">
                  <c:v>2014 S</c:v>
                </c:pt>
                <c:pt idx="5">
                  <c:v>2015 S</c:v>
                </c:pt>
                <c:pt idx="6">
                  <c:v>2016 O</c:v>
                </c:pt>
                <c:pt idx="7">
                  <c:v>2017 O</c:v>
                </c:pt>
                <c:pt idx="8">
                  <c:v>2018 O</c:v>
                </c:pt>
                <c:pt idx="9">
                  <c:v>2019 O</c:v>
                </c:pt>
              </c:strCache>
            </c:strRef>
          </c:cat>
          <c:val>
            <c:numRef>
              <c:f>'G53, G54, G55, G56, G57, G58'!$B$10:$K$10</c:f>
              <c:numCache>
                <c:formatCode>#\ ##0.0</c:formatCode>
                <c:ptCount val="10"/>
                <c:pt idx="0">
                  <c:v>1.9372323100120314</c:v>
                </c:pt>
                <c:pt idx="1">
                  <c:v>2.778677703364465</c:v>
                </c:pt>
                <c:pt idx="2">
                  <c:v>3.3741418072186273</c:v>
                </c:pt>
                <c:pt idx="3">
                  <c:v>3.2410224677051707</c:v>
                </c:pt>
                <c:pt idx="4">
                  <c:v>2.8720425557010225</c:v>
                </c:pt>
                <c:pt idx="5">
                  <c:v>1.3107896385191289</c:v>
                </c:pt>
                <c:pt idx="6">
                  <c:v>1.4568944458749682</c:v>
                </c:pt>
                <c:pt idx="7">
                  <c:v>2.1191139937963164</c:v>
                </c:pt>
                <c:pt idx="8">
                  <c:v>2.7859871573110802</c:v>
                </c:pt>
                <c:pt idx="9">
                  <c:v>3.5313012161755331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8F1-437C-ACD6-DA9ABB4B6EB7}"/>
            </c:ext>
          </c:extLst>
        </c:ser>
        <c:ser>
          <c:idx val="7"/>
          <c:order val="1"/>
          <c:tx>
            <c:strRef>
              <c:f>'G53, G54, G55, G56, G57, G58'!$A$11</c:f>
              <c:strCache>
                <c:ptCount val="1"/>
                <c:pt idx="0">
                  <c:v>Povinné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cat>
            <c:strRef>
              <c:f>'G53, G54, G55, G56, G57, G58'!$B$2:$K$2</c:f>
              <c:strCache>
                <c:ptCount val="10"/>
                <c:pt idx="0">
                  <c:v>2010 S</c:v>
                </c:pt>
                <c:pt idx="1">
                  <c:v>2011 S</c:v>
                </c:pt>
                <c:pt idx="2">
                  <c:v>2012 S</c:v>
                </c:pt>
                <c:pt idx="3">
                  <c:v>2013 S</c:v>
                </c:pt>
                <c:pt idx="4">
                  <c:v>2014 S</c:v>
                </c:pt>
                <c:pt idx="5">
                  <c:v>2015 S</c:v>
                </c:pt>
                <c:pt idx="6">
                  <c:v>2016 O</c:v>
                </c:pt>
                <c:pt idx="7">
                  <c:v>2017 O</c:v>
                </c:pt>
                <c:pt idx="8">
                  <c:v>2018 O</c:v>
                </c:pt>
                <c:pt idx="9">
                  <c:v>2019 O</c:v>
                </c:pt>
              </c:strCache>
            </c:strRef>
          </c:cat>
          <c:val>
            <c:numRef>
              <c:f>'G53, G54, G55, G56, G57, G58'!$B$11:$K$11</c:f>
              <c:numCache>
                <c:formatCode>#\ ##0.0</c:formatCode>
                <c:ptCount val="10"/>
                <c:pt idx="0">
                  <c:v>0.19425328600936004</c:v>
                </c:pt>
                <c:pt idx="1">
                  <c:v>0.48875833775893401</c:v>
                </c:pt>
                <c:pt idx="2">
                  <c:v>0.21170707081457268</c:v>
                </c:pt>
                <c:pt idx="3">
                  <c:v>-0.19639809834071387</c:v>
                </c:pt>
                <c:pt idx="4">
                  <c:v>-0.37102212511712823</c:v>
                </c:pt>
                <c:pt idx="5">
                  <c:v>-6.4721857403592098E-2</c:v>
                </c:pt>
                <c:pt idx="6">
                  <c:v>-0.19017843928622691</c:v>
                </c:pt>
                <c:pt idx="7">
                  <c:v>0.1774048029268771</c:v>
                </c:pt>
                <c:pt idx="8">
                  <c:v>0.64799293560394688</c:v>
                </c:pt>
                <c:pt idx="9">
                  <c:v>1.3186741762912033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8F1-437C-ACD6-DA9ABB4B6E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7"/>
        <c:overlap val="100"/>
        <c:axId val="350306152"/>
        <c:axId val="350301560"/>
      </c:barChart>
      <c:lineChart>
        <c:grouping val="standard"/>
        <c:varyColors val="0"/>
        <c:ser>
          <c:idx val="0"/>
          <c:order val="2"/>
          <c:tx>
            <c:strRef>
              <c:f>'G53, G54, G55, G56, G57, G58'!$A$9</c:f>
              <c:strCache>
                <c:ptCount val="1"/>
                <c:pt idx="0">
                  <c:v>Vplyv celkových výdavkov*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val>
            <c:numRef>
              <c:f>'G53, G54, G55, G56, G57, G58'!$B$9:$K$9</c:f>
              <c:numCache>
                <c:formatCode>#\ ##0.0</c:formatCode>
                <c:ptCount val="10"/>
                <c:pt idx="0">
                  <c:v>2.1314855960213914</c:v>
                </c:pt>
                <c:pt idx="1">
                  <c:v>3.2674360411233989</c:v>
                </c:pt>
                <c:pt idx="2">
                  <c:v>3.5858488780331998</c:v>
                </c:pt>
                <c:pt idx="3">
                  <c:v>3.0446243693644566</c:v>
                </c:pt>
                <c:pt idx="4">
                  <c:v>2.5010204305838939</c:v>
                </c:pt>
                <c:pt idx="5">
                  <c:v>1.2460677811155363</c:v>
                </c:pt>
                <c:pt idx="6">
                  <c:v>1.2667160065887408</c:v>
                </c:pt>
                <c:pt idx="7">
                  <c:v>2.296518796723193</c:v>
                </c:pt>
                <c:pt idx="8">
                  <c:v>3.4339800929150264</c:v>
                </c:pt>
                <c:pt idx="9">
                  <c:v>4.8499753924667353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8F1-437C-ACD6-DA9ABB4B6E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0306152"/>
        <c:axId val="350301560"/>
      </c:lineChart>
      <c:catAx>
        <c:axId val="3503061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350301560"/>
        <c:crosses val="autoZero"/>
        <c:auto val="1"/>
        <c:lblAlgn val="ctr"/>
        <c:lblOffset val="100"/>
        <c:noMultiLvlLbl val="0"/>
      </c:catAx>
      <c:valAx>
        <c:axId val="3503015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#\ 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3503061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3924540682414695E-2"/>
          <c:y val="3.6456692913385831E-2"/>
          <c:w val="0.47409492563429573"/>
          <c:h val="0.1950247885680956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onstantia" panose="02030602050306030303" pitchFamily="18" charset="0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Constantia" panose="02030602050306030303" pitchFamily="18" charset="0"/>
        </a:defRPr>
      </a:pPr>
      <a:endParaRPr lang="sk-SK"/>
    </a:p>
  </c:txPr>
  <c:printSettings>
    <c:headerFooter/>
    <c:pageMargins b="0.75" l="0.7" r="0.7" t="0.75" header="0.3" footer="0.3"/>
    <c:pageSetup/>
  </c:printSettings>
  <c:userShapes r:id="rId3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50699912510934E-2"/>
          <c:y val="4.394685039370079E-2"/>
          <c:w val="0.88096041119860014"/>
          <c:h val="0.87180191017789443"/>
        </c:manualLayout>
      </c:layout>
      <c:barChart>
        <c:barDir val="col"/>
        <c:grouping val="stacked"/>
        <c:varyColors val="0"/>
        <c:ser>
          <c:idx val="6"/>
          <c:order val="0"/>
          <c:tx>
            <c:strRef>
              <c:f>'G53, G54, G55, G56, G57, G58'!$A$15</c:f>
              <c:strCache>
                <c:ptCount val="1"/>
                <c:pt idx="0">
                  <c:v>Kompenzácie zamestnancov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'G53, G54, G55, G56, G57, G58'!$B$2:$M$2</c:f>
              <c:strCache>
                <c:ptCount val="10"/>
                <c:pt idx="0">
                  <c:v>2010 S</c:v>
                </c:pt>
                <c:pt idx="1">
                  <c:v>2011 S</c:v>
                </c:pt>
                <c:pt idx="2">
                  <c:v>2012 S</c:v>
                </c:pt>
                <c:pt idx="3">
                  <c:v>2013 S</c:v>
                </c:pt>
                <c:pt idx="4">
                  <c:v>2014 S</c:v>
                </c:pt>
                <c:pt idx="5">
                  <c:v>2015 S</c:v>
                </c:pt>
                <c:pt idx="6">
                  <c:v>2016 O</c:v>
                </c:pt>
                <c:pt idx="7">
                  <c:v>2017 O</c:v>
                </c:pt>
                <c:pt idx="8">
                  <c:v>2018 O</c:v>
                </c:pt>
                <c:pt idx="9">
                  <c:v>2019 O</c:v>
                </c:pt>
              </c:strCache>
            </c:strRef>
          </c:cat>
          <c:val>
            <c:numRef>
              <c:f>'G53, G54, G55, G56, G57, G58'!$B$15:$K$15</c:f>
              <c:numCache>
                <c:formatCode>#\ ##0.0</c:formatCode>
                <c:ptCount val="10"/>
                <c:pt idx="0">
                  <c:v>0.18441400013032055</c:v>
                </c:pt>
                <c:pt idx="1">
                  <c:v>0.52946301669666718</c:v>
                </c:pt>
                <c:pt idx="2">
                  <c:v>2.8868874643884605E-2</c:v>
                </c:pt>
                <c:pt idx="3">
                  <c:v>-0.2645257270637319</c:v>
                </c:pt>
                <c:pt idx="4">
                  <c:v>-9.959222352192558E-2</c:v>
                </c:pt>
                <c:pt idx="5">
                  <c:v>-7.9075076603223243E-2</c:v>
                </c:pt>
                <c:pt idx="6">
                  <c:v>-9.6718475388205744E-2</c:v>
                </c:pt>
                <c:pt idx="7">
                  <c:v>-3.6249115983919188E-2</c:v>
                </c:pt>
                <c:pt idx="8">
                  <c:v>4.3217741479177375E-2</c:v>
                </c:pt>
                <c:pt idx="9">
                  <c:v>9.1006091013315804E-2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C9-4EB2-AE99-DA6D2CDCA1EB}"/>
            </c:ext>
          </c:extLst>
        </c:ser>
        <c:ser>
          <c:idx val="7"/>
          <c:order val="1"/>
          <c:tx>
            <c:strRef>
              <c:f>'G53, G54, G55, G56, G57, G58'!$A$16</c:f>
              <c:strCache>
                <c:ptCount val="1"/>
                <c:pt idx="0">
                  <c:v>Medzispotreba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'G53, G54, G55, G56, G57, G58'!$B$2:$M$2</c:f>
              <c:strCache>
                <c:ptCount val="10"/>
                <c:pt idx="0">
                  <c:v>2010 S</c:v>
                </c:pt>
                <c:pt idx="1">
                  <c:v>2011 S</c:v>
                </c:pt>
                <c:pt idx="2">
                  <c:v>2012 S</c:v>
                </c:pt>
                <c:pt idx="3">
                  <c:v>2013 S</c:v>
                </c:pt>
                <c:pt idx="4">
                  <c:v>2014 S</c:v>
                </c:pt>
                <c:pt idx="5">
                  <c:v>2015 S</c:v>
                </c:pt>
                <c:pt idx="6">
                  <c:v>2016 O</c:v>
                </c:pt>
                <c:pt idx="7">
                  <c:v>2017 O</c:v>
                </c:pt>
                <c:pt idx="8">
                  <c:v>2018 O</c:v>
                </c:pt>
                <c:pt idx="9">
                  <c:v>2019 O</c:v>
                </c:pt>
              </c:strCache>
            </c:strRef>
          </c:cat>
          <c:val>
            <c:numRef>
              <c:f>'G53, G54, G55, G56, G57, G58'!$B$16:$K$16</c:f>
              <c:numCache>
                <c:formatCode>#\ ##0.0</c:formatCode>
                <c:ptCount val="10"/>
                <c:pt idx="0">
                  <c:v>0.37472200137886258</c:v>
                </c:pt>
                <c:pt idx="1">
                  <c:v>0.32425081695712737</c:v>
                </c:pt>
                <c:pt idx="2">
                  <c:v>0.17534462435980452</c:v>
                </c:pt>
                <c:pt idx="3">
                  <c:v>4.0374182815388855E-2</c:v>
                </c:pt>
                <c:pt idx="4">
                  <c:v>9.5089366983002591E-2</c:v>
                </c:pt>
                <c:pt idx="5">
                  <c:v>-0.12490691910329893</c:v>
                </c:pt>
                <c:pt idx="6">
                  <c:v>-0.33961431100124218</c:v>
                </c:pt>
                <c:pt idx="7">
                  <c:v>0.48435646407898336</c:v>
                </c:pt>
                <c:pt idx="8">
                  <c:v>0.15926362269343919</c:v>
                </c:pt>
                <c:pt idx="9">
                  <c:v>0.31427979200926776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0C9-4EB2-AE99-DA6D2CDCA1EB}"/>
            </c:ext>
          </c:extLst>
        </c:ser>
        <c:ser>
          <c:idx val="0"/>
          <c:order val="2"/>
          <c:tx>
            <c:strRef>
              <c:f>'G53, G54, G55, G56, G57, G58'!$A$17</c:f>
              <c:strCache>
                <c:ptCount val="1"/>
                <c:pt idx="0">
                  <c:v>Kapitálové výdavky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'G53, G54, G55, G56, G57, G58'!$B$2:$M$2</c:f>
              <c:strCache>
                <c:ptCount val="10"/>
                <c:pt idx="0">
                  <c:v>2010 S</c:v>
                </c:pt>
                <c:pt idx="1">
                  <c:v>2011 S</c:v>
                </c:pt>
                <c:pt idx="2">
                  <c:v>2012 S</c:v>
                </c:pt>
                <c:pt idx="3">
                  <c:v>2013 S</c:v>
                </c:pt>
                <c:pt idx="4">
                  <c:v>2014 S</c:v>
                </c:pt>
                <c:pt idx="5">
                  <c:v>2015 S</c:v>
                </c:pt>
                <c:pt idx="6">
                  <c:v>2016 O</c:v>
                </c:pt>
                <c:pt idx="7">
                  <c:v>2017 O</c:v>
                </c:pt>
                <c:pt idx="8">
                  <c:v>2018 O</c:v>
                </c:pt>
                <c:pt idx="9">
                  <c:v>2019 O</c:v>
                </c:pt>
              </c:strCache>
            </c:strRef>
          </c:cat>
          <c:val>
            <c:numRef>
              <c:f>'G53, G54, G55, G56, G57, G58'!$B$17:$K$17</c:f>
              <c:numCache>
                <c:formatCode>#\ ##0.0</c:formatCode>
                <c:ptCount val="10"/>
                <c:pt idx="0">
                  <c:v>1.5611916947667255</c:v>
                </c:pt>
                <c:pt idx="1">
                  <c:v>0.15595071698439761</c:v>
                </c:pt>
                <c:pt idx="2">
                  <c:v>0.46807340429708261</c:v>
                </c:pt>
                <c:pt idx="3">
                  <c:v>0.18909303377118902</c:v>
                </c:pt>
                <c:pt idx="4">
                  <c:v>-0.33847536903205688</c:v>
                </c:pt>
                <c:pt idx="5">
                  <c:v>-0.61897178292334532</c:v>
                </c:pt>
                <c:pt idx="6">
                  <c:v>-0.17824395960951733</c:v>
                </c:pt>
                <c:pt idx="7">
                  <c:v>0.19019778518955061</c:v>
                </c:pt>
                <c:pt idx="8">
                  <c:v>0.38428040843671513</c:v>
                </c:pt>
                <c:pt idx="9">
                  <c:v>0.25843402477259375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0C9-4EB2-AE99-DA6D2CDCA1EB}"/>
            </c:ext>
          </c:extLst>
        </c:ser>
        <c:ser>
          <c:idx val="1"/>
          <c:order val="3"/>
          <c:tx>
            <c:strRef>
              <c:f>'G53, G54, G55, G56, G57, G58'!$A$18</c:f>
              <c:strCache>
                <c:ptCount val="1"/>
                <c:pt idx="0">
                  <c:v>Spolufinancovanie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'G53, G54, G55, G56, G57, G58'!$B$2:$M$2</c:f>
              <c:strCache>
                <c:ptCount val="10"/>
                <c:pt idx="0">
                  <c:v>2010 S</c:v>
                </c:pt>
                <c:pt idx="1">
                  <c:v>2011 S</c:v>
                </c:pt>
                <c:pt idx="2">
                  <c:v>2012 S</c:v>
                </c:pt>
                <c:pt idx="3">
                  <c:v>2013 S</c:v>
                </c:pt>
                <c:pt idx="4">
                  <c:v>2014 S</c:v>
                </c:pt>
                <c:pt idx="5">
                  <c:v>2015 S</c:v>
                </c:pt>
                <c:pt idx="6">
                  <c:v>2016 O</c:v>
                </c:pt>
                <c:pt idx="7">
                  <c:v>2017 O</c:v>
                </c:pt>
                <c:pt idx="8">
                  <c:v>2018 O</c:v>
                </c:pt>
                <c:pt idx="9">
                  <c:v>2019 O</c:v>
                </c:pt>
              </c:strCache>
            </c:strRef>
          </c:cat>
          <c:val>
            <c:numRef>
              <c:f>'G53, G54, G55, G56, G57, G58'!$B$18:$K$18</c:f>
              <c:numCache>
                <c:formatCode>#\ ##0.0</c:formatCode>
                <c:ptCount val="10"/>
                <c:pt idx="0">
                  <c:v>1.8582243033562963E-2</c:v>
                </c:pt>
                <c:pt idx="1">
                  <c:v>-2.0589179106724868E-2</c:v>
                </c:pt>
                <c:pt idx="2">
                  <c:v>8.405922797458816E-2</c:v>
                </c:pt>
                <c:pt idx="3">
                  <c:v>7.8876357245274004E-2</c:v>
                </c:pt>
                <c:pt idx="4">
                  <c:v>2.2156485056409854E-3</c:v>
                </c:pt>
                <c:pt idx="5">
                  <c:v>-0.44674076755077385</c:v>
                </c:pt>
                <c:pt idx="6">
                  <c:v>0.48224039539044988</c:v>
                </c:pt>
                <c:pt idx="7">
                  <c:v>-4.3832345760857032E-2</c:v>
                </c:pt>
                <c:pt idx="8">
                  <c:v>4.2048585493065803E-2</c:v>
                </c:pt>
                <c:pt idx="9">
                  <c:v>1.4485063940359932E-2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0C9-4EB2-AE99-DA6D2CDCA1EB}"/>
            </c:ext>
          </c:extLst>
        </c:ser>
        <c:ser>
          <c:idx val="2"/>
          <c:order val="4"/>
          <c:tx>
            <c:strRef>
              <c:f>'G53, G54, G55, G56, G57, G58'!$A$19</c:f>
              <c:strCache>
                <c:ptCount val="1"/>
                <c:pt idx="0">
                  <c:v>Subvencie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'G53, G54, G55, G56, G57, G58'!$B$2:$M$2</c:f>
              <c:strCache>
                <c:ptCount val="10"/>
                <c:pt idx="0">
                  <c:v>2010 S</c:v>
                </c:pt>
                <c:pt idx="1">
                  <c:v>2011 S</c:v>
                </c:pt>
                <c:pt idx="2">
                  <c:v>2012 S</c:v>
                </c:pt>
                <c:pt idx="3">
                  <c:v>2013 S</c:v>
                </c:pt>
                <c:pt idx="4">
                  <c:v>2014 S</c:v>
                </c:pt>
                <c:pt idx="5">
                  <c:v>2015 S</c:v>
                </c:pt>
                <c:pt idx="6">
                  <c:v>2016 O</c:v>
                </c:pt>
                <c:pt idx="7">
                  <c:v>2017 O</c:v>
                </c:pt>
                <c:pt idx="8">
                  <c:v>2018 O</c:v>
                </c:pt>
                <c:pt idx="9">
                  <c:v>2019 O</c:v>
                </c:pt>
              </c:strCache>
            </c:strRef>
          </c:cat>
          <c:val>
            <c:numRef>
              <c:f>'G53, G54, G55, G56, G57, G58'!$B$19:$K$19</c:f>
              <c:numCache>
                <c:formatCode>#\ ##0.0</c:formatCode>
                <c:ptCount val="10"/>
                <c:pt idx="0">
                  <c:v>-0.13599515015477848</c:v>
                </c:pt>
                <c:pt idx="1">
                  <c:v>-0.18278891276551867</c:v>
                </c:pt>
                <c:pt idx="2">
                  <c:v>-1.046284825835098E-2</c:v>
                </c:pt>
                <c:pt idx="3">
                  <c:v>-0.1362417963211934</c:v>
                </c:pt>
                <c:pt idx="4">
                  <c:v>9.4395643988677336E-2</c:v>
                </c:pt>
                <c:pt idx="5">
                  <c:v>3.9760862430971634E-2</c:v>
                </c:pt>
                <c:pt idx="6">
                  <c:v>0.17343398707082952</c:v>
                </c:pt>
                <c:pt idx="7">
                  <c:v>-3.1219331389498461E-2</c:v>
                </c:pt>
                <c:pt idx="8">
                  <c:v>3.6520952543751387E-2</c:v>
                </c:pt>
                <c:pt idx="9">
                  <c:v>2.2511433608674913E-2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0C9-4EB2-AE99-DA6D2CDCA1EB}"/>
            </c:ext>
          </c:extLst>
        </c:ser>
        <c:ser>
          <c:idx val="3"/>
          <c:order val="5"/>
          <c:tx>
            <c:strRef>
              <c:f>'G53, G54, G55, G56, G57, G58'!$A$20</c:f>
              <c:strCache>
                <c:ptCount val="1"/>
                <c:pt idx="0">
                  <c:v>Ostatné</c:v>
                </c:pt>
              </c:strCache>
            </c:strRef>
          </c:tx>
          <c:spPr>
            <a:solidFill>
              <a:srgbClr val="DCB47B"/>
            </a:solidFill>
            <a:ln>
              <a:noFill/>
            </a:ln>
            <a:effectLst/>
          </c:spPr>
          <c:invertIfNegative val="0"/>
          <c:cat>
            <c:strRef>
              <c:f>'G53, G54, G55, G56, G57, G58'!$B$2:$M$2</c:f>
              <c:strCache>
                <c:ptCount val="10"/>
                <c:pt idx="0">
                  <c:v>2010 S</c:v>
                </c:pt>
                <c:pt idx="1">
                  <c:v>2011 S</c:v>
                </c:pt>
                <c:pt idx="2">
                  <c:v>2012 S</c:v>
                </c:pt>
                <c:pt idx="3">
                  <c:v>2013 S</c:v>
                </c:pt>
                <c:pt idx="4">
                  <c:v>2014 S</c:v>
                </c:pt>
                <c:pt idx="5">
                  <c:v>2015 S</c:v>
                </c:pt>
                <c:pt idx="6">
                  <c:v>2016 O</c:v>
                </c:pt>
                <c:pt idx="7">
                  <c:v>2017 O</c:v>
                </c:pt>
                <c:pt idx="8">
                  <c:v>2018 O</c:v>
                </c:pt>
                <c:pt idx="9">
                  <c:v>2019 O</c:v>
                </c:pt>
              </c:strCache>
            </c:strRef>
          </c:cat>
          <c:val>
            <c:numRef>
              <c:f>'G53, G54, G55, G56, G57, G58'!$B$20:$K$20</c:f>
              <c:numCache>
                <c:formatCode>#\ ##0.0</c:formatCode>
                <c:ptCount val="10"/>
                <c:pt idx="0">
                  <c:v>-6.5682479142661593E-2</c:v>
                </c:pt>
                <c:pt idx="1">
                  <c:v>3.5158934586484891E-2</c:v>
                </c:pt>
                <c:pt idx="2">
                  <c:v>-0.15041917916284658</c:v>
                </c:pt>
                <c:pt idx="3">
                  <c:v>-4.069538996038341E-2</c:v>
                </c:pt>
                <c:pt idx="4">
                  <c:v>-0.12261297892748674</c:v>
                </c:pt>
                <c:pt idx="5">
                  <c:v>-0.3313192334322238</c:v>
                </c:pt>
                <c:pt idx="6">
                  <c:v>0.10500717089352518</c:v>
                </c:pt>
                <c:pt idx="7">
                  <c:v>9.8966091787088942E-2</c:v>
                </c:pt>
                <c:pt idx="8">
                  <c:v>1.5418528686147112E-3</c:v>
                </c:pt>
                <c:pt idx="9">
                  <c:v>4.459765352024074E-2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0C9-4EB2-AE99-DA6D2CDCA1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2"/>
        <c:overlap val="100"/>
        <c:axId val="350306152"/>
        <c:axId val="350301560"/>
      </c:barChart>
      <c:lineChart>
        <c:grouping val="stacked"/>
        <c:varyColors val="0"/>
        <c:ser>
          <c:idx val="4"/>
          <c:order val="6"/>
          <c:tx>
            <c:v>Vplyv fakultatívnych výdavkov</c:v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strRef>
              <c:f>'G53, G54, G55, G56, G57, G58'!$B$2:$M$2</c:f>
              <c:strCache>
                <c:ptCount val="10"/>
                <c:pt idx="0">
                  <c:v>2010 S</c:v>
                </c:pt>
                <c:pt idx="1">
                  <c:v>2011 S</c:v>
                </c:pt>
                <c:pt idx="2">
                  <c:v>2012 S</c:v>
                </c:pt>
                <c:pt idx="3">
                  <c:v>2013 S</c:v>
                </c:pt>
                <c:pt idx="4">
                  <c:v>2014 S</c:v>
                </c:pt>
                <c:pt idx="5">
                  <c:v>2015 S</c:v>
                </c:pt>
                <c:pt idx="6">
                  <c:v>2016 O</c:v>
                </c:pt>
                <c:pt idx="7">
                  <c:v>2017 O</c:v>
                </c:pt>
                <c:pt idx="8">
                  <c:v>2018 O</c:v>
                </c:pt>
                <c:pt idx="9">
                  <c:v>2019 O</c:v>
                </c:pt>
              </c:strCache>
            </c:strRef>
          </c:cat>
          <c:val>
            <c:numRef>
              <c:f>'G53, G54, G55, G56, G57, G58'!$B$14:$K$14</c:f>
              <c:numCache>
                <c:formatCode>#\ ##0.0</c:formatCode>
                <c:ptCount val="10"/>
                <c:pt idx="0">
                  <c:v>1.9372323100120314</c:v>
                </c:pt>
                <c:pt idx="1">
                  <c:v>0.84144539335243351</c:v>
                </c:pt>
                <c:pt idx="2">
                  <c:v>0.59546410385416237</c:v>
                </c:pt>
                <c:pt idx="3">
                  <c:v>-0.13311933951345684</c:v>
                </c:pt>
                <c:pt idx="4">
                  <c:v>-0.36897991200414831</c:v>
                </c:pt>
                <c:pt idx="5">
                  <c:v>-1.5612529171818936</c:v>
                </c:pt>
                <c:pt idx="6">
                  <c:v>0.14610480735583936</c:v>
                </c:pt>
                <c:pt idx="7">
                  <c:v>0.66221954792134818</c:v>
                </c:pt>
                <c:pt idx="8">
                  <c:v>0.66687316351476356</c:v>
                </c:pt>
                <c:pt idx="9">
                  <c:v>0.7453140588644529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0C9-4EB2-AE99-DA6D2CDCA1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0306152"/>
        <c:axId val="350301560"/>
      </c:lineChart>
      <c:catAx>
        <c:axId val="3503061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350301560"/>
        <c:crosses val="autoZero"/>
        <c:auto val="1"/>
        <c:lblAlgn val="ctr"/>
        <c:lblOffset val="100"/>
        <c:noMultiLvlLbl val="0"/>
      </c:catAx>
      <c:valAx>
        <c:axId val="3503015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#,##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3503061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7596981627296585"/>
          <c:y val="1.7938174394867307E-2"/>
          <c:w val="0.8213652668416449"/>
          <c:h val="0.3055577427821522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onstantia" panose="02030602050306030303" pitchFamily="18" charset="0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Constantia" panose="02030602050306030303" pitchFamily="18" charset="0"/>
        </a:defRPr>
      </a:pPr>
      <a:endParaRPr lang="sk-SK"/>
    </a:p>
  </c:txPr>
  <c:printSettings>
    <c:headerFooter/>
    <c:pageMargins b="0.75" l="0.7" r="0.7" t="0.75" header="0.3" footer="0.3"/>
    <c:pageSetup/>
  </c:printSettings>
  <c:userShapes r:id="rId3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50699912510934E-2"/>
          <c:y val="4.394685039370079E-2"/>
          <c:w val="0.88096041119860014"/>
          <c:h val="0.87180191017789443"/>
        </c:manualLayout>
      </c:layout>
      <c:barChart>
        <c:barDir val="col"/>
        <c:grouping val="stacked"/>
        <c:varyColors val="0"/>
        <c:ser>
          <c:idx val="6"/>
          <c:order val="0"/>
          <c:tx>
            <c:strRef>
              <c:f>'G53, G54, G55, G56, G57, G58'!$A$24</c:f>
              <c:strCache>
                <c:ptCount val="1"/>
                <c:pt idx="0">
                  <c:v>Kompenzácie zamestnancov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'G53, G54, G55, G56, G57, G58'!$B$2:$K$2</c:f>
              <c:strCache>
                <c:ptCount val="10"/>
                <c:pt idx="0">
                  <c:v>2010 S</c:v>
                </c:pt>
                <c:pt idx="1">
                  <c:v>2011 S</c:v>
                </c:pt>
                <c:pt idx="2">
                  <c:v>2012 S</c:v>
                </c:pt>
                <c:pt idx="3">
                  <c:v>2013 S</c:v>
                </c:pt>
                <c:pt idx="4">
                  <c:v>2014 S</c:v>
                </c:pt>
                <c:pt idx="5">
                  <c:v>2015 S</c:v>
                </c:pt>
                <c:pt idx="6">
                  <c:v>2016 O</c:v>
                </c:pt>
                <c:pt idx="7">
                  <c:v>2017 O</c:v>
                </c:pt>
                <c:pt idx="8">
                  <c:v>2018 O</c:v>
                </c:pt>
                <c:pt idx="9">
                  <c:v>2019 O</c:v>
                </c:pt>
              </c:strCache>
            </c:strRef>
          </c:cat>
          <c:val>
            <c:numRef>
              <c:f>'G53, G54, G55, G56, G57, G58'!$B$24:$K$24</c:f>
              <c:numCache>
                <c:formatCode>#\ ##0.0</c:formatCode>
                <c:ptCount val="10"/>
                <c:pt idx="0">
                  <c:v>0.18441400013032055</c:v>
                </c:pt>
                <c:pt idx="1">
                  <c:v>0.71387701682698768</c:v>
                </c:pt>
                <c:pt idx="2">
                  <c:v>0.74274589147087233</c:v>
                </c:pt>
                <c:pt idx="3">
                  <c:v>0.47822016440714044</c:v>
                </c:pt>
                <c:pt idx="4">
                  <c:v>0.37862794088521484</c:v>
                </c:pt>
                <c:pt idx="5">
                  <c:v>0.29955286428199157</c:v>
                </c:pt>
                <c:pt idx="6">
                  <c:v>0.20283438889378583</c:v>
                </c:pt>
                <c:pt idx="7">
                  <c:v>0.16658527290986663</c:v>
                </c:pt>
                <c:pt idx="8">
                  <c:v>0.209803014389044</c:v>
                </c:pt>
                <c:pt idx="9">
                  <c:v>0.30080910540235983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91-423C-A2DF-0B7624D7A477}"/>
            </c:ext>
          </c:extLst>
        </c:ser>
        <c:ser>
          <c:idx val="7"/>
          <c:order val="1"/>
          <c:tx>
            <c:strRef>
              <c:f>'G53, G54, G55, G56, G57, G58'!$A$25</c:f>
              <c:strCache>
                <c:ptCount val="1"/>
                <c:pt idx="0">
                  <c:v>Medzispotreba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'G53, G54, G55, G56, G57, G58'!$B$2:$K$2</c:f>
              <c:strCache>
                <c:ptCount val="10"/>
                <c:pt idx="0">
                  <c:v>2010 S</c:v>
                </c:pt>
                <c:pt idx="1">
                  <c:v>2011 S</c:v>
                </c:pt>
                <c:pt idx="2">
                  <c:v>2012 S</c:v>
                </c:pt>
                <c:pt idx="3">
                  <c:v>2013 S</c:v>
                </c:pt>
                <c:pt idx="4">
                  <c:v>2014 S</c:v>
                </c:pt>
                <c:pt idx="5">
                  <c:v>2015 S</c:v>
                </c:pt>
                <c:pt idx="6">
                  <c:v>2016 O</c:v>
                </c:pt>
                <c:pt idx="7">
                  <c:v>2017 O</c:v>
                </c:pt>
                <c:pt idx="8">
                  <c:v>2018 O</c:v>
                </c:pt>
                <c:pt idx="9">
                  <c:v>2019 O</c:v>
                </c:pt>
              </c:strCache>
            </c:strRef>
          </c:cat>
          <c:val>
            <c:numRef>
              <c:f>'G53, G54, G55, G56, G57, G58'!$B$25:$K$25</c:f>
              <c:numCache>
                <c:formatCode>#\ ##0.0</c:formatCode>
                <c:ptCount val="10"/>
                <c:pt idx="0">
                  <c:v>0.37472200137886258</c:v>
                </c:pt>
                <c:pt idx="1">
                  <c:v>0.69897281833599001</c:v>
                </c:pt>
                <c:pt idx="2">
                  <c:v>0.87431744269579448</c:v>
                </c:pt>
                <c:pt idx="3">
                  <c:v>0.91469162551118333</c:v>
                </c:pt>
                <c:pt idx="4">
                  <c:v>1.0097809924941858</c:v>
                </c:pt>
                <c:pt idx="5">
                  <c:v>0.88487407339088686</c:v>
                </c:pt>
                <c:pt idx="6">
                  <c:v>0.54525976238964469</c:v>
                </c:pt>
                <c:pt idx="7">
                  <c:v>1.0296162264686282</c:v>
                </c:pt>
                <c:pt idx="8">
                  <c:v>1.1888798491620673</c:v>
                </c:pt>
                <c:pt idx="9">
                  <c:v>1.503159641171335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91-423C-A2DF-0B7624D7A477}"/>
            </c:ext>
          </c:extLst>
        </c:ser>
        <c:ser>
          <c:idx val="0"/>
          <c:order val="2"/>
          <c:tx>
            <c:strRef>
              <c:f>'G53, G54, G55, G56, G57, G58'!$A$26</c:f>
              <c:strCache>
                <c:ptCount val="1"/>
                <c:pt idx="0">
                  <c:v>Kapitálové výdavky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'G53, G54, G55, G56, G57, G58'!$B$2:$K$2</c:f>
              <c:strCache>
                <c:ptCount val="10"/>
                <c:pt idx="0">
                  <c:v>2010 S</c:v>
                </c:pt>
                <c:pt idx="1">
                  <c:v>2011 S</c:v>
                </c:pt>
                <c:pt idx="2">
                  <c:v>2012 S</c:v>
                </c:pt>
                <c:pt idx="3">
                  <c:v>2013 S</c:v>
                </c:pt>
                <c:pt idx="4">
                  <c:v>2014 S</c:v>
                </c:pt>
                <c:pt idx="5">
                  <c:v>2015 S</c:v>
                </c:pt>
                <c:pt idx="6">
                  <c:v>2016 O</c:v>
                </c:pt>
                <c:pt idx="7">
                  <c:v>2017 O</c:v>
                </c:pt>
                <c:pt idx="8">
                  <c:v>2018 O</c:v>
                </c:pt>
                <c:pt idx="9">
                  <c:v>2019 O</c:v>
                </c:pt>
              </c:strCache>
            </c:strRef>
          </c:cat>
          <c:val>
            <c:numRef>
              <c:f>'G53, G54, G55, G56, G57, G58'!$B$26:$K$26</c:f>
              <c:numCache>
                <c:formatCode>#\ ##0.0</c:formatCode>
                <c:ptCount val="10"/>
                <c:pt idx="0">
                  <c:v>1.5611916947667255</c:v>
                </c:pt>
                <c:pt idx="1">
                  <c:v>1.7171424117511231</c:v>
                </c:pt>
                <c:pt idx="2">
                  <c:v>2.1852158160482058</c:v>
                </c:pt>
                <c:pt idx="3">
                  <c:v>2.3743088498193949</c:v>
                </c:pt>
                <c:pt idx="4">
                  <c:v>2.0358334807873382</c:v>
                </c:pt>
                <c:pt idx="5">
                  <c:v>1.4168616978639927</c:v>
                </c:pt>
                <c:pt idx="6">
                  <c:v>1.2386177382544754</c:v>
                </c:pt>
                <c:pt idx="7">
                  <c:v>1.4288155234440261</c:v>
                </c:pt>
                <c:pt idx="8">
                  <c:v>1.8130959318807411</c:v>
                </c:pt>
                <c:pt idx="9">
                  <c:v>2.0715299566533347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891-423C-A2DF-0B7624D7A477}"/>
            </c:ext>
          </c:extLst>
        </c:ser>
        <c:ser>
          <c:idx val="1"/>
          <c:order val="3"/>
          <c:tx>
            <c:strRef>
              <c:f>'G53, G54, G55, G56, G57, G58'!$A$27</c:f>
              <c:strCache>
                <c:ptCount val="1"/>
                <c:pt idx="0">
                  <c:v>Spolufinancovanie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'G53, G54, G55, G56, G57, G58'!$B$2:$K$2</c:f>
              <c:strCache>
                <c:ptCount val="10"/>
                <c:pt idx="0">
                  <c:v>2010 S</c:v>
                </c:pt>
                <c:pt idx="1">
                  <c:v>2011 S</c:v>
                </c:pt>
                <c:pt idx="2">
                  <c:v>2012 S</c:v>
                </c:pt>
                <c:pt idx="3">
                  <c:v>2013 S</c:v>
                </c:pt>
                <c:pt idx="4">
                  <c:v>2014 S</c:v>
                </c:pt>
                <c:pt idx="5">
                  <c:v>2015 S</c:v>
                </c:pt>
                <c:pt idx="6">
                  <c:v>2016 O</c:v>
                </c:pt>
                <c:pt idx="7">
                  <c:v>2017 O</c:v>
                </c:pt>
                <c:pt idx="8">
                  <c:v>2018 O</c:v>
                </c:pt>
                <c:pt idx="9">
                  <c:v>2019 O</c:v>
                </c:pt>
              </c:strCache>
            </c:strRef>
          </c:cat>
          <c:val>
            <c:numRef>
              <c:f>'G53, G54, G55, G56, G57, G58'!$B$27:$K$27</c:f>
              <c:numCache>
                <c:formatCode>#\ ##0.0</c:formatCode>
                <c:ptCount val="10"/>
                <c:pt idx="0">
                  <c:v>1.8582243033562963E-2</c:v>
                </c:pt>
                <c:pt idx="1">
                  <c:v>-2.0069360731619044E-3</c:v>
                </c:pt>
                <c:pt idx="2">
                  <c:v>8.2052291901426253E-2</c:v>
                </c:pt>
                <c:pt idx="3">
                  <c:v>0.16092864914670024</c:v>
                </c:pt>
                <c:pt idx="4">
                  <c:v>0.16314429765234123</c:v>
                </c:pt>
                <c:pt idx="5">
                  <c:v>-0.28359646989843262</c:v>
                </c:pt>
                <c:pt idx="6">
                  <c:v>0.19864392549201726</c:v>
                </c:pt>
                <c:pt idx="7">
                  <c:v>0.15481157973116022</c:v>
                </c:pt>
                <c:pt idx="8">
                  <c:v>0.19686016522422603</c:v>
                </c:pt>
                <c:pt idx="9">
                  <c:v>0.21134522916458595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891-423C-A2DF-0B7624D7A477}"/>
            </c:ext>
          </c:extLst>
        </c:ser>
        <c:ser>
          <c:idx val="2"/>
          <c:order val="4"/>
          <c:tx>
            <c:strRef>
              <c:f>'G53, G54, G55, G56, G57, G58'!$A$28</c:f>
              <c:strCache>
                <c:ptCount val="1"/>
                <c:pt idx="0">
                  <c:v>Subvencie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'G53, G54, G55, G56, G57, G58'!$B$2:$K$2</c:f>
              <c:strCache>
                <c:ptCount val="10"/>
                <c:pt idx="0">
                  <c:v>2010 S</c:v>
                </c:pt>
                <c:pt idx="1">
                  <c:v>2011 S</c:v>
                </c:pt>
                <c:pt idx="2">
                  <c:v>2012 S</c:v>
                </c:pt>
                <c:pt idx="3">
                  <c:v>2013 S</c:v>
                </c:pt>
                <c:pt idx="4">
                  <c:v>2014 S</c:v>
                </c:pt>
                <c:pt idx="5">
                  <c:v>2015 S</c:v>
                </c:pt>
                <c:pt idx="6">
                  <c:v>2016 O</c:v>
                </c:pt>
                <c:pt idx="7">
                  <c:v>2017 O</c:v>
                </c:pt>
                <c:pt idx="8">
                  <c:v>2018 O</c:v>
                </c:pt>
                <c:pt idx="9">
                  <c:v>2019 O</c:v>
                </c:pt>
              </c:strCache>
            </c:strRef>
          </c:cat>
          <c:val>
            <c:numRef>
              <c:f>'G53, G54, G55, G56, G57, G58'!$B$28:$K$28</c:f>
              <c:numCache>
                <c:formatCode>#\ ##0.0</c:formatCode>
                <c:ptCount val="10"/>
                <c:pt idx="0">
                  <c:v>-0.13599515015477848</c:v>
                </c:pt>
                <c:pt idx="1">
                  <c:v>-0.31878406292029715</c:v>
                </c:pt>
                <c:pt idx="2">
                  <c:v>-0.32924691117864813</c:v>
                </c:pt>
                <c:pt idx="3">
                  <c:v>-0.4654887074998415</c:v>
                </c:pt>
                <c:pt idx="4">
                  <c:v>-0.37109306351116417</c:v>
                </c:pt>
                <c:pt idx="5">
                  <c:v>-0.33133220108019251</c:v>
                </c:pt>
                <c:pt idx="6">
                  <c:v>-0.15789821400936299</c:v>
                </c:pt>
                <c:pt idx="7">
                  <c:v>-0.18911754539886144</c:v>
                </c:pt>
                <c:pt idx="8">
                  <c:v>-0.15259659285511007</c:v>
                </c:pt>
                <c:pt idx="9">
                  <c:v>-0.13008515924643516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91-423C-A2DF-0B7624D7A477}"/>
            </c:ext>
          </c:extLst>
        </c:ser>
        <c:ser>
          <c:idx val="3"/>
          <c:order val="5"/>
          <c:tx>
            <c:strRef>
              <c:f>'G53, G54, G55, G56, G57, G58'!$A$29</c:f>
              <c:strCache>
                <c:ptCount val="1"/>
                <c:pt idx="0">
                  <c:v>Ostatné</c:v>
                </c:pt>
              </c:strCache>
            </c:strRef>
          </c:tx>
          <c:spPr>
            <a:solidFill>
              <a:srgbClr val="DCB47B"/>
            </a:solidFill>
            <a:ln>
              <a:noFill/>
            </a:ln>
            <a:effectLst/>
          </c:spPr>
          <c:invertIfNegative val="0"/>
          <c:cat>
            <c:strRef>
              <c:f>'G53, G54, G55, G56, G57, G58'!$B$2:$K$2</c:f>
              <c:strCache>
                <c:ptCount val="10"/>
                <c:pt idx="0">
                  <c:v>2010 S</c:v>
                </c:pt>
                <c:pt idx="1">
                  <c:v>2011 S</c:v>
                </c:pt>
                <c:pt idx="2">
                  <c:v>2012 S</c:v>
                </c:pt>
                <c:pt idx="3">
                  <c:v>2013 S</c:v>
                </c:pt>
                <c:pt idx="4">
                  <c:v>2014 S</c:v>
                </c:pt>
                <c:pt idx="5">
                  <c:v>2015 S</c:v>
                </c:pt>
                <c:pt idx="6">
                  <c:v>2016 O</c:v>
                </c:pt>
                <c:pt idx="7">
                  <c:v>2017 O</c:v>
                </c:pt>
                <c:pt idx="8">
                  <c:v>2018 O</c:v>
                </c:pt>
                <c:pt idx="9">
                  <c:v>2019 O</c:v>
                </c:pt>
              </c:strCache>
            </c:strRef>
          </c:cat>
          <c:val>
            <c:numRef>
              <c:f>'G53, G54, G55, G56, G57, G58'!$B$29:$K$29</c:f>
              <c:numCache>
                <c:formatCode>#\ ##0.0</c:formatCode>
                <c:ptCount val="10"/>
                <c:pt idx="0">
                  <c:v>-6.5682479142661593E-2</c:v>
                </c:pt>
                <c:pt idx="1">
                  <c:v>-3.0523544556176702E-2</c:v>
                </c:pt>
                <c:pt idx="2">
                  <c:v>-0.18094272371902329</c:v>
                </c:pt>
                <c:pt idx="3">
                  <c:v>-0.2216381136794067</c:v>
                </c:pt>
                <c:pt idx="4">
                  <c:v>-0.34425109260689346</c:v>
                </c:pt>
                <c:pt idx="5">
                  <c:v>-0.67557032603911726</c:v>
                </c:pt>
                <c:pt idx="6">
                  <c:v>-0.57056315514559208</c:v>
                </c:pt>
                <c:pt idx="7">
                  <c:v>-0.47159706335850315</c:v>
                </c:pt>
                <c:pt idx="8">
                  <c:v>-0.47005521048988846</c:v>
                </c:pt>
                <c:pt idx="9">
                  <c:v>-0.42545755696964771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891-423C-A2DF-0B7624D7A4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2"/>
        <c:overlap val="100"/>
        <c:axId val="350306152"/>
        <c:axId val="350301560"/>
      </c:barChart>
      <c:lineChart>
        <c:grouping val="stacked"/>
        <c:varyColors val="0"/>
        <c:ser>
          <c:idx val="4"/>
          <c:order val="6"/>
          <c:tx>
            <c:v>Vplyv fakultatívnych výdavkov</c:v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strRef>
              <c:f>'G53, G54, G55, G56, G57, G58'!$B$2:$K$2</c:f>
              <c:strCache>
                <c:ptCount val="10"/>
                <c:pt idx="0">
                  <c:v>2010 S</c:v>
                </c:pt>
                <c:pt idx="1">
                  <c:v>2011 S</c:v>
                </c:pt>
                <c:pt idx="2">
                  <c:v>2012 S</c:v>
                </c:pt>
                <c:pt idx="3">
                  <c:v>2013 S</c:v>
                </c:pt>
                <c:pt idx="4">
                  <c:v>2014 S</c:v>
                </c:pt>
                <c:pt idx="5">
                  <c:v>2015 S</c:v>
                </c:pt>
                <c:pt idx="6">
                  <c:v>2016 O</c:v>
                </c:pt>
                <c:pt idx="7">
                  <c:v>2017 O</c:v>
                </c:pt>
                <c:pt idx="8">
                  <c:v>2018 O</c:v>
                </c:pt>
                <c:pt idx="9">
                  <c:v>2019 O</c:v>
                </c:pt>
              </c:strCache>
            </c:strRef>
          </c:cat>
          <c:val>
            <c:numRef>
              <c:f>'G53, G54, G55, G56, G57, G58'!$B$23:$K$23</c:f>
              <c:numCache>
                <c:formatCode>#\ ##0.0</c:formatCode>
                <c:ptCount val="10"/>
                <c:pt idx="0">
                  <c:v>1.9372323100120314</c:v>
                </c:pt>
                <c:pt idx="1">
                  <c:v>2.778677703364465</c:v>
                </c:pt>
                <c:pt idx="2">
                  <c:v>3.3741418072186273</c:v>
                </c:pt>
                <c:pt idx="3">
                  <c:v>3.2410224677051707</c:v>
                </c:pt>
                <c:pt idx="4">
                  <c:v>2.8720425557010225</c:v>
                </c:pt>
                <c:pt idx="5">
                  <c:v>1.3107896385191289</c:v>
                </c:pt>
                <c:pt idx="6">
                  <c:v>1.4568944458749682</c:v>
                </c:pt>
                <c:pt idx="7">
                  <c:v>2.1191139937963164</c:v>
                </c:pt>
                <c:pt idx="8">
                  <c:v>2.7859871573110802</c:v>
                </c:pt>
                <c:pt idx="9">
                  <c:v>3.5313012161755331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891-423C-A2DF-0B7624D7A4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0306152"/>
        <c:axId val="350301560"/>
      </c:lineChart>
      <c:catAx>
        <c:axId val="3503061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350301560"/>
        <c:crosses val="autoZero"/>
        <c:auto val="1"/>
        <c:lblAlgn val="ctr"/>
        <c:lblOffset val="100"/>
        <c:noMultiLvlLbl val="0"/>
      </c:catAx>
      <c:valAx>
        <c:axId val="350301560"/>
        <c:scaling>
          <c:orientation val="minMax"/>
          <c:max val="6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#,##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3503061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8.7080927384076995E-2"/>
          <c:y val="2.2567804024496943E-2"/>
          <c:w val="0.8658097112860893"/>
          <c:h val="0.2453725575969670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onstantia" panose="02030602050306030303" pitchFamily="18" charset="0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Constantia" panose="02030602050306030303" pitchFamily="18" charset="0"/>
        </a:defRPr>
      </a:pPr>
      <a:endParaRPr lang="sk-SK"/>
    </a:p>
  </c:txPr>
  <c:printSettings>
    <c:headerFooter/>
    <c:pageMargins b="0.75" l="0.7" r="0.7" t="0.75" header="0.3" footer="0.3"/>
    <c:pageSetup/>
  </c:printSettings>
  <c:userShapes r:id="rId3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50699912510934E-2"/>
          <c:y val="4.394685039370079E-2"/>
          <c:w val="0.88096041119860014"/>
          <c:h val="0.87180191017789443"/>
        </c:manualLayout>
      </c:layout>
      <c:barChart>
        <c:barDir val="col"/>
        <c:grouping val="stacked"/>
        <c:varyColors val="0"/>
        <c:ser>
          <c:idx val="6"/>
          <c:order val="0"/>
          <c:tx>
            <c:strRef>
              <c:f>'G53, G54, G55, G56, G57, G58'!$A$33</c:f>
              <c:strCache>
                <c:ptCount val="1"/>
                <c:pt idx="0">
                  <c:v>Platené úroky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'G53, G54, G55, G56, G57, G58'!$B$2:$K$2</c:f>
              <c:strCache>
                <c:ptCount val="10"/>
                <c:pt idx="0">
                  <c:v>2010 S</c:v>
                </c:pt>
                <c:pt idx="1">
                  <c:v>2011 S</c:v>
                </c:pt>
                <c:pt idx="2">
                  <c:v>2012 S</c:v>
                </c:pt>
                <c:pt idx="3">
                  <c:v>2013 S</c:v>
                </c:pt>
                <c:pt idx="4">
                  <c:v>2014 S</c:v>
                </c:pt>
                <c:pt idx="5">
                  <c:v>2015 S</c:v>
                </c:pt>
                <c:pt idx="6">
                  <c:v>2016 O</c:v>
                </c:pt>
                <c:pt idx="7">
                  <c:v>2017 O</c:v>
                </c:pt>
                <c:pt idx="8">
                  <c:v>2018 O</c:v>
                </c:pt>
                <c:pt idx="9">
                  <c:v>2019 O</c:v>
                </c:pt>
              </c:strCache>
            </c:strRef>
          </c:cat>
          <c:val>
            <c:numRef>
              <c:f>'G53, G54, G55, G56, G57, G58'!$B$33:$K$33</c:f>
              <c:numCache>
                <c:formatCode>#\ ##0.0</c:formatCode>
                <c:ptCount val="10"/>
                <c:pt idx="0">
                  <c:v>0.13292294073866673</c:v>
                </c:pt>
                <c:pt idx="1">
                  <c:v>-0.21901675513431362</c:v>
                </c:pt>
                <c:pt idx="2">
                  <c:v>-0.23700061620707658</c:v>
                </c:pt>
                <c:pt idx="3">
                  <c:v>-0.10501298637613748</c:v>
                </c:pt>
                <c:pt idx="4">
                  <c:v>-2.5972011913766659E-2</c:v>
                </c:pt>
                <c:pt idx="5">
                  <c:v>0.14778458731425512</c:v>
                </c:pt>
                <c:pt idx="6">
                  <c:v>0.1126395008640281</c:v>
                </c:pt>
                <c:pt idx="7">
                  <c:v>0.18399815986284451</c:v>
                </c:pt>
                <c:pt idx="8">
                  <c:v>7.1778006058685048E-2</c:v>
                </c:pt>
                <c:pt idx="9">
                  <c:v>0.11115575523226288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9A-44AE-809B-12BE02595CB3}"/>
            </c:ext>
          </c:extLst>
        </c:ser>
        <c:ser>
          <c:idx val="7"/>
          <c:order val="1"/>
          <c:tx>
            <c:strRef>
              <c:f>'G53, G54, G55, G56, G57, G58'!$A$34</c:f>
              <c:strCache>
                <c:ptCount val="1"/>
                <c:pt idx="0">
                  <c:v>Odvody do rozpočtu EÚ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'G53, G54, G55, G56, G57, G58'!$B$2:$K$2</c:f>
              <c:strCache>
                <c:ptCount val="10"/>
                <c:pt idx="0">
                  <c:v>2010 S</c:v>
                </c:pt>
                <c:pt idx="1">
                  <c:v>2011 S</c:v>
                </c:pt>
                <c:pt idx="2">
                  <c:v>2012 S</c:v>
                </c:pt>
                <c:pt idx="3">
                  <c:v>2013 S</c:v>
                </c:pt>
                <c:pt idx="4">
                  <c:v>2014 S</c:v>
                </c:pt>
                <c:pt idx="5">
                  <c:v>2015 S</c:v>
                </c:pt>
                <c:pt idx="6">
                  <c:v>2016 O</c:v>
                </c:pt>
                <c:pt idx="7">
                  <c:v>2017 O</c:v>
                </c:pt>
                <c:pt idx="8">
                  <c:v>2018 O</c:v>
                </c:pt>
                <c:pt idx="9">
                  <c:v>2019 O</c:v>
                </c:pt>
              </c:strCache>
            </c:strRef>
          </c:cat>
          <c:val>
            <c:numRef>
              <c:f>'G53, G54, G55, G56, G57, G58'!$B$34:$K$34</c:f>
              <c:numCache>
                <c:formatCode>#\ ##0.0</c:formatCode>
                <c:ptCount val="10"/>
                <c:pt idx="0">
                  <c:v>0.18619694397746772</c:v>
                </c:pt>
                <c:pt idx="1">
                  <c:v>-5.4353162999696635E-2</c:v>
                </c:pt>
                <c:pt idx="2">
                  <c:v>-2.9582753721696772E-2</c:v>
                </c:pt>
                <c:pt idx="3">
                  <c:v>-0.10803279785964713</c:v>
                </c:pt>
                <c:pt idx="4">
                  <c:v>0.17733112470070458</c:v>
                </c:pt>
                <c:pt idx="5">
                  <c:v>-2.563785242591176E-2</c:v>
                </c:pt>
                <c:pt idx="6">
                  <c:v>-4.2396288131537022E-2</c:v>
                </c:pt>
                <c:pt idx="7">
                  <c:v>1.1823573692311741E-2</c:v>
                </c:pt>
                <c:pt idx="8">
                  <c:v>-6.049328533286346E-2</c:v>
                </c:pt>
                <c:pt idx="9">
                  <c:v>2.2322186770047471E-2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C9A-44AE-809B-12BE02595CB3}"/>
            </c:ext>
          </c:extLst>
        </c:ser>
        <c:ser>
          <c:idx val="0"/>
          <c:order val="2"/>
          <c:tx>
            <c:strRef>
              <c:f>'G53, G54, G55, G56, G57, G58'!$A$35</c:f>
              <c:strCache>
                <c:ptCount val="1"/>
                <c:pt idx="0">
                  <c:v>Sociálne transfery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'G53, G54, G55, G56, G57, G58'!$B$2:$K$2</c:f>
              <c:strCache>
                <c:ptCount val="10"/>
                <c:pt idx="0">
                  <c:v>2010 S</c:v>
                </c:pt>
                <c:pt idx="1">
                  <c:v>2011 S</c:v>
                </c:pt>
                <c:pt idx="2">
                  <c:v>2012 S</c:v>
                </c:pt>
                <c:pt idx="3">
                  <c:v>2013 S</c:v>
                </c:pt>
                <c:pt idx="4">
                  <c:v>2014 S</c:v>
                </c:pt>
                <c:pt idx="5">
                  <c:v>2015 S</c:v>
                </c:pt>
                <c:pt idx="6">
                  <c:v>2016 O</c:v>
                </c:pt>
                <c:pt idx="7">
                  <c:v>2017 O</c:v>
                </c:pt>
                <c:pt idx="8">
                  <c:v>2018 O</c:v>
                </c:pt>
                <c:pt idx="9">
                  <c:v>2019 O</c:v>
                </c:pt>
              </c:strCache>
            </c:strRef>
          </c:cat>
          <c:val>
            <c:numRef>
              <c:f>'G53, G54, G55, G56, G57, G58'!$B$35:$K$35</c:f>
              <c:numCache>
                <c:formatCode>#\ ##0.0</c:formatCode>
                <c:ptCount val="10"/>
                <c:pt idx="0">
                  <c:v>-0.12772731363574813</c:v>
                </c:pt>
                <c:pt idx="1">
                  <c:v>0.21308102791233832</c:v>
                </c:pt>
                <c:pt idx="2">
                  <c:v>-2.9675746991004191E-2</c:v>
                </c:pt>
                <c:pt idx="3">
                  <c:v>-0.10409772453803412</c:v>
                </c:pt>
                <c:pt idx="4">
                  <c:v>-0.17521606100951631</c:v>
                </c:pt>
                <c:pt idx="5">
                  <c:v>0.23014386134805964</c:v>
                </c:pt>
                <c:pt idx="6">
                  <c:v>-2.4297133308426467E-2</c:v>
                </c:pt>
                <c:pt idx="7">
                  <c:v>0.1085206370295867</c:v>
                </c:pt>
                <c:pt idx="8">
                  <c:v>0.35854687174496536</c:v>
                </c:pt>
                <c:pt idx="9">
                  <c:v>0.39201955311140307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C9A-44AE-809B-12BE02595CB3}"/>
            </c:ext>
          </c:extLst>
        </c:ser>
        <c:ser>
          <c:idx val="1"/>
          <c:order val="3"/>
          <c:tx>
            <c:strRef>
              <c:f>'G53, G54, G55, G56, G57, G58'!$A$36</c:f>
              <c:strCache>
                <c:ptCount val="1"/>
                <c:pt idx="0">
                  <c:v>Zdravotná starostlivosť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'G53, G54, G55, G56, G57, G58'!$B$2:$K$2</c:f>
              <c:strCache>
                <c:ptCount val="10"/>
                <c:pt idx="0">
                  <c:v>2010 S</c:v>
                </c:pt>
                <c:pt idx="1">
                  <c:v>2011 S</c:v>
                </c:pt>
                <c:pt idx="2">
                  <c:v>2012 S</c:v>
                </c:pt>
                <c:pt idx="3">
                  <c:v>2013 S</c:v>
                </c:pt>
                <c:pt idx="4">
                  <c:v>2014 S</c:v>
                </c:pt>
                <c:pt idx="5">
                  <c:v>2015 S</c:v>
                </c:pt>
                <c:pt idx="6">
                  <c:v>2016 O</c:v>
                </c:pt>
                <c:pt idx="7">
                  <c:v>2017 O</c:v>
                </c:pt>
                <c:pt idx="8">
                  <c:v>2018 O</c:v>
                </c:pt>
                <c:pt idx="9">
                  <c:v>2019 O</c:v>
                </c:pt>
              </c:strCache>
            </c:strRef>
          </c:cat>
          <c:val>
            <c:numRef>
              <c:f>'G53, G54, G55, G56, G57, G58'!$B$36:$K$36</c:f>
              <c:numCache>
                <c:formatCode>#\ ##0.0</c:formatCode>
                <c:ptCount val="10"/>
                <c:pt idx="0">
                  <c:v>-2.0807245600190642E-2</c:v>
                </c:pt>
                <c:pt idx="1">
                  <c:v>0.34856908356099547</c:v>
                </c:pt>
                <c:pt idx="2">
                  <c:v>-1.2236456439067428E-2</c:v>
                </c:pt>
                <c:pt idx="3">
                  <c:v>-0.12446958758168621</c:v>
                </c:pt>
                <c:pt idx="4">
                  <c:v>-0.10237862969844284</c:v>
                </c:pt>
                <c:pt idx="5">
                  <c:v>-3.1454520695401E-2</c:v>
                </c:pt>
                <c:pt idx="6">
                  <c:v>-0.15946746063651485</c:v>
                </c:pt>
                <c:pt idx="7">
                  <c:v>2.4593583947953745E-2</c:v>
                </c:pt>
                <c:pt idx="8">
                  <c:v>9.873557087864869E-2</c:v>
                </c:pt>
                <c:pt idx="9">
                  <c:v>0.14377011269272794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C9A-44AE-809B-12BE02595CB3}"/>
            </c:ext>
          </c:extLst>
        </c:ser>
        <c:ser>
          <c:idx val="2"/>
          <c:order val="4"/>
          <c:tx>
            <c:strRef>
              <c:f>'G53, G54, G55, G56, G57, G58'!$A$37</c:f>
              <c:strCache>
                <c:ptCount val="1"/>
                <c:pt idx="0">
                  <c:v>Ostatné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'G53, G54, G55, G56, G57, G58'!$B$2:$K$2</c:f>
              <c:strCache>
                <c:ptCount val="10"/>
                <c:pt idx="0">
                  <c:v>2010 S</c:v>
                </c:pt>
                <c:pt idx="1">
                  <c:v>2011 S</c:v>
                </c:pt>
                <c:pt idx="2">
                  <c:v>2012 S</c:v>
                </c:pt>
                <c:pt idx="3">
                  <c:v>2013 S</c:v>
                </c:pt>
                <c:pt idx="4">
                  <c:v>2014 S</c:v>
                </c:pt>
                <c:pt idx="5">
                  <c:v>2015 S</c:v>
                </c:pt>
                <c:pt idx="6">
                  <c:v>2016 O</c:v>
                </c:pt>
                <c:pt idx="7">
                  <c:v>2017 O</c:v>
                </c:pt>
                <c:pt idx="8">
                  <c:v>2018 O</c:v>
                </c:pt>
                <c:pt idx="9">
                  <c:v>2019 O</c:v>
                </c:pt>
              </c:strCache>
            </c:strRef>
          </c:cat>
          <c:val>
            <c:numRef>
              <c:f>'G53, G54, G55, G56, G57, G58'!$B$37:$K$37</c:f>
              <c:numCache>
                <c:formatCode>#\ ##0.0</c:formatCode>
                <c:ptCount val="10"/>
                <c:pt idx="0">
                  <c:v>-2.366796052916436E-2</c:v>
                </c:pt>
                <c:pt idx="1">
                  <c:v>-6.2248584102504445E-3</c:v>
                </c:pt>
                <c:pt idx="2">
                  <c:v>-3.1444306414483633E-2</c:v>
                </c:pt>
                <c:pt idx="3">
                  <c:v>-3.3507927200218404E-2</c:v>
                </c:pt>
                <c:pt idx="4">
                  <c:v>4.8388448855393132E-2</c:v>
                </c:pt>
                <c:pt idx="5">
                  <c:v>1.4535807827465858E-2</c:v>
                </c:pt>
                <c:pt idx="6">
                  <c:v>1.1935200670184554E-2</c:v>
                </c:pt>
                <c:pt idx="7">
                  <c:v>-3.8647287680407316E-2</c:v>
                </c:pt>
                <c:pt idx="8">
                  <c:v>-2.020969327634084E-3</c:v>
                </c:pt>
                <c:pt idx="9">
                  <c:v>-1.4136328808150855E-3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C9A-44AE-809B-12BE02595C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2"/>
        <c:overlap val="100"/>
        <c:axId val="350306152"/>
        <c:axId val="350301560"/>
      </c:barChart>
      <c:lineChart>
        <c:grouping val="standard"/>
        <c:varyColors val="0"/>
        <c:ser>
          <c:idx val="3"/>
          <c:order val="5"/>
          <c:tx>
            <c:strRef>
              <c:f>'G53, G54, G55, G56, G57, G58'!$A$32</c:f>
              <c:strCache>
                <c:ptCount val="1"/>
                <c:pt idx="0">
                  <c:v>Vplyv povinných výdavkov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val>
            <c:numRef>
              <c:f>'G53, G54, G55, G56, G57, G58'!$B$32:$K$32</c:f>
              <c:numCache>
                <c:formatCode>#\ ##0.0</c:formatCode>
                <c:ptCount val="10"/>
                <c:pt idx="0">
                  <c:v>0.19425328600936004</c:v>
                </c:pt>
                <c:pt idx="1">
                  <c:v>0.29450505174957398</c:v>
                </c:pt>
                <c:pt idx="2">
                  <c:v>-0.27705126694436133</c:v>
                </c:pt>
                <c:pt idx="3">
                  <c:v>-0.40810516915528655</c:v>
                </c:pt>
                <c:pt idx="4">
                  <c:v>-0.17462402677641436</c:v>
                </c:pt>
                <c:pt idx="5">
                  <c:v>0.30630026771353613</c:v>
                </c:pt>
                <c:pt idx="6">
                  <c:v>-0.12545658188263481</c:v>
                </c:pt>
                <c:pt idx="7">
                  <c:v>0.36758324221310401</c:v>
                </c:pt>
                <c:pt idx="8">
                  <c:v>0.47058813267706973</c:v>
                </c:pt>
                <c:pt idx="9">
                  <c:v>0.67068124068725643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C9A-44AE-809B-12BE02595C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0306152"/>
        <c:axId val="350301560"/>
      </c:lineChart>
      <c:catAx>
        <c:axId val="3503061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350301560"/>
        <c:crosses val="autoZero"/>
        <c:auto val="1"/>
        <c:lblAlgn val="ctr"/>
        <c:lblOffset val="100"/>
        <c:noMultiLvlLbl val="0"/>
      </c:catAx>
      <c:valAx>
        <c:axId val="3503015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#\ 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3503061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8.9858705161854749E-2"/>
          <c:y val="1.3308544765237679E-2"/>
          <c:w val="0.6953088363954506"/>
          <c:h val="0.2881955380577427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onstantia" panose="02030602050306030303" pitchFamily="18" charset="0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Constantia" panose="02030602050306030303" pitchFamily="18" charset="0"/>
        </a:defRPr>
      </a:pPr>
      <a:endParaRPr lang="sk-SK"/>
    </a:p>
  </c:txPr>
  <c:printSettings>
    <c:headerFooter/>
    <c:pageMargins b="0.75" l="0.7" r="0.7" t="0.75" header="0.3" footer="0.3"/>
    <c:pageSetup/>
  </c:printSettings>
  <c:userShapes r:id="rId3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50699912510934E-2"/>
          <c:y val="4.394685039370079E-2"/>
          <c:w val="0.88096041119860014"/>
          <c:h val="0.87180191017789443"/>
        </c:manualLayout>
      </c:layout>
      <c:barChart>
        <c:barDir val="col"/>
        <c:grouping val="stacked"/>
        <c:varyColors val="0"/>
        <c:ser>
          <c:idx val="6"/>
          <c:order val="0"/>
          <c:tx>
            <c:strRef>
              <c:f>'G53, G54, G55, G56, G57, G58'!$A$41</c:f>
              <c:strCache>
                <c:ptCount val="1"/>
                <c:pt idx="0">
                  <c:v>Platené úroky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'G53, G54, G55, G56, G57, G58'!$B$2:$K$2</c:f>
              <c:strCache>
                <c:ptCount val="10"/>
                <c:pt idx="0">
                  <c:v>2010 S</c:v>
                </c:pt>
                <c:pt idx="1">
                  <c:v>2011 S</c:v>
                </c:pt>
                <c:pt idx="2">
                  <c:v>2012 S</c:v>
                </c:pt>
                <c:pt idx="3">
                  <c:v>2013 S</c:v>
                </c:pt>
                <c:pt idx="4">
                  <c:v>2014 S</c:v>
                </c:pt>
                <c:pt idx="5">
                  <c:v>2015 S</c:v>
                </c:pt>
                <c:pt idx="6">
                  <c:v>2016 O</c:v>
                </c:pt>
                <c:pt idx="7">
                  <c:v>2017 O</c:v>
                </c:pt>
                <c:pt idx="8">
                  <c:v>2018 O</c:v>
                </c:pt>
                <c:pt idx="9">
                  <c:v>2019 O</c:v>
                </c:pt>
              </c:strCache>
            </c:strRef>
          </c:cat>
          <c:val>
            <c:numRef>
              <c:f>'G53, G54, G55, G56, G57, G58'!$B$41:$K$41</c:f>
              <c:numCache>
                <c:formatCode>#\ ##0.0</c:formatCode>
                <c:ptCount val="10"/>
                <c:pt idx="0">
                  <c:v>0.13292294073866673</c:v>
                </c:pt>
                <c:pt idx="1">
                  <c:v>-8.6093814395646895E-2</c:v>
                </c:pt>
                <c:pt idx="2">
                  <c:v>-0.32309443060272347</c:v>
                </c:pt>
                <c:pt idx="3">
                  <c:v>-0.42810741697886096</c:v>
                </c:pt>
                <c:pt idx="4">
                  <c:v>-0.45407942889262759</c:v>
                </c:pt>
                <c:pt idx="5">
                  <c:v>-0.3062948415783725</c:v>
                </c:pt>
                <c:pt idx="6">
                  <c:v>-0.1936553407143444</c:v>
                </c:pt>
                <c:pt idx="7">
                  <c:v>-9.6571808514998858E-3</c:v>
                </c:pt>
                <c:pt idx="8">
                  <c:v>6.2120825207185162E-2</c:v>
                </c:pt>
                <c:pt idx="9">
                  <c:v>0.17327658043944805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DC9-4F35-850E-8BCFDBBCCBE7}"/>
            </c:ext>
          </c:extLst>
        </c:ser>
        <c:ser>
          <c:idx val="7"/>
          <c:order val="1"/>
          <c:tx>
            <c:strRef>
              <c:f>'G53, G54, G55, G56, G57, G58'!$A$42</c:f>
              <c:strCache>
                <c:ptCount val="1"/>
                <c:pt idx="0">
                  <c:v>Odvody do rozpočtu EÚ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'G53, G54, G55, G56, G57, G58'!$B$2:$K$2</c:f>
              <c:strCache>
                <c:ptCount val="10"/>
                <c:pt idx="0">
                  <c:v>2010 S</c:v>
                </c:pt>
                <c:pt idx="1">
                  <c:v>2011 S</c:v>
                </c:pt>
                <c:pt idx="2">
                  <c:v>2012 S</c:v>
                </c:pt>
                <c:pt idx="3">
                  <c:v>2013 S</c:v>
                </c:pt>
                <c:pt idx="4">
                  <c:v>2014 S</c:v>
                </c:pt>
                <c:pt idx="5">
                  <c:v>2015 S</c:v>
                </c:pt>
                <c:pt idx="6">
                  <c:v>2016 O</c:v>
                </c:pt>
                <c:pt idx="7">
                  <c:v>2017 O</c:v>
                </c:pt>
                <c:pt idx="8">
                  <c:v>2018 O</c:v>
                </c:pt>
                <c:pt idx="9">
                  <c:v>2019 O</c:v>
                </c:pt>
              </c:strCache>
            </c:strRef>
          </c:cat>
          <c:val>
            <c:numRef>
              <c:f>'G53, G54, G55, G56, G57, G58'!$B$42:$K$42</c:f>
              <c:numCache>
                <c:formatCode>#\ ##0.0</c:formatCode>
                <c:ptCount val="10"/>
                <c:pt idx="0">
                  <c:v>0.18619694397746772</c:v>
                </c:pt>
                <c:pt idx="1">
                  <c:v>0.13184378097777108</c:v>
                </c:pt>
                <c:pt idx="2">
                  <c:v>0.1022610272560743</c:v>
                </c:pt>
                <c:pt idx="3">
                  <c:v>-5.7717706035728261E-3</c:v>
                </c:pt>
                <c:pt idx="4">
                  <c:v>0.17155935409713174</c:v>
                </c:pt>
                <c:pt idx="5">
                  <c:v>0.14592150167121998</c:v>
                </c:pt>
                <c:pt idx="6">
                  <c:v>0.10352521353968296</c:v>
                </c:pt>
                <c:pt idx="7">
                  <c:v>0.1153487872319947</c:v>
                </c:pt>
                <c:pt idx="8">
                  <c:v>5.4855501899131236E-2</c:v>
                </c:pt>
                <c:pt idx="9">
                  <c:v>7.7177688669178707E-2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DC9-4F35-850E-8BCFDBBCCBE7}"/>
            </c:ext>
          </c:extLst>
        </c:ser>
        <c:ser>
          <c:idx val="0"/>
          <c:order val="2"/>
          <c:tx>
            <c:strRef>
              <c:f>'G53, G54, G55, G56, G57, G58'!$A$43</c:f>
              <c:strCache>
                <c:ptCount val="1"/>
                <c:pt idx="0">
                  <c:v>Sociálne transfery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'G53, G54, G55, G56, G57, G58'!$B$2:$K$2</c:f>
              <c:strCache>
                <c:ptCount val="10"/>
                <c:pt idx="0">
                  <c:v>2010 S</c:v>
                </c:pt>
                <c:pt idx="1">
                  <c:v>2011 S</c:v>
                </c:pt>
                <c:pt idx="2">
                  <c:v>2012 S</c:v>
                </c:pt>
                <c:pt idx="3">
                  <c:v>2013 S</c:v>
                </c:pt>
                <c:pt idx="4">
                  <c:v>2014 S</c:v>
                </c:pt>
                <c:pt idx="5">
                  <c:v>2015 S</c:v>
                </c:pt>
                <c:pt idx="6">
                  <c:v>2016 O</c:v>
                </c:pt>
                <c:pt idx="7">
                  <c:v>2017 O</c:v>
                </c:pt>
                <c:pt idx="8">
                  <c:v>2018 O</c:v>
                </c:pt>
                <c:pt idx="9">
                  <c:v>2019 O</c:v>
                </c:pt>
              </c:strCache>
            </c:strRef>
          </c:cat>
          <c:val>
            <c:numRef>
              <c:f>'G53, G54, G55, G56, G57, G58'!$B$43:$K$43</c:f>
              <c:numCache>
                <c:formatCode>#\ ##0.0</c:formatCode>
                <c:ptCount val="10"/>
                <c:pt idx="0">
                  <c:v>-0.12772731363574813</c:v>
                </c:pt>
                <c:pt idx="1">
                  <c:v>8.5353714276590192E-2</c:v>
                </c:pt>
                <c:pt idx="2">
                  <c:v>5.5677967285586001E-2</c:v>
                </c:pt>
                <c:pt idx="3">
                  <c:v>-4.8419757252448119E-2</c:v>
                </c:pt>
                <c:pt idx="4">
                  <c:v>-0.22363581826196444</c:v>
                </c:pt>
                <c:pt idx="5">
                  <c:v>6.5080430860952054E-3</c:v>
                </c:pt>
                <c:pt idx="6">
                  <c:v>-1.7789090222331261E-2</c:v>
                </c:pt>
                <c:pt idx="7">
                  <c:v>9.0731546807255439E-2</c:v>
                </c:pt>
                <c:pt idx="8">
                  <c:v>0.44927841855222078</c:v>
                </c:pt>
                <c:pt idx="9">
                  <c:v>0.84129797166362386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DC9-4F35-850E-8BCFDBBCCBE7}"/>
            </c:ext>
          </c:extLst>
        </c:ser>
        <c:ser>
          <c:idx val="1"/>
          <c:order val="3"/>
          <c:tx>
            <c:strRef>
              <c:f>'G53, G54, G55, G56, G57, G58'!$A$44</c:f>
              <c:strCache>
                <c:ptCount val="1"/>
                <c:pt idx="0">
                  <c:v>Zdravotná starostlivosť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'G53, G54, G55, G56, G57, G58'!$B$2:$K$2</c:f>
              <c:strCache>
                <c:ptCount val="10"/>
                <c:pt idx="0">
                  <c:v>2010 S</c:v>
                </c:pt>
                <c:pt idx="1">
                  <c:v>2011 S</c:v>
                </c:pt>
                <c:pt idx="2">
                  <c:v>2012 S</c:v>
                </c:pt>
                <c:pt idx="3">
                  <c:v>2013 S</c:v>
                </c:pt>
                <c:pt idx="4">
                  <c:v>2014 S</c:v>
                </c:pt>
                <c:pt idx="5">
                  <c:v>2015 S</c:v>
                </c:pt>
                <c:pt idx="6">
                  <c:v>2016 O</c:v>
                </c:pt>
                <c:pt idx="7">
                  <c:v>2017 O</c:v>
                </c:pt>
                <c:pt idx="8">
                  <c:v>2018 O</c:v>
                </c:pt>
                <c:pt idx="9">
                  <c:v>2019 O</c:v>
                </c:pt>
              </c:strCache>
            </c:strRef>
          </c:cat>
          <c:val>
            <c:numRef>
              <c:f>'G53, G54, G55, G56, G57, G58'!$B$44:$K$44</c:f>
              <c:numCache>
                <c:formatCode>#\ ##0.0</c:formatCode>
                <c:ptCount val="10"/>
                <c:pt idx="0">
                  <c:v>-2.0807245600190642E-2</c:v>
                </c:pt>
                <c:pt idx="1">
                  <c:v>0.32776183796080482</c:v>
                </c:pt>
                <c:pt idx="2">
                  <c:v>0.31552538152173737</c:v>
                </c:pt>
                <c:pt idx="3">
                  <c:v>0.19105579394005118</c:v>
                </c:pt>
                <c:pt idx="4">
                  <c:v>8.8677164241608333E-2</c:v>
                </c:pt>
                <c:pt idx="5">
                  <c:v>5.7222643546207333E-2</c:v>
                </c:pt>
                <c:pt idx="6">
                  <c:v>-0.10224481709030751</c:v>
                </c:pt>
                <c:pt idx="7">
                  <c:v>-7.7651233142353768E-2</c:v>
                </c:pt>
                <c:pt idx="8">
                  <c:v>2.1084337736294922E-2</c:v>
                </c:pt>
                <c:pt idx="9">
                  <c:v>0.16485445042902286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DC9-4F35-850E-8BCFDBBCCBE7}"/>
            </c:ext>
          </c:extLst>
        </c:ser>
        <c:ser>
          <c:idx val="2"/>
          <c:order val="4"/>
          <c:tx>
            <c:strRef>
              <c:f>'G53, G54, G55, G56, G57, G58'!$A$45</c:f>
              <c:strCache>
                <c:ptCount val="1"/>
                <c:pt idx="0">
                  <c:v>Ostatné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'G53, G54, G55, G56, G57, G58'!$B$2:$K$2</c:f>
              <c:strCache>
                <c:ptCount val="10"/>
                <c:pt idx="0">
                  <c:v>2010 S</c:v>
                </c:pt>
                <c:pt idx="1">
                  <c:v>2011 S</c:v>
                </c:pt>
                <c:pt idx="2">
                  <c:v>2012 S</c:v>
                </c:pt>
                <c:pt idx="3">
                  <c:v>2013 S</c:v>
                </c:pt>
                <c:pt idx="4">
                  <c:v>2014 S</c:v>
                </c:pt>
                <c:pt idx="5">
                  <c:v>2015 S</c:v>
                </c:pt>
                <c:pt idx="6">
                  <c:v>2016 O</c:v>
                </c:pt>
                <c:pt idx="7">
                  <c:v>2017 O</c:v>
                </c:pt>
                <c:pt idx="8">
                  <c:v>2018 O</c:v>
                </c:pt>
                <c:pt idx="9">
                  <c:v>2019 O</c:v>
                </c:pt>
              </c:strCache>
            </c:strRef>
          </c:cat>
          <c:val>
            <c:numRef>
              <c:f>'G53, G54, G55, G56, G57, G58'!$B$45:$K$45</c:f>
              <c:numCache>
                <c:formatCode>#\ ##0.0</c:formatCode>
                <c:ptCount val="10"/>
                <c:pt idx="0">
                  <c:v>-2.366796052916436E-2</c:v>
                </c:pt>
                <c:pt idx="1">
                  <c:v>-2.9892818939414804E-2</c:v>
                </c:pt>
                <c:pt idx="2">
                  <c:v>-6.1337125353898438E-2</c:v>
                </c:pt>
                <c:pt idx="3">
                  <c:v>-9.4845052554116849E-2</c:v>
                </c:pt>
                <c:pt idx="4">
                  <c:v>-4.6456603698723717E-2</c:v>
                </c:pt>
                <c:pt idx="5">
                  <c:v>-3.1920795871257859E-2</c:v>
                </c:pt>
                <c:pt idx="6">
                  <c:v>-1.9985595201073306E-2</c:v>
                </c:pt>
                <c:pt idx="7">
                  <c:v>-5.8632882881480622E-2</c:v>
                </c:pt>
                <c:pt idx="8">
                  <c:v>-6.0653852209114706E-2</c:v>
                </c:pt>
                <c:pt idx="9">
                  <c:v>-6.2067485089929791E-2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DC9-4F35-850E-8BCFDBBCCB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2"/>
        <c:overlap val="100"/>
        <c:axId val="350306152"/>
        <c:axId val="350301560"/>
      </c:barChart>
      <c:lineChart>
        <c:grouping val="standard"/>
        <c:varyColors val="0"/>
        <c:ser>
          <c:idx val="3"/>
          <c:order val="5"/>
          <c:tx>
            <c:strRef>
              <c:f>'G53, G54, G55, G56, G57, G58'!$A$32</c:f>
              <c:strCache>
                <c:ptCount val="1"/>
                <c:pt idx="0">
                  <c:v>Vplyv povinných výdavkov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val>
            <c:numRef>
              <c:f>'G53, G54, G55, G56, G57, G58'!$B$40:$K$40</c:f>
              <c:numCache>
                <c:formatCode>#\ ##0.0</c:formatCode>
                <c:ptCount val="10"/>
                <c:pt idx="0">
                  <c:v>0.19425328600936004</c:v>
                </c:pt>
                <c:pt idx="1">
                  <c:v>0.48875833775893401</c:v>
                </c:pt>
                <c:pt idx="2">
                  <c:v>0.21170707081457268</c:v>
                </c:pt>
                <c:pt idx="3">
                  <c:v>-0.19639809834071387</c:v>
                </c:pt>
                <c:pt idx="4">
                  <c:v>-0.37102212511712823</c:v>
                </c:pt>
                <c:pt idx="5">
                  <c:v>-6.4721857403592098E-2</c:v>
                </c:pt>
                <c:pt idx="6">
                  <c:v>-0.19017843928622691</c:v>
                </c:pt>
                <c:pt idx="7">
                  <c:v>0.1774048029268771</c:v>
                </c:pt>
                <c:pt idx="8">
                  <c:v>0.64799293560394688</c:v>
                </c:pt>
                <c:pt idx="9">
                  <c:v>1.3186741762912033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DC9-4F35-850E-8BCFDBBCCB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0306152"/>
        <c:axId val="350301560"/>
      </c:lineChart>
      <c:catAx>
        <c:axId val="3503061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350301560"/>
        <c:crosses val="autoZero"/>
        <c:auto val="1"/>
        <c:lblAlgn val="ctr"/>
        <c:lblOffset val="100"/>
        <c:noMultiLvlLbl val="0"/>
      </c:catAx>
      <c:valAx>
        <c:axId val="3503015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#\ 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3503061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7.8747594050743663E-2"/>
          <c:y val="4.0492855059784186E-3"/>
          <c:w val="0.68593678915135603"/>
          <c:h val="0.3368088363954505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onstantia" panose="02030602050306030303" pitchFamily="18" charset="0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Constantia" panose="02030602050306030303" pitchFamily="18" charset="0"/>
        </a:defRPr>
      </a:pPr>
      <a:endParaRPr lang="sk-SK"/>
    </a:p>
  </c:txPr>
  <c:printSettings>
    <c:headerFooter/>
    <c:pageMargins b="0.75" l="0.7" r="0.7" t="0.75" header="0.3" footer="0.3"/>
    <c:pageSetup/>
  </c:printSettings>
  <c:userShapes r:id="rId3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596175478065237E-2"/>
          <c:y val="9.0318316767781057E-2"/>
          <c:w val="0.8871037730453184"/>
          <c:h val="0.82276356439051679"/>
        </c:manualLayout>
      </c:layout>
      <c:scatterChart>
        <c:scatterStyle val="smoothMarker"/>
        <c:varyColors val="0"/>
        <c:ser>
          <c:idx val="0"/>
          <c:order val="0"/>
          <c:tx>
            <c:v>NRVS 2017-2019</c:v>
          </c:tx>
          <c:spPr>
            <a:ln>
              <a:solidFill>
                <a:srgbClr val="58595B"/>
              </a:solidFill>
            </a:ln>
          </c:spPr>
          <c:marker>
            <c:symbol val="diamond"/>
            <c:size val="5"/>
            <c:spPr>
              <a:solidFill>
                <a:srgbClr val="58595B"/>
              </a:solidFill>
              <a:ln>
                <a:solidFill>
                  <a:srgbClr val="58595B"/>
                </a:solidFill>
              </a:ln>
            </c:spPr>
          </c:marker>
          <c:dLbls>
            <c:dLbl>
              <c:idx val="0"/>
              <c:layout>
                <c:manualLayout>
                  <c:x val="-0.11109385572489228"/>
                  <c:y val="-3.4711020333241784E-2"/>
                </c:manualLayout>
              </c:layout>
              <c:tx>
                <c:rich>
                  <a:bodyPr/>
                  <a:lstStyle/>
                  <a:p>
                    <a:r>
                      <a:rPr lang="en-US" b="1">
                        <a:solidFill>
                          <a:srgbClr val="DCB47B"/>
                        </a:solidFill>
                      </a:rPr>
                      <a:t>2015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4D6-489A-B25E-A1E1DF2F7DDB}"/>
                </c:ext>
              </c:extLst>
            </c:dLbl>
            <c:dLbl>
              <c:idx val="1"/>
              <c:layout>
                <c:manualLayout>
                  <c:x val="0.15859734929887231"/>
                  <c:y val="0.21476954880381041"/>
                </c:manualLayout>
              </c:layout>
              <c:tx>
                <c:rich>
                  <a:bodyPr wrap="square" lIns="38100" tIns="19050" rIns="38100" bIns="19050" anchor="ctr">
                    <a:noAutofit/>
                  </a:bodyPr>
                  <a:lstStyle/>
                  <a:p>
                    <a:pPr>
                      <a:defRPr sz="900" b="1">
                        <a:solidFill>
                          <a:srgbClr val="DCB47B"/>
                        </a:solidFill>
                        <a:latin typeface="Constantia" panose="02030602050306030303" pitchFamily="18" charset="0"/>
                      </a:defRPr>
                    </a:pPr>
                    <a:r>
                      <a:rPr lang="en-US" b="1">
                        <a:solidFill>
                          <a:srgbClr val="13B5EA"/>
                        </a:solidFill>
                      </a:rPr>
                      <a:t>2019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7457232596559705E-2"/>
                      <c:h val="6.445176040919128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B4D6-489A-B25E-A1E1DF2F7DDB}"/>
                </c:ext>
              </c:extLst>
            </c:dLbl>
            <c:dLbl>
              <c:idx val="2"/>
              <c:layout>
                <c:manualLayout>
                  <c:x val="-4.2032495115157088E-2"/>
                  <c:y val="-0.27653804875521165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2016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4D6-489A-B25E-A1E1DF2F7DDB}"/>
                </c:ext>
              </c:extLst>
            </c:dLbl>
            <c:dLbl>
              <c:idx val="3"/>
              <c:layout>
                <c:manualLayout>
                  <c:x val="-0.10645672023993492"/>
                  <c:y val="-7.1993202271373458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2017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4D6-489A-B25E-A1E1DF2F7DDB}"/>
                </c:ext>
              </c:extLst>
            </c:dLbl>
            <c:dLbl>
              <c:idx val="4"/>
              <c:layout>
                <c:manualLayout>
                  <c:x val="-8.1412594937423699E-2"/>
                  <c:y val="-4.4798901092574429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2018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4D6-489A-B25E-A1E1DF2F7DDB}"/>
                </c:ext>
              </c:extLst>
            </c:dLbl>
            <c:dLbl>
              <c:idx val="5"/>
              <c:layout>
                <c:manualLayout>
                  <c:x val="-0.11424863225700135"/>
                  <c:y val="-1.8115947197291829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2015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4D6-489A-B25E-A1E1DF2F7DDB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r>
                      <a:rPr lang="en-US"/>
                      <a:t>2016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4D6-489A-B25E-A1E1DF2F7DD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>
                    <a:solidFill>
                      <a:srgbClr val="DCB47B"/>
                    </a:solidFill>
                    <a:latin typeface="Constantia" panose="02030602050306030303" pitchFamily="18" charset="0"/>
                  </a:defRPr>
                </a:pPr>
                <a:endParaRPr lang="sk-SK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'G59'!$B$8:$F$8</c:f>
              <c:numCache>
                <c:formatCode>#\ ##0.0</c:formatCode>
                <c:ptCount val="5"/>
                <c:pt idx="0">
                  <c:v>-0.19320217454966901</c:v>
                </c:pt>
                <c:pt idx="1">
                  <c:v>-9.8145419378348947E-2</c:v>
                </c:pt>
                <c:pt idx="2">
                  <c:v>0.13615557580521215</c:v>
                </c:pt>
                <c:pt idx="3">
                  <c:v>0.30441620838392247</c:v>
                </c:pt>
                <c:pt idx="4">
                  <c:v>0.59555955865350696</c:v>
                </c:pt>
              </c:numCache>
            </c:numRef>
          </c:xVal>
          <c:yVal>
            <c:numRef>
              <c:f>'G59'!$B$7:$F$7</c:f>
              <c:numCache>
                <c:formatCode>#\ ##0.0</c:formatCode>
                <c:ptCount val="5"/>
                <c:pt idx="0">
                  <c:v>-2.930666609385105</c:v>
                </c:pt>
                <c:pt idx="1">
                  <c:v>2.7494253288970838</c:v>
                </c:pt>
                <c:pt idx="2">
                  <c:v>-7.0583971216730768E-2</c:v>
                </c:pt>
                <c:pt idx="3">
                  <c:v>5.4516230983340463E-2</c:v>
                </c:pt>
                <c:pt idx="4">
                  <c:v>0.37668216796203868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7-B4D6-489A-B25E-A1E1DF2F7DDB}"/>
            </c:ext>
          </c:extLst>
        </c:ser>
        <c:ser>
          <c:idx val="1"/>
          <c:order val="1"/>
          <c:tx>
            <c:v>NRVS 2014-2019 (VpMP)</c:v>
          </c:tx>
          <c:spPr>
            <a:ln>
              <a:solidFill>
                <a:srgbClr val="DCB47B"/>
              </a:solidFill>
              <a:prstDash val="sysDash"/>
            </a:ln>
          </c:spPr>
          <c:marker>
            <c:symbol val="square"/>
            <c:size val="5"/>
            <c:spPr>
              <a:solidFill>
                <a:srgbClr val="DCB47B"/>
              </a:solidFill>
              <a:ln>
                <a:solidFill>
                  <a:srgbClr val="DCB47B"/>
                </a:solidFill>
                <a:prstDash val="sysDash"/>
              </a:ln>
            </c:spPr>
          </c:marker>
          <c:dLbls>
            <c:dLbl>
              <c:idx val="0"/>
              <c:layout>
                <c:manualLayout>
                  <c:x val="-4.5964932349558001E-2"/>
                  <c:y val="3.7103139885291979E-2"/>
                </c:manualLayout>
              </c:layout>
              <c:tx>
                <c:rich>
                  <a:bodyPr wrap="square" lIns="38100" tIns="19050" rIns="38100" bIns="19050" anchor="ctr">
                    <a:spAutoFit/>
                  </a:bodyPr>
                  <a:lstStyle/>
                  <a:p>
                    <a:pPr>
                      <a:defRPr sz="900" b="1">
                        <a:solidFill>
                          <a:schemeClr val="bg1">
                            <a:lumMod val="50000"/>
                          </a:schemeClr>
                        </a:solidFill>
                        <a:latin typeface="Constantia" panose="02030602050306030303" pitchFamily="18" charset="0"/>
                      </a:defRPr>
                    </a:pPr>
                    <a:r>
                      <a:rPr lang="en-US" sz="900" b="1">
                        <a:solidFill>
                          <a:schemeClr val="bg1">
                            <a:lumMod val="50000"/>
                          </a:schemeClr>
                        </a:solidFill>
                        <a:latin typeface="Constantia" panose="02030602050306030303" pitchFamily="18" charset="0"/>
                      </a:rPr>
                      <a:t>2015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4D6-489A-B25E-A1E1DF2F7DDB}"/>
                </c:ext>
              </c:extLst>
            </c:dLbl>
            <c:dLbl>
              <c:idx val="1"/>
              <c:layout>
                <c:manualLayout>
                  <c:x val="0.13239387595219784"/>
                  <c:y val="0.2875552323917594"/>
                </c:manualLayout>
              </c:layout>
              <c:tx>
                <c:rich>
                  <a:bodyPr wrap="square" lIns="38100" tIns="19050" rIns="38100" bIns="19050" anchor="ctr">
                    <a:spAutoFit/>
                  </a:bodyPr>
                  <a:lstStyle/>
                  <a:p>
                    <a:pPr>
                      <a:defRPr sz="900" b="1">
                        <a:solidFill>
                          <a:schemeClr val="bg1">
                            <a:lumMod val="50000"/>
                          </a:schemeClr>
                        </a:solidFill>
                        <a:latin typeface="Constantia" panose="02030602050306030303" pitchFamily="18" charset="0"/>
                      </a:defRPr>
                    </a:pPr>
                    <a:r>
                      <a:rPr lang="en-US" sz="900" b="1">
                        <a:solidFill>
                          <a:schemeClr val="bg1">
                            <a:lumMod val="50000"/>
                          </a:schemeClr>
                        </a:solidFill>
                        <a:latin typeface="Constantia" panose="02030602050306030303" pitchFamily="18" charset="0"/>
                      </a:rPr>
                      <a:t>2019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4D6-489A-B25E-A1E1DF2F7DDB}"/>
                </c:ext>
              </c:extLst>
            </c:dLbl>
            <c:dLbl>
              <c:idx val="2"/>
              <c:layout>
                <c:manualLayout>
                  <c:x val="-0.19154180326943079"/>
                  <c:y val="-0.29096357938749323"/>
                </c:manualLayout>
              </c:layout>
              <c:tx>
                <c:rich>
                  <a:bodyPr wrap="square" lIns="38100" tIns="19050" rIns="38100" bIns="19050" anchor="ctr">
                    <a:spAutoFit/>
                  </a:bodyPr>
                  <a:lstStyle/>
                  <a:p>
                    <a:pPr>
                      <a:defRPr sz="900" b="1">
                        <a:solidFill>
                          <a:schemeClr val="bg1">
                            <a:lumMod val="50000"/>
                          </a:schemeClr>
                        </a:solidFill>
                        <a:latin typeface="Constantia" panose="02030602050306030303" pitchFamily="18" charset="0"/>
                      </a:defRPr>
                    </a:pPr>
                    <a:r>
                      <a:rPr lang="en-US" sz="900" b="1">
                        <a:solidFill>
                          <a:schemeClr val="bg1">
                            <a:lumMod val="50000"/>
                          </a:schemeClr>
                        </a:solidFill>
                        <a:latin typeface="Constantia" panose="02030602050306030303" pitchFamily="18" charset="0"/>
                      </a:rPr>
                      <a:t>2016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4D6-489A-B25E-A1E1DF2F7DDB}"/>
                </c:ext>
              </c:extLst>
            </c:dLbl>
            <c:dLbl>
              <c:idx val="3"/>
              <c:layout>
                <c:manualLayout>
                  <c:x val="-7.3116832711968296E-2"/>
                  <c:y val="0.11162302544305294"/>
                </c:manualLayout>
              </c:layout>
              <c:tx>
                <c:rich>
                  <a:bodyPr wrap="square" lIns="38100" tIns="19050" rIns="38100" bIns="19050" anchor="ctr">
                    <a:spAutoFit/>
                  </a:bodyPr>
                  <a:lstStyle/>
                  <a:p>
                    <a:pPr>
                      <a:defRPr sz="900" b="1">
                        <a:solidFill>
                          <a:schemeClr val="bg1">
                            <a:lumMod val="50000"/>
                          </a:schemeClr>
                        </a:solidFill>
                        <a:latin typeface="Constantia" panose="02030602050306030303" pitchFamily="18" charset="0"/>
                      </a:defRPr>
                    </a:pPr>
                    <a:r>
                      <a:rPr lang="en-US" sz="900" b="1">
                        <a:solidFill>
                          <a:schemeClr val="bg1">
                            <a:lumMod val="50000"/>
                          </a:schemeClr>
                        </a:solidFill>
                        <a:latin typeface="Constantia" panose="02030602050306030303" pitchFamily="18" charset="0"/>
                      </a:rPr>
                      <a:t>2017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4D6-489A-B25E-A1E1DF2F7DDB}"/>
                </c:ext>
              </c:extLst>
            </c:dLbl>
            <c:dLbl>
              <c:idx val="4"/>
              <c:layout>
                <c:manualLayout>
                  <c:x val="-0.10755561738973307"/>
                  <c:y val="3.2469043275237225E-2"/>
                </c:manualLayout>
              </c:layout>
              <c:tx>
                <c:rich>
                  <a:bodyPr/>
                  <a:lstStyle/>
                  <a:p>
                    <a:r>
                      <a:rPr lang="en-US" b="1">
                        <a:latin typeface="Constantia" panose="02030602050306030303" pitchFamily="18" charset="0"/>
                      </a:rPr>
                      <a:t>2018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4D6-489A-B25E-A1E1DF2F7DD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sk-SK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'G59'!$B$16:$F$16</c:f>
              <c:numCache>
                <c:formatCode>#\ ##0.0</c:formatCode>
                <c:ptCount val="5"/>
                <c:pt idx="0">
                  <c:v>-0.19320217454966901</c:v>
                </c:pt>
                <c:pt idx="1">
                  <c:v>-9.8145419378348947E-2</c:v>
                </c:pt>
                <c:pt idx="2">
                  <c:v>0.13615557580521215</c:v>
                </c:pt>
                <c:pt idx="3">
                  <c:v>0.30441620838392247</c:v>
                </c:pt>
                <c:pt idx="4">
                  <c:v>0.59555955865350696</c:v>
                </c:pt>
              </c:numCache>
            </c:numRef>
          </c:xVal>
          <c:yVal>
            <c:numRef>
              <c:f>'G59'!$B$15:$F$15</c:f>
              <c:numCache>
                <c:formatCode>#\ ##0.0</c:formatCode>
                <c:ptCount val="5"/>
                <c:pt idx="0">
                  <c:v>-2.930666609385105</c:v>
                </c:pt>
                <c:pt idx="1">
                  <c:v>2.6931756079342484</c:v>
                </c:pt>
                <c:pt idx="2">
                  <c:v>0.12720572068274716</c:v>
                </c:pt>
                <c:pt idx="3">
                  <c:v>0.62823947220191667</c:v>
                </c:pt>
                <c:pt idx="4">
                  <c:v>0.16711123700314223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D-B4D6-489A-B25E-A1E1DF2F7DDB}"/>
            </c:ext>
          </c:extLst>
        </c:ser>
        <c:ser>
          <c:idx val="2"/>
          <c:order val="2"/>
          <c:tx>
            <c:v>RRZ</c:v>
          </c:tx>
          <c:spPr>
            <a:ln>
              <a:solidFill>
                <a:srgbClr val="13B5EA"/>
              </a:solidFill>
            </a:ln>
          </c:spPr>
          <c:marker>
            <c:symbol val="circle"/>
            <c:size val="5"/>
            <c:spPr>
              <a:solidFill>
                <a:srgbClr val="13B5EA"/>
              </a:solidFill>
              <a:ln>
                <a:solidFill>
                  <a:srgbClr val="13B5EA"/>
                </a:solidFill>
              </a:ln>
            </c:spPr>
          </c:marker>
          <c:dLbls>
            <c:dLbl>
              <c:idx val="0"/>
              <c:layout>
                <c:manualLayout>
                  <c:x val="-0.12267958030669895"/>
                  <c:y val="3.798670465337118E-2"/>
                </c:manualLayout>
              </c:layout>
              <c:tx>
                <c:rich>
                  <a:bodyPr/>
                  <a:lstStyle/>
                  <a:p>
                    <a:r>
                      <a:rPr lang="en-US" sz="900">
                        <a:solidFill>
                          <a:srgbClr val="13B5EA"/>
                        </a:solidFill>
                        <a:latin typeface="Constantia" panose="02030602050306030303" pitchFamily="18" charset="0"/>
                      </a:rPr>
                      <a:t>2015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14D-47EA-BA3E-09673E168E04}"/>
                </c:ext>
              </c:extLst>
            </c:dLbl>
            <c:dLbl>
              <c:idx val="1"/>
              <c:layout>
                <c:manualLayout>
                  <c:x val="-0.10653753026634388"/>
                  <c:y val="1.8993352326685659E-2"/>
                </c:manualLayout>
              </c:layout>
              <c:tx>
                <c:rich>
                  <a:bodyPr wrap="square" lIns="38100" tIns="19050" rIns="38100" bIns="19050" anchor="ctr">
                    <a:spAutoFit/>
                  </a:bodyPr>
                  <a:lstStyle/>
                  <a:p>
                    <a:pPr>
                      <a:defRPr>
                        <a:solidFill>
                          <a:srgbClr val="13B5EA"/>
                        </a:solidFill>
                        <a:latin typeface="Constantia" panose="02030602050306030303" pitchFamily="18" charset="0"/>
                      </a:defRPr>
                    </a:pPr>
                    <a:r>
                      <a:rPr lang="en-US" sz="900"/>
                      <a:t>2016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14D-47EA-BA3E-09673E168E04}"/>
                </c:ext>
              </c:extLst>
            </c:dLbl>
            <c:dLbl>
              <c:idx val="2"/>
              <c:layout>
                <c:manualLayout>
                  <c:x val="-9.1058555482883288E-2"/>
                  <c:y val="-3.7141296370740449E-2"/>
                </c:manualLayout>
              </c:layout>
              <c:tx>
                <c:rich>
                  <a:bodyPr/>
                  <a:lstStyle/>
                  <a:p>
                    <a:r>
                      <a:rPr lang="en-US" sz="900">
                        <a:solidFill>
                          <a:srgbClr val="13B5EA"/>
                        </a:solidFill>
                        <a:latin typeface="Constantia" panose="02030602050306030303" pitchFamily="18" charset="0"/>
                      </a:rPr>
                      <a:t>2017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14D-47EA-BA3E-09673E168E04}"/>
                </c:ext>
              </c:extLst>
            </c:dLbl>
            <c:dLbl>
              <c:idx val="3"/>
              <c:layout>
                <c:manualLayout>
                  <c:x val="-3.2284100080710247E-2"/>
                  <c:y val="-3.4188034188034191E-2"/>
                </c:manualLayout>
              </c:layout>
              <c:tx>
                <c:rich>
                  <a:bodyPr/>
                  <a:lstStyle/>
                  <a:p>
                    <a:r>
                      <a:rPr lang="en-US" sz="900">
                        <a:solidFill>
                          <a:srgbClr val="13B5EA"/>
                        </a:solidFill>
                        <a:latin typeface="Constantia" panose="02030602050306030303" pitchFamily="18" charset="0"/>
                      </a:rPr>
                      <a:t>2018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14D-47EA-BA3E-09673E168E04}"/>
                </c:ext>
              </c:extLst>
            </c:dLbl>
            <c:dLbl>
              <c:idx val="4"/>
              <c:layout>
                <c:manualLayout>
                  <c:x val="2.4390844936652426E-3"/>
                  <c:y val="4.5804742763612565E-2"/>
                </c:manualLayout>
              </c:layout>
              <c:tx>
                <c:rich>
                  <a:bodyPr/>
                  <a:lstStyle/>
                  <a:p>
                    <a:r>
                      <a:rPr lang="en-US" sz="900">
                        <a:solidFill>
                          <a:srgbClr val="DCB47B"/>
                        </a:solidFill>
                        <a:latin typeface="Constantia" panose="02030602050306030303" pitchFamily="18" charset="0"/>
                      </a:rPr>
                      <a:t>2019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14D-47EA-BA3E-09673E168E0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'G59'!$B$24:$F$24</c:f>
              <c:numCache>
                <c:formatCode>#\ ##0.0</c:formatCode>
                <c:ptCount val="5"/>
                <c:pt idx="0">
                  <c:v>-0.19320217454966901</c:v>
                </c:pt>
                <c:pt idx="1">
                  <c:v>-9.8145419378348947E-2</c:v>
                </c:pt>
                <c:pt idx="2">
                  <c:v>0.13615557580521215</c:v>
                </c:pt>
                <c:pt idx="3">
                  <c:v>0.30441620838392247</c:v>
                </c:pt>
                <c:pt idx="4">
                  <c:v>0.59555955865350696</c:v>
                </c:pt>
              </c:numCache>
            </c:numRef>
          </c:xVal>
          <c:yVal>
            <c:numRef>
              <c:f>'G59'!$B$23:$F$23</c:f>
              <c:numCache>
                <c:formatCode>#\ ##0.0</c:formatCode>
                <c:ptCount val="5"/>
                <c:pt idx="0">
                  <c:v>-2.9678151890939337</c:v>
                </c:pt>
                <c:pt idx="1">
                  <c:v>2.771563495595565</c:v>
                </c:pt>
                <c:pt idx="2">
                  <c:v>4.5212492996843268E-2</c:v>
                </c:pt>
                <c:pt idx="3">
                  <c:v>0.96789356979022589</c:v>
                </c:pt>
                <c:pt idx="4">
                  <c:v>0.60512749677181399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414D-47EA-BA3E-09673E168E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82818608"/>
        <c:axId val="382819000"/>
      </c:scatterChart>
      <c:valAx>
        <c:axId val="382818608"/>
        <c:scaling>
          <c:orientation val="minMax"/>
          <c:max val="2"/>
          <c:min val="-2"/>
        </c:scaling>
        <c:delete val="0"/>
        <c:axPos val="b"/>
        <c:numFmt formatCode="#,##0.0" sourceLinked="0"/>
        <c:majorTickMark val="out"/>
        <c:minorTickMark val="none"/>
        <c:tickLblPos val="nextTo"/>
        <c:txPr>
          <a:bodyPr/>
          <a:lstStyle/>
          <a:p>
            <a:pPr>
              <a:defRPr sz="800">
                <a:latin typeface="Constantia" pitchFamily="18" charset="0"/>
              </a:defRPr>
            </a:pPr>
            <a:endParaRPr lang="sk-SK"/>
          </a:p>
        </c:txPr>
        <c:crossAx val="382819000"/>
        <c:crosses val="autoZero"/>
        <c:crossBetween val="midCat"/>
        <c:majorUnit val="0.5"/>
      </c:valAx>
      <c:valAx>
        <c:axId val="382819000"/>
        <c:scaling>
          <c:orientation val="minMax"/>
          <c:max val="4"/>
          <c:min val="-4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ysDot"/>
            </a:ln>
          </c:spPr>
        </c:majorGridlines>
        <c:numFmt formatCode="#\ ##0.0" sourceLinked="1"/>
        <c:majorTickMark val="out"/>
        <c:minorTickMark val="none"/>
        <c:tickLblPos val="nextTo"/>
        <c:spPr>
          <a:ln>
            <a:solidFill>
              <a:srgbClr val="000000"/>
            </a:solidFill>
            <a:prstDash val="sysDot"/>
          </a:ln>
        </c:spPr>
        <c:txPr>
          <a:bodyPr/>
          <a:lstStyle/>
          <a:p>
            <a:pPr>
              <a:defRPr sz="800">
                <a:latin typeface="Constantia" pitchFamily="18" charset="0"/>
              </a:defRPr>
            </a:pPr>
            <a:endParaRPr lang="sk-SK"/>
          </a:p>
        </c:txPr>
        <c:crossAx val="382818608"/>
        <c:crosses val="autoZero"/>
        <c:crossBetween val="midCat"/>
        <c:majorUnit val="1"/>
      </c:valAx>
    </c:plotArea>
    <c:legend>
      <c:legendPos val="r"/>
      <c:layout>
        <c:manualLayout>
          <c:xMode val="edge"/>
          <c:yMode val="edge"/>
          <c:x val="0.5359160613397902"/>
          <c:y val="0.66891655637062464"/>
          <c:w val="0.44458510482799818"/>
          <c:h val="0.16014327268920445"/>
        </c:manualLayout>
      </c:layout>
      <c:overlay val="0"/>
      <c:txPr>
        <a:bodyPr/>
        <a:lstStyle/>
        <a:p>
          <a:pPr>
            <a:defRPr sz="800">
              <a:latin typeface="Constantia" panose="02030602050306030303" pitchFamily="18" charset="0"/>
            </a:defRPr>
          </a:pPr>
          <a:endParaRPr lang="sk-SK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7289807524059492E-2"/>
          <c:y val="5.0925925925925923E-2"/>
          <c:w val="0.92271019247594055"/>
          <c:h val="0.9126151939340914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'G06'!$A$2</c:f>
              <c:strCache>
                <c:ptCount val="1"/>
                <c:pt idx="0">
                  <c:v>vplyv daňových opatrení</c:v>
                </c:pt>
              </c:strCache>
            </c:strRef>
          </c:tx>
          <c:spPr>
            <a:solidFill>
              <a:srgbClr val="DCB47B"/>
            </a:solidFill>
            <a:ln>
              <a:solidFill>
                <a:srgbClr val="DCB47B"/>
              </a:solidFill>
            </a:ln>
            <a:effectLst/>
          </c:spPr>
          <c:invertIfNegative val="0"/>
          <c:dLbls>
            <c:dLbl>
              <c:idx val="0"/>
              <c:layout>
                <c:manualLayout>
                  <c:x val="-6.2451209992193599E-3"/>
                  <c:y val="2.847710702828813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822-451E-A7EA-F86BA77EACFD}"/>
                </c:ext>
              </c:extLst>
            </c:dLbl>
            <c:dLbl>
              <c:idx val="1"/>
              <c:layout>
                <c:manualLayout>
                  <c:x val="-6.2451209992193599E-3"/>
                  <c:y val="-3.078215223097112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822-451E-A7EA-F86BA77EACFD}"/>
                </c:ext>
              </c:extLst>
            </c:dLbl>
            <c:dLbl>
              <c:idx val="2"/>
              <c:layout>
                <c:manualLayout>
                  <c:x val="-3.1225604996095654E-3"/>
                  <c:y val="3.15520559930003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822-451E-A7EA-F86BA77EACF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Constantia" panose="02030602050306030303" pitchFamily="18" charset="0"/>
                    <a:ea typeface="+mn-ea"/>
                    <a:cs typeface="+mn-cs"/>
                  </a:defRPr>
                </a:pPr>
                <a:endParaRPr lang="sk-SK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'G06'!$B$1:$D$1</c:f>
              <c:strCache>
                <c:ptCount val="3"/>
                <c:pt idx="0">
                  <c:v>2017N</c:v>
                </c:pt>
                <c:pt idx="1">
                  <c:v>2018N</c:v>
                </c:pt>
                <c:pt idx="2">
                  <c:v>2019N</c:v>
                </c:pt>
              </c:strCache>
            </c:strRef>
          </c:cat>
          <c:val>
            <c:numRef>
              <c:f>'G06'!$B$2:$D$2</c:f>
              <c:numCache>
                <c:formatCode>0.00</c:formatCode>
                <c:ptCount val="3"/>
                <c:pt idx="0">
                  <c:v>0.25551741949536561</c:v>
                </c:pt>
                <c:pt idx="1">
                  <c:v>0.31645776139122894</c:v>
                </c:pt>
                <c:pt idx="2">
                  <c:v>0.28534084012636729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822-451E-A7EA-F86BA77EACFD}"/>
            </c:ext>
          </c:extLst>
        </c:ser>
        <c:ser>
          <c:idx val="1"/>
          <c:order val="1"/>
          <c:tx>
            <c:strRef>
              <c:f>'G06'!$A$3</c:f>
              <c:strCache>
                <c:ptCount val="1"/>
                <c:pt idx="0">
                  <c:v>vplyv nedaňových opatrení</c:v>
                </c:pt>
              </c:strCache>
            </c:strRef>
          </c:tx>
          <c:spPr>
            <a:solidFill>
              <a:schemeClr val="accent5"/>
            </a:solidFill>
            <a:ln>
              <a:solidFill>
                <a:schemeClr val="accent5"/>
              </a:solidFill>
            </a:ln>
            <a:effectLst/>
          </c:spPr>
          <c:invertIfNegative val="0"/>
          <c:dLbls>
            <c:dLbl>
              <c:idx val="0"/>
              <c:layout>
                <c:manualLayout>
                  <c:x val="-6.2451209992193885E-3"/>
                  <c:y val="-7.5574686497521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822-451E-A7EA-F86BA77EACFD}"/>
                </c:ext>
              </c:extLst>
            </c:dLbl>
            <c:dLbl>
              <c:idx val="1"/>
              <c:layout>
                <c:manualLayout>
                  <c:x val="-6.2451209992193026E-3"/>
                  <c:y val="-6.9340799066783351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Constantia" panose="02030602050306030303" pitchFamily="18" charset="0"/>
                      <a:ea typeface="+mn-ea"/>
                      <a:cs typeface="+mn-cs"/>
                    </a:defRPr>
                  </a:pPr>
                  <a:endParaRPr lang="sk-SK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3466165090019483E-2"/>
                      <c:h val="7.102245552639253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2822-451E-A7EA-F86BA77EACFD}"/>
                </c:ext>
              </c:extLst>
            </c:dLbl>
            <c:dLbl>
              <c:idx val="2"/>
              <c:layout>
                <c:manualLayout>
                  <c:x val="3.1225604996096799E-3"/>
                  <c:y val="-5.7951122776319627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Constantia" panose="02030602050306030303" pitchFamily="18" charset="0"/>
                      <a:ea typeface="+mn-ea"/>
                      <a:cs typeface="+mn-cs"/>
                    </a:defRPr>
                  </a:pPr>
                  <a:endParaRPr lang="sk-SK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8.8290275191010958E-2"/>
                      <c:h val="8.2874307378244375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6-2822-451E-A7EA-F86BA77EACF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Constantia" panose="02030602050306030303" pitchFamily="18" charset="0"/>
                    <a:ea typeface="+mn-ea"/>
                    <a:cs typeface="+mn-cs"/>
                  </a:defRPr>
                </a:pPr>
                <a:endParaRPr lang="sk-SK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'G06'!$B$1:$D$1</c:f>
              <c:strCache>
                <c:ptCount val="3"/>
                <c:pt idx="0">
                  <c:v>2017N</c:v>
                </c:pt>
                <c:pt idx="1">
                  <c:v>2018N</c:v>
                </c:pt>
                <c:pt idx="2">
                  <c:v>2019N</c:v>
                </c:pt>
              </c:strCache>
            </c:strRef>
          </c:cat>
          <c:val>
            <c:numRef>
              <c:f>'G06'!$B$3:$D$3</c:f>
              <c:numCache>
                <c:formatCode>0.00</c:formatCode>
                <c:ptCount val="3"/>
                <c:pt idx="0">
                  <c:v>0.19487827835106644</c:v>
                </c:pt>
                <c:pt idx="1">
                  <c:v>0.11728468709114173</c:v>
                </c:pt>
                <c:pt idx="2">
                  <c:v>4.6029570426448285E-2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2822-451E-A7EA-F86BA77EACFD}"/>
            </c:ext>
          </c:extLst>
        </c:ser>
        <c:ser>
          <c:idx val="2"/>
          <c:order val="2"/>
          <c:tx>
            <c:strRef>
              <c:f>'G06'!$A$4</c:f>
              <c:strCache>
                <c:ptCount val="1"/>
                <c:pt idx="0">
                  <c:v>vplyv výdavkových opatrení</c:v>
                </c:pt>
              </c:strCache>
            </c:strRef>
          </c:tx>
          <c:spPr>
            <a:solidFill>
              <a:srgbClr val="B2E4F8"/>
            </a:solidFill>
            <a:ln>
              <a:solidFill>
                <a:srgbClr val="B2E4F8"/>
              </a:solidFill>
            </a:ln>
            <a:effectLst/>
          </c:spPr>
          <c:invertIfNegative val="0"/>
          <c:dLbls>
            <c:dLbl>
              <c:idx val="0"/>
              <c:layout>
                <c:manualLayout>
                  <c:x val="0"/>
                  <c:y val="-0.148148148148148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08F-41C5-9869-6AA42861960D}"/>
                </c:ext>
              </c:extLst>
            </c:dLbl>
            <c:dLbl>
              <c:idx val="1"/>
              <c:layout>
                <c:manualLayout>
                  <c:x val="3.1225604996096227E-3"/>
                  <c:y val="-7.11111111111111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08F-41C5-9869-6AA42861960D}"/>
                </c:ext>
              </c:extLst>
            </c:dLbl>
            <c:dLbl>
              <c:idx val="2"/>
              <c:layout>
                <c:manualLayout>
                  <c:x val="0"/>
                  <c:y val="-6.51847185768445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08F-41C5-9869-6AA42861960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Constantia" panose="02030602050306030303" pitchFamily="18" charset="0"/>
                    <a:ea typeface="+mn-ea"/>
                    <a:cs typeface="+mn-cs"/>
                  </a:defRPr>
                </a:pPr>
                <a:endParaRPr lang="sk-SK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'G06'!$B$1:$D$1</c:f>
              <c:strCache>
                <c:ptCount val="3"/>
                <c:pt idx="0">
                  <c:v>2017N</c:v>
                </c:pt>
                <c:pt idx="1">
                  <c:v>2018N</c:v>
                </c:pt>
                <c:pt idx="2">
                  <c:v>2019N</c:v>
                </c:pt>
              </c:strCache>
            </c:strRef>
          </c:cat>
          <c:val>
            <c:numRef>
              <c:f>'G06'!$B$4:$D$4</c:f>
              <c:numCache>
                <c:formatCode>0.00</c:formatCode>
                <c:ptCount val="3"/>
                <c:pt idx="0">
                  <c:v>-1.4488789528964243</c:v>
                </c:pt>
                <c:pt idx="1">
                  <c:v>-0.83516682901029571</c:v>
                </c:pt>
                <c:pt idx="2">
                  <c:v>-0.71811023391739204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8F-41C5-9869-6AA4286196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65"/>
        <c:overlap val="100"/>
        <c:axId val="382806064"/>
        <c:axId val="382806456"/>
      </c:barChart>
      <c:lineChart>
        <c:grouping val="stacked"/>
        <c:varyColors val="0"/>
        <c:ser>
          <c:idx val="3"/>
          <c:order val="3"/>
          <c:tx>
            <c:strRef>
              <c:f>'G06'!$A$5</c:f>
              <c:strCache>
                <c:ptCount val="1"/>
                <c:pt idx="0">
                  <c:v>celkový vplyv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6.3067854223140138E-2"/>
                  <c:y val="-6.2177894429862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08F-41C5-9869-6AA42861960D}"/>
                </c:ext>
              </c:extLst>
            </c:dLbl>
            <c:dLbl>
              <c:idx val="1"/>
              <c:layout>
                <c:manualLayout>
                  <c:x val="-5.904761904761905E-2"/>
                  <c:y val="-5.62519685039370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08F-41C5-9869-6AA42861960D}"/>
                </c:ext>
              </c:extLst>
            </c:dLbl>
            <c:dLbl>
              <c:idx val="2"/>
              <c:layout>
                <c:manualLayout>
                  <c:x val="-6.0796252927400471E-2"/>
                  <c:y val="-5.03260425780110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08F-41C5-9869-6AA42861960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Constantia" panose="02030602050306030303" pitchFamily="18" charset="0"/>
                    <a:ea typeface="+mn-ea"/>
                    <a:cs typeface="+mn-cs"/>
                  </a:defRPr>
                </a:pPr>
                <a:endParaRPr lang="sk-SK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'G06'!$B$5:$D$5</c:f>
              <c:numCache>
                <c:formatCode>0.00</c:formatCode>
                <c:ptCount val="3"/>
                <c:pt idx="0">
                  <c:v>-0.99848325504999225</c:v>
                </c:pt>
                <c:pt idx="1">
                  <c:v>-0.40142438052792506</c:v>
                </c:pt>
                <c:pt idx="2">
                  <c:v>-0.38673982336457646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08F-41C5-9869-6AA4286196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2806064"/>
        <c:axId val="382806456"/>
      </c:lineChart>
      <c:catAx>
        <c:axId val="382806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high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382806456"/>
        <c:crosses val="autoZero"/>
        <c:auto val="1"/>
        <c:lblAlgn val="ctr"/>
        <c:lblOffset val="100"/>
        <c:noMultiLvlLbl val="0"/>
      </c:catAx>
      <c:valAx>
        <c:axId val="3828064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prstDash val="sysDash"/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382806064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b"/>
      <c:layout>
        <c:manualLayout>
          <c:xMode val="edge"/>
          <c:yMode val="edge"/>
          <c:x val="0.42496327303349374"/>
          <c:y val="0.70479183435403903"/>
          <c:w val="0.57503672696650621"/>
          <c:h val="0.2444458442694662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onstantia" panose="02030602050306030303" pitchFamily="18" charset="0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Constantia" panose="02030602050306030303" pitchFamily="18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9758253902472714E-2"/>
          <c:y val="5.7856641159291705E-2"/>
          <c:w val="0.9302417460975273"/>
          <c:h val="0.8567054822372555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'G60'!$A$2</c:f>
              <c:strCache>
                <c:ptCount val="1"/>
                <c:pt idx="0">
                  <c:v>Príjmy z rozpočtu EÚ (NRVS 2017-2019)</c:v>
                </c:pt>
              </c:strCache>
            </c:strRef>
          </c:tx>
          <c:spPr>
            <a:solidFill>
              <a:srgbClr val="58595B"/>
            </a:solidFill>
            <a:ln>
              <a:solidFill>
                <a:srgbClr val="58595B"/>
              </a:solidFill>
            </a:ln>
            <a:effectLst/>
          </c:spPr>
          <c:invertIfNegative val="0"/>
          <c:cat>
            <c:strRef>
              <c:f>'G60'!$B$1:$F$1</c:f>
              <c:strCache>
                <c:ptCount val="5"/>
                <c:pt idx="0">
                  <c:v>2015</c:v>
                </c:pt>
                <c:pt idx="1">
                  <c:v>2016O</c:v>
                </c:pt>
                <c:pt idx="2">
                  <c:v>2017N</c:v>
                </c:pt>
                <c:pt idx="3">
                  <c:v>2018N</c:v>
                </c:pt>
                <c:pt idx="4">
                  <c:v>2019N</c:v>
                </c:pt>
              </c:strCache>
            </c:strRef>
          </c:cat>
          <c:val>
            <c:numRef>
              <c:f>'G60'!$B$2:$F$2</c:f>
              <c:numCache>
                <c:formatCode>0.0</c:formatCode>
                <c:ptCount val="5"/>
                <c:pt idx="0">
                  <c:v>5.4906691948717423</c:v>
                </c:pt>
                <c:pt idx="1">
                  <c:v>2.8218857335184873</c:v>
                </c:pt>
                <c:pt idx="2">
                  <c:v>3.1374356694394505</c:v>
                </c:pt>
                <c:pt idx="3">
                  <c:v>3.7455807102904344</c:v>
                </c:pt>
                <c:pt idx="4">
                  <c:v>3.3960507235355917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EA-4336-9B7B-337741F8877B}"/>
            </c:ext>
          </c:extLst>
        </c:ser>
        <c:ser>
          <c:idx val="1"/>
          <c:order val="1"/>
          <c:tx>
            <c:strRef>
              <c:f>'G60'!$A$3</c:f>
              <c:strCache>
                <c:ptCount val="1"/>
                <c:pt idx="0">
                  <c:v>Príjmy z rozpočtu EÚ (VpMP)</c:v>
                </c:pt>
              </c:strCache>
            </c:strRef>
          </c:tx>
          <c:spPr>
            <a:solidFill>
              <a:srgbClr val="DCB47B"/>
            </a:solidFill>
            <a:ln>
              <a:solidFill>
                <a:srgbClr val="DCB47B"/>
              </a:solidFill>
            </a:ln>
            <a:effectLst/>
          </c:spPr>
          <c:invertIfNegative val="0"/>
          <c:cat>
            <c:strRef>
              <c:f>'G60'!$B$1:$F$1</c:f>
              <c:strCache>
                <c:ptCount val="5"/>
                <c:pt idx="0">
                  <c:v>2015</c:v>
                </c:pt>
                <c:pt idx="1">
                  <c:v>2016O</c:v>
                </c:pt>
                <c:pt idx="2">
                  <c:v>2017N</c:v>
                </c:pt>
                <c:pt idx="3">
                  <c:v>2018N</c:v>
                </c:pt>
                <c:pt idx="4">
                  <c:v>2019N</c:v>
                </c:pt>
              </c:strCache>
            </c:strRef>
          </c:cat>
          <c:val>
            <c:numRef>
              <c:f>'G60'!$B$3:$F$3</c:f>
              <c:numCache>
                <c:formatCode>#\ ##0.0</c:formatCode>
                <c:ptCount val="5"/>
                <c:pt idx="0">
                  <c:v>5.4906691948717423</c:v>
                </c:pt>
                <c:pt idx="1">
                  <c:v>2.8781354544813222</c:v>
                </c:pt>
                <c:pt idx="2">
                  <c:v>2.9958956985028076</c:v>
                </c:pt>
                <c:pt idx="3">
                  <c:v>3.0303174981352154</c:v>
                </c:pt>
                <c:pt idx="4">
                  <c:v>2.8903584423392692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EEA-4336-9B7B-337741F8877B}"/>
            </c:ext>
          </c:extLst>
        </c:ser>
        <c:ser>
          <c:idx val="2"/>
          <c:order val="2"/>
          <c:tx>
            <c:strRef>
              <c:f>'G60'!$A$4</c:f>
              <c:strCache>
                <c:ptCount val="1"/>
                <c:pt idx="0">
                  <c:v>Príjmy z rozpočtu EÚ (RRZ)</c:v>
                </c:pt>
              </c:strCache>
            </c:strRef>
          </c:tx>
          <c:spPr>
            <a:solidFill>
              <a:srgbClr val="13B5EA"/>
            </a:solidFill>
            <a:ln>
              <a:solidFill>
                <a:srgbClr val="13B5EA"/>
              </a:solidFill>
            </a:ln>
            <a:effectLst/>
          </c:spPr>
          <c:invertIfNegative val="0"/>
          <c:cat>
            <c:strRef>
              <c:f>'G60'!$B$1:$F$1</c:f>
              <c:strCache>
                <c:ptCount val="5"/>
                <c:pt idx="0">
                  <c:v>2015</c:v>
                </c:pt>
                <c:pt idx="1">
                  <c:v>2016O</c:v>
                </c:pt>
                <c:pt idx="2">
                  <c:v>2017N</c:v>
                </c:pt>
                <c:pt idx="3">
                  <c:v>2018N</c:v>
                </c:pt>
                <c:pt idx="4">
                  <c:v>2019N</c:v>
                </c:pt>
              </c:strCache>
            </c:strRef>
          </c:cat>
          <c:val>
            <c:numRef>
              <c:f>'G60'!$B$4:$F$4</c:f>
              <c:numCache>
                <c:formatCode>#\ ##0.0</c:formatCode>
                <c:ptCount val="5"/>
                <c:pt idx="0">
                  <c:v>5.4906695568820716</c:v>
                </c:pt>
                <c:pt idx="1">
                  <c:v>2.6131495939238905</c:v>
                </c:pt>
                <c:pt idx="2">
                  <c:v>2.9253423448101685</c:v>
                </c:pt>
                <c:pt idx="3">
                  <c:v>2.7910938869155473</c:v>
                </c:pt>
                <c:pt idx="4">
                  <c:v>2.721297323450929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DE-4491-9B6E-B5CE838F0B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8"/>
        <c:axId val="382819784"/>
        <c:axId val="382820176"/>
      </c:barChart>
      <c:catAx>
        <c:axId val="382819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382820176"/>
        <c:crosses val="autoZero"/>
        <c:auto val="1"/>
        <c:lblAlgn val="ctr"/>
        <c:lblOffset val="100"/>
        <c:noMultiLvlLbl val="0"/>
      </c:catAx>
      <c:valAx>
        <c:axId val="382820176"/>
        <c:scaling>
          <c:orientation val="minMax"/>
          <c:max val="6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prstDash val="sysDot"/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382819784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1352029774846479"/>
          <c:y val="8.4064225067951914E-2"/>
          <c:w val="0.63441487577669298"/>
          <c:h val="0.176158264914394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onstantia" panose="02030602050306030303" pitchFamily="18" charset="0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8795637072312056E-2"/>
          <c:y val="4.7790277777777779E-2"/>
          <c:w val="0.84361314117172481"/>
          <c:h val="0.82951909512939548"/>
        </c:manualLayout>
      </c:layout>
      <c:areaChart>
        <c:grouping val="stacked"/>
        <c:varyColors val="0"/>
        <c:ser>
          <c:idx val="0"/>
          <c:order val="0"/>
          <c:tx>
            <c:strRef>
              <c:f>'G61'!$B$2</c:f>
              <c:strCache>
                <c:ptCount val="1"/>
                <c:pt idx="0">
                  <c:v>Min</c:v>
                </c:pt>
              </c:strCache>
            </c:strRef>
          </c:tx>
          <c:spPr>
            <a:noFill/>
            <a:ln w="25400">
              <a:noFill/>
            </a:ln>
          </c:spPr>
          <c:cat>
            <c:numRef>
              <c:f>'G61'!$A$3:$A$7</c:f>
              <c:numCache>
                <c:formatCode>General</c:formatCode>
                <c:ptCount val="5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</c:numCache>
            </c:numRef>
          </c:cat>
          <c:val>
            <c:numRef>
              <c:f>'G61'!$B$3:$B$7</c:f>
              <c:numCache>
                <c:formatCode>0.000</c:formatCode>
                <c:ptCount val="5"/>
                <c:pt idx="0">
                  <c:v>-2.7073322035670963E-2</c:v>
                </c:pt>
                <c:pt idx="1">
                  <c:v>-2.1114131908484664E-2</c:v>
                </c:pt>
                <c:pt idx="2">
                  <c:v>-1.9071593397464354E-2</c:v>
                </c:pt>
                <c:pt idx="3">
                  <c:v>-2.144708040420383E-2</c:v>
                </c:pt>
                <c:pt idx="4">
                  <c:v>-3.1572763536878393E-2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8E-4321-BE3C-6DF88A301C8A}"/>
            </c:ext>
          </c:extLst>
        </c:ser>
        <c:ser>
          <c:idx val="6"/>
          <c:order val="1"/>
          <c:tx>
            <c:strRef>
              <c:f>'G61'!$C$2</c:f>
              <c:strCache>
                <c:ptCount val="1"/>
                <c:pt idx="0">
                  <c:v>d80</c:v>
                </c:pt>
              </c:strCache>
            </c:strRef>
          </c:tx>
          <c:spPr>
            <a:solidFill>
              <a:srgbClr val="9FE2F7"/>
            </a:solidFill>
          </c:spPr>
          <c:cat>
            <c:numRef>
              <c:f>'G61'!$A$3:$A$7</c:f>
              <c:numCache>
                <c:formatCode>General</c:formatCode>
                <c:ptCount val="5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</c:numCache>
            </c:numRef>
          </c:cat>
          <c:val>
            <c:numRef>
              <c:f>'G61'!$C$3:$C$7</c:f>
              <c:numCache>
                <c:formatCode>0.000</c:formatCode>
                <c:ptCount val="5"/>
                <c:pt idx="1">
                  <c:v>5.3470118178615411E-4</c:v>
                </c:pt>
                <c:pt idx="2">
                  <c:v>2.1361478743809337E-3</c:v>
                </c:pt>
                <c:pt idx="3">
                  <c:v>5.7828973004323964E-3</c:v>
                </c:pt>
                <c:pt idx="4">
                  <c:v>1.1239935000873134E-2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88E-4321-BE3C-6DF88A301C8A}"/>
            </c:ext>
          </c:extLst>
        </c:ser>
        <c:ser>
          <c:idx val="7"/>
          <c:order val="2"/>
          <c:tx>
            <c:strRef>
              <c:f>'G61'!$D$2</c:f>
              <c:strCache>
                <c:ptCount val="1"/>
                <c:pt idx="0">
                  <c:v>d60</c:v>
                </c:pt>
              </c:strCache>
            </c:strRef>
          </c:tx>
          <c:spPr>
            <a:solidFill>
              <a:srgbClr val="64D0F2"/>
            </a:solidFill>
          </c:spPr>
          <c:cat>
            <c:numRef>
              <c:f>'G61'!$A$3:$A$7</c:f>
              <c:numCache>
                <c:formatCode>General</c:formatCode>
                <c:ptCount val="5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</c:numCache>
            </c:numRef>
          </c:cat>
          <c:val>
            <c:numRef>
              <c:f>'G61'!$D$3:$D$7</c:f>
              <c:numCache>
                <c:formatCode>0.000</c:formatCode>
                <c:ptCount val="5"/>
                <c:pt idx="1">
                  <c:v>3.8753092258867958E-4</c:v>
                </c:pt>
                <c:pt idx="2">
                  <c:v>1.5512528531554989E-3</c:v>
                </c:pt>
                <c:pt idx="3">
                  <c:v>4.2241079101247633E-3</c:v>
                </c:pt>
                <c:pt idx="4">
                  <c:v>8.1932717577870278E-3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88E-4321-BE3C-6DF88A301C8A}"/>
            </c:ext>
          </c:extLst>
        </c:ser>
        <c:ser>
          <c:idx val="8"/>
          <c:order val="3"/>
          <c:tx>
            <c:strRef>
              <c:f>'G61'!$E$2</c:f>
              <c:strCache>
                <c:ptCount val="1"/>
                <c:pt idx="0">
                  <c:v>d40</c:v>
                </c:pt>
              </c:strCache>
            </c:strRef>
          </c:tx>
          <c:spPr>
            <a:solidFill>
              <a:srgbClr val="13B5EA"/>
            </a:solidFill>
          </c:spPr>
          <c:cat>
            <c:numRef>
              <c:f>'G61'!$A$3:$A$7</c:f>
              <c:numCache>
                <c:formatCode>General</c:formatCode>
                <c:ptCount val="5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</c:numCache>
            </c:numRef>
          </c:cat>
          <c:val>
            <c:numRef>
              <c:f>'G61'!$E$3:$E$7</c:f>
              <c:numCache>
                <c:formatCode>0.000</c:formatCode>
                <c:ptCount val="5"/>
                <c:pt idx="1">
                  <c:v>6.4428933412932418E-4</c:v>
                </c:pt>
                <c:pt idx="2">
                  <c:v>2.6209497275801741E-3</c:v>
                </c:pt>
                <c:pt idx="3">
                  <c:v>7.0909098127461458E-3</c:v>
                </c:pt>
                <c:pt idx="4">
                  <c:v>1.3713395079235314E-2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88E-4321-BE3C-6DF88A301C8A}"/>
            </c:ext>
          </c:extLst>
        </c:ser>
        <c:ser>
          <c:idx val="5"/>
          <c:order val="4"/>
          <c:tx>
            <c:strRef>
              <c:f>'G61'!$F$2</c:f>
              <c:strCache>
                <c:ptCount val="1"/>
                <c:pt idx="0">
                  <c:v>h40</c:v>
                </c:pt>
              </c:strCache>
            </c:strRef>
          </c:tx>
          <c:spPr>
            <a:solidFill>
              <a:srgbClr val="13B5EA"/>
            </a:solidFill>
          </c:spPr>
          <c:cat>
            <c:numRef>
              <c:f>'G61'!$A$3:$A$7</c:f>
              <c:numCache>
                <c:formatCode>General</c:formatCode>
                <c:ptCount val="5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</c:numCache>
            </c:numRef>
          </c:cat>
          <c:val>
            <c:numRef>
              <c:f>'G61'!$F$3:$F$7</c:f>
              <c:numCache>
                <c:formatCode>0.000</c:formatCode>
                <c:ptCount val="5"/>
                <c:pt idx="1">
                  <c:v>6.4889068945960318E-4</c:v>
                </c:pt>
                <c:pt idx="2">
                  <c:v>2.5746303364859516E-3</c:v>
                </c:pt>
                <c:pt idx="3">
                  <c:v>7.2176899681032523E-3</c:v>
                </c:pt>
                <c:pt idx="4">
                  <c:v>1.3967723055664493E-2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88E-4321-BE3C-6DF88A301C8A}"/>
            </c:ext>
          </c:extLst>
        </c:ser>
        <c:ser>
          <c:idx val="2"/>
          <c:order val="5"/>
          <c:tx>
            <c:strRef>
              <c:f>'G61'!$G$2</c:f>
              <c:strCache>
                <c:ptCount val="1"/>
                <c:pt idx="0">
                  <c:v>h60</c:v>
                </c:pt>
              </c:strCache>
            </c:strRef>
          </c:tx>
          <c:spPr>
            <a:solidFill>
              <a:srgbClr val="64D0F2"/>
            </a:solidFill>
          </c:spPr>
          <c:cat>
            <c:numRef>
              <c:f>'G61'!$A$3:$A$7</c:f>
              <c:numCache>
                <c:formatCode>General</c:formatCode>
                <c:ptCount val="5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</c:numCache>
            </c:numRef>
          </c:cat>
          <c:val>
            <c:numRef>
              <c:f>'G61'!$G$3:$G$7</c:f>
              <c:numCache>
                <c:formatCode>0.000</c:formatCode>
                <c:ptCount val="5"/>
                <c:pt idx="1">
                  <c:v>3.9478183869783717E-4</c:v>
                </c:pt>
                <c:pt idx="2">
                  <c:v>1.5921081402758448E-3</c:v>
                </c:pt>
                <c:pt idx="3">
                  <c:v>4.4372548406763747E-3</c:v>
                </c:pt>
                <c:pt idx="4">
                  <c:v>8.5715847539462962E-3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88E-4321-BE3C-6DF88A301C8A}"/>
            </c:ext>
          </c:extLst>
        </c:ser>
        <c:ser>
          <c:idx val="3"/>
          <c:order val="6"/>
          <c:tx>
            <c:strRef>
              <c:f>'G61'!$H$2</c:f>
              <c:strCache>
                <c:ptCount val="1"/>
                <c:pt idx="0">
                  <c:v>Max</c:v>
                </c:pt>
              </c:strCache>
            </c:strRef>
          </c:tx>
          <c:spPr>
            <a:solidFill>
              <a:srgbClr val="9FE2F7"/>
            </a:solidFill>
          </c:spPr>
          <c:cat>
            <c:numRef>
              <c:f>'G61'!$A$3:$A$7</c:f>
              <c:numCache>
                <c:formatCode>General</c:formatCode>
                <c:ptCount val="5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</c:numCache>
            </c:numRef>
          </c:cat>
          <c:val>
            <c:numRef>
              <c:f>'G61'!$H$3:$H$7</c:f>
              <c:numCache>
                <c:formatCode>0.000</c:formatCode>
                <c:ptCount val="5"/>
                <c:pt idx="1">
                  <c:v>5.5033158958864292E-4</c:v>
                </c:pt>
                <c:pt idx="2">
                  <c:v>2.2242322292908359E-3</c:v>
                </c:pt>
                <c:pt idx="3">
                  <c:v>6.2429524385113396E-3</c:v>
                </c:pt>
                <c:pt idx="4">
                  <c:v>1.2058507735581928E-2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88E-4321-BE3C-6DF88A301C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44242592"/>
        <c:axId val="244243152"/>
      </c:areaChart>
      <c:lineChart>
        <c:grouping val="standard"/>
        <c:varyColors val="0"/>
        <c:ser>
          <c:idx val="4"/>
          <c:order val="7"/>
          <c:tx>
            <c:strRef>
              <c:f>'G61'!$I$2</c:f>
              <c:strCache>
                <c:ptCount val="1"/>
                <c:pt idx="0">
                  <c:v>NRVS 2017-2019</c:v>
                </c:pt>
              </c:strCache>
            </c:strRef>
          </c:tx>
          <c:spPr>
            <a:ln>
              <a:solidFill>
                <a:sysClr val="windowText" lastClr="000000"/>
              </a:solidFill>
            </a:ln>
          </c:spPr>
          <c:marker>
            <c:symbol val="none"/>
          </c:marker>
          <c:cat>
            <c:numRef>
              <c:f>'G61'!$A$3:$A$7</c:f>
              <c:numCache>
                <c:formatCode>General</c:formatCode>
                <c:ptCount val="5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</c:numCache>
            </c:numRef>
          </c:cat>
          <c:val>
            <c:numRef>
              <c:f>'G61'!$I$3:$I$7</c:f>
              <c:numCache>
                <c:formatCode>0.000</c:formatCode>
                <c:ptCount val="5"/>
                <c:pt idx="0">
                  <c:v>-2.7073322035670963E-2</c:v>
                </c:pt>
                <c:pt idx="1">
                  <c:v>-1.9547610469980506E-2</c:v>
                </c:pt>
                <c:pt idx="2">
                  <c:v>-1.2763242942347748E-2</c:v>
                </c:pt>
                <c:pt idx="3">
                  <c:v>-4.349165380900525E-3</c:v>
                </c:pt>
                <c:pt idx="4">
                  <c:v>1.5738383010170845E-3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D88E-4321-BE3C-6DF88A301C8A}"/>
            </c:ext>
          </c:extLst>
        </c:ser>
        <c:ser>
          <c:idx val="10"/>
          <c:order val="8"/>
          <c:tx>
            <c:strRef>
              <c:f>'G61'!$J$2</c:f>
              <c:strCache>
                <c:ptCount val="1"/>
                <c:pt idx="0">
                  <c:v>NRVS 2016-2018</c:v>
                </c:pt>
              </c:strCache>
            </c:strRef>
          </c:tx>
          <c:spPr>
            <a:ln>
              <a:solidFill>
                <a:sysClr val="windowText" lastClr="000000"/>
              </a:solidFill>
              <a:prstDash val="sysDash"/>
            </a:ln>
          </c:spPr>
          <c:marker>
            <c:symbol val="none"/>
          </c:marker>
          <c:cat>
            <c:numRef>
              <c:f>'G61'!$A$3:$A$7</c:f>
              <c:numCache>
                <c:formatCode>General</c:formatCode>
                <c:ptCount val="5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</c:numCache>
            </c:numRef>
          </c:cat>
          <c:val>
            <c:numRef>
              <c:f>'G61'!$J$3:$J$7</c:f>
              <c:numCache>
                <c:formatCode>0.000</c:formatCode>
                <c:ptCount val="5"/>
                <c:pt idx="0">
                  <c:v>-2.7407210974247736E-2</c:v>
                </c:pt>
                <c:pt idx="1">
                  <c:v>-1.9299975356063474E-2</c:v>
                </c:pt>
                <c:pt idx="2">
                  <c:v>-4.2003956237186713E-3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88E-4321-BE3C-6DF88A301C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4242592"/>
        <c:axId val="244243152"/>
      </c:lineChart>
      <c:catAx>
        <c:axId val="2442425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bg2">
                <a:lumMod val="7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/>
            </a:pPr>
            <a:endParaRPr lang="sk-SK"/>
          </a:p>
        </c:txPr>
        <c:crossAx val="244243152"/>
        <c:crosses val="autoZero"/>
        <c:auto val="1"/>
        <c:lblAlgn val="ctr"/>
        <c:lblOffset val="100"/>
        <c:noMultiLvlLbl val="0"/>
      </c:catAx>
      <c:valAx>
        <c:axId val="244243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ysClr val="windowText" lastClr="000000">
                  <a:lumMod val="15000"/>
                  <a:lumOff val="85000"/>
                </a:sysClr>
              </a:solidFill>
              <a:prstDash val="dash"/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deficit k HDP v</a:t>
                </a:r>
                <a:r>
                  <a:rPr lang="sk-SK"/>
                  <a:t>%</a:t>
                </a:r>
                <a:endParaRPr lang="en-GB"/>
              </a:p>
            </c:rich>
          </c:tx>
          <c:layout>
            <c:manualLayout>
              <c:xMode val="edge"/>
              <c:yMode val="edge"/>
              <c:x val="0.12716214771796058"/>
              <c:y val="4.9358680555555548E-2"/>
            </c:manualLayout>
          </c:layout>
          <c:overlay val="0"/>
        </c:title>
        <c:numFmt formatCode="0%" sourceLinked="0"/>
        <c:majorTickMark val="none"/>
        <c:minorTickMark val="none"/>
        <c:tickLblPos val="nextTo"/>
        <c:spPr>
          <a:noFill/>
          <a:ln>
            <a:solidFill>
              <a:schemeClr val="tx1">
                <a:lumMod val="15000"/>
                <a:lumOff val="85000"/>
              </a:schemeClr>
            </a:solidFill>
          </a:ln>
          <a:effectLst/>
        </c:spPr>
        <c:txPr>
          <a:bodyPr rot="0" vert="horz"/>
          <a:lstStyle/>
          <a:p>
            <a:pPr>
              <a:defRPr/>
            </a:pPr>
            <a:endParaRPr lang="sk-SK"/>
          </a:p>
        </c:txPr>
        <c:crossAx val="244242592"/>
        <c:crosses val="autoZero"/>
        <c:crossBetween val="midCat"/>
      </c:valAx>
      <c:spPr>
        <a:noFill/>
        <a:ln w="25400">
          <a:noFill/>
        </a:ln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layout>
        <c:manualLayout>
          <c:xMode val="edge"/>
          <c:yMode val="edge"/>
          <c:x val="0.1968688345094588"/>
          <c:y val="5.8634999615276101E-2"/>
          <c:w val="0.64708263078475603"/>
          <c:h val="8.4076961529870972E-2"/>
        </c:manualLayout>
      </c:layout>
      <c:overlay val="1"/>
      <c:spPr>
        <a:noFill/>
        <a:ln w="25400">
          <a:noFill/>
        </a:ln>
      </c:sp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100" b="0" i="0" u="none" strike="noStrike" baseline="0">
          <a:solidFill>
            <a:schemeClr val="tx1"/>
          </a:solidFill>
          <a:latin typeface="Constantia"/>
          <a:ea typeface="Constantia"/>
          <a:cs typeface="Constantia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8795637072312056E-2"/>
          <c:y val="4.7790277777777779E-2"/>
          <c:w val="0.84361314117172481"/>
          <c:h val="0.82951909512939548"/>
        </c:manualLayout>
      </c:layout>
      <c:areaChart>
        <c:grouping val="stacked"/>
        <c:varyColors val="0"/>
        <c:ser>
          <c:idx val="0"/>
          <c:order val="0"/>
          <c:tx>
            <c:strRef>
              <c:f>'G62'!$B$2</c:f>
              <c:strCache>
                <c:ptCount val="1"/>
                <c:pt idx="0">
                  <c:v>Min</c:v>
                </c:pt>
              </c:strCache>
            </c:strRef>
          </c:tx>
          <c:spPr>
            <a:noFill/>
            <a:ln w="25400">
              <a:noFill/>
            </a:ln>
          </c:spPr>
          <c:cat>
            <c:numRef>
              <c:f>'G62'!$A$3:$A$7</c:f>
              <c:numCache>
                <c:formatCode>General</c:formatCode>
                <c:ptCount val="5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</c:numCache>
            </c:numRef>
          </c:cat>
          <c:val>
            <c:numRef>
              <c:f>'G62'!$B$3:$B$7</c:f>
              <c:numCache>
                <c:formatCode>0.000</c:formatCode>
                <c:ptCount val="5"/>
                <c:pt idx="0">
                  <c:v>0.52478471283182682</c:v>
                </c:pt>
                <c:pt idx="1">
                  <c:v>0.52445912619245183</c:v>
                </c:pt>
                <c:pt idx="2">
                  <c:v>0.50806850844180673</c:v>
                </c:pt>
                <c:pt idx="3">
                  <c:v>0.47234383725592743</c:v>
                </c:pt>
                <c:pt idx="4">
                  <c:v>0.42534304348430774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25E-4FFF-AD1D-5C399977A882}"/>
            </c:ext>
          </c:extLst>
        </c:ser>
        <c:ser>
          <c:idx val="6"/>
          <c:order val="1"/>
          <c:tx>
            <c:strRef>
              <c:f>'G62'!$C$2</c:f>
              <c:strCache>
                <c:ptCount val="1"/>
                <c:pt idx="0">
                  <c:v>d80</c:v>
                </c:pt>
              </c:strCache>
            </c:strRef>
          </c:tx>
          <c:spPr>
            <a:solidFill>
              <a:srgbClr val="9FE2F7"/>
            </a:solidFill>
          </c:spPr>
          <c:cat>
            <c:numRef>
              <c:f>'G62'!$A$3:$A$7</c:f>
              <c:numCache>
                <c:formatCode>General</c:formatCode>
                <c:ptCount val="5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</c:numCache>
            </c:numRef>
          </c:cat>
          <c:val>
            <c:numRef>
              <c:f>'G62'!$C$3:$C$7</c:f>
              <c:numCache>
                <c:formatCode>0.000</c:formatCode>
                <c:ptCount val="5"/>
                <c:pt idx="1">
                  <c:v>2.1540023852206769E-3</c:v>
                </c:pt>
                <c:pt idx="2">
                  <c:v>5.1189874854788986E-3</c:v>
                </c:pt>
                <c:pt idx="3">
                  <c:v>1.2190619905891265E-2</c:v>
                </c:pt>
                <c:pt idx="4">
                  <c:v>1.9987940349878219E-2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25E-4FFF-AD1D-5C399977A882}"/>
            </c:ext>
          </c:extLst>
        </c:ser>
        <c:ser>
          <c:idx val="7"/>
          <c:order val="2"/>
          <c:tx>
            <c:strRef>
              <c:f>'G62'!$D$2</c:f>
              <c:strCache>
                <c:ptCount val="1"/>
                <c:pt idx="0">
                  <c:v>d60</c:v>
                </c:pt>
              </c:strCache>
            </c:strRef>
          </c:tx>
          <c:spPr>
            <a:solidFill>
              <a:srgbClr val="64D0F2"/>
            </a:solidFill>
          </c:spPr>
          <c:cat>
            <c:numRef>
              <c:f>'G62'!$A$3:$A$7</c:f>
              <c:numCache>
                <c:formatCode>General</c:formatCode>
                <c:ptCount val="5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</c:numCache>
            </c:numRef>
          </c:cat>
          <c:val>
            <c:numRef>
              <c:f>'G62'!$D$3:$D$7</c:f>
              <c:numCache>
                <c:formatCode>0.000</c:formatCode>
                <c:ptCount val="5"/>
                <c:pt idx="1">
                  <c:v>1.5611383704337012E-3</c:v>
                </c:pt>
                <c:pt idx="2">
                  <c:v>3.723122317577432E-3</c:v>
                </c:pt>
                <c:pt idx="3">
                  <c:v>8.9486921096640915E-3</c:v>
                </c:pt>
                <c:pt idx="4">
                  <c:v>1.4711962662955935E-2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25E-4FFF-AD1D-5C399977A882}"/>
            </c:ext>
          </c:extLst>
        </c:ser>
        <c:ser>
          <c:idx val="8"/>
          <c:order val="3"/>
          <c:tx>
            <c:strRef>
              <c:f>'G62'!$E$2</c:f>
              <c:strCache>
                <c:ptCount val="1"/>
                <c:pt idx="0">
                  <c:v>d40</c:v>
                </c:pt>
              </c:strCache>
            </c:strRef>
          </c:tx>
          <c:spPr>
            <a:solidFill>
              <a:srgbClr val="13B5EA"/>
            </a:solidFill>
          </c:spPr>
          <c:cat>
            <c:numRef>
              <c:f>'G62'!$A$3:$A$7</c:f>
              <c:numCache>
                <c:formatCode>General</c:formatCode>
                <c:ptCount val="5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</c:numCache>
            </c:numRef>
          </c:cat>
          <c:val>
            <c:numRef>
              <c:f>'G62'!$E$3:$E$7</c:f>
              <c:numCache>
                <c:formatCode>0.000</c:formatCode>
                <c:ptCount val="5"/>
                <c:pt idx="1">
                  <c:v>2.59546978716374E-3</c:v>
                </c:pt>
                <c:pt idx="2">
                  <c:v>4.7381193291584633E-3</c:v>
                </c:pt>
                <c:pt idx="3">
                  <c:v>1.4605632284092118E-2</c:v>
                </c:pt>
                <c:pt idx="4">
                  <c:v>2.2649246863859884E-2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25E-4FFF-AD1D-5C399977A882}"/>
            </c:ext>
          </c:extLst>
        </c:ser>
        <c:ser>
          <c:idx val="5"/>
          <c:order val="4"/>
          <c:tx>
            <c:strRef>
              <c:f>'G62'!$F$2</c:f>
              <c:strCache>
                <c:ptCount val="1"/>
                <c:pt idx="0">
                  <c:v>h40</c:v>
                </c:pt>
              </c:strCache>
            </c:strRef>
          </c:tx>
          <c:spPr>
            <a:solidFill>
              <a:srgbClr val="13B5EA"/>
            </a:solidFill>
          </c:spPr>
          <c:cat>
            <c:numRef>
              <c:f>'G62'!$A$3:$A$7</c:f>
              <c:numCache>
                <c:formatCode>General</c:formatCode>
                <c:ptCount val="5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</c:numCache>
            </c:numRef>
          </c:cat>
          <c:val>
            <c:numRef>
              <c:f>'G62'!$F$3:$F$7</c:f>
              <c:numCache>
                <c:formatCode>0.000</c:formatCode>
                <c:ptCount val="5"/>
                <c:pt idx="1">
                  <c:v>2.6140059914850911E-3</c:v>
                </c:pt>
                <c:pt idx="2">
                  <c:v>7.7665583605084354E-3</c:v>
                </c:pt>
                <c:pt idx="3">
                  <c:v>1.5979304895796909E-2</c:v>
                </c:pt>
                <c:pt idx="4">
                  <c:v>2.7946336267837713E-2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25E-4FFF-AD1D-5C399977A882}"/>
            </c:ext>
          </c:extLst>
        </c:ser>
        <c:ser>
          <c:idx val="2"/>
          <c:order val="5"/>
          <c:tx>
            <c:strRef>
              <c:f>'G62'!$G$2</c:f>
              <c:strCache>
                <c:ptCount val="1"/>
                <c:pt idx="0">
                  <c:v>h60</c:v>
                </c:pt>
              </c:strCache>
            </c:strRef>
          </c:tx>
          <c:spPr>
            <a:solidFill>
              <a:srgbClr val="64D0F2"/>
            </a:solidFill>
          </c:spPr>
          <c:cat>
            <c:numRef>
              <c:f>'G62'!$A$3:$A$7</c:f>
              <c:numCache>
                <c:formatCode>General</c:formatCode>
                <c:ptCount val="5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</c:numCache>
            </c:numRef>
          </c:cat>
          <c:val>
            <c:numRef>
              <c:f>'G62'!$G$3:$G$7</c:f>
              <c:numCache>
                <c:formatCode>0.000</c:formatCode>
                <c:ptCount val="5"/>
                <c:pt idx="1">
                  <c:v>1.5903481255763463E-3</c:v>
                </c:pt>
                <c:pt idx="2">
                  <c:v>3.8425226392132528E-3</c:v>
                </c:pt>
                <c:pt idx="3">
                  <c:v>9.5689272516161772E-3</c:v>
                </c:pt>
                <c:pt idx="4">
                  <c:v>1.5946896530777188E-2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25E-4FFF-AD1D-5C399977A882}"/>
            </c:ext>
          </c:extLst>
        </c:ser>
        <c:ser>
          <c:idx val="3"/>
          <c:order val="6"/>
          <c:tx>
            <c:strRef>
              <c:f>'G62'!$H$2</c:f>
              <c:strCache>
                <c:ptCount val="1"/>
                <c:pt idx="0">
                  <c:v>Max</c:v>
                </c:pt>
              </c:strCache>
            </c:strRef>
          </c:tx>
          <c:spPr>
            <a:solidFill>
              <a:srgbClr val="9FE2F7"/>
            </a:solidFill>
          </c:spPr>
          <c:cat>
            <c:numRef>
              <c:f>'G62'!$A$3:$A$7</c:f>
              <c:numCache>
                <c:formatCode>General</c:formatCode>
                <c:ptCount val="5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</c:numCache>
            </c:numRef>
          </c:cat>
          <c:val>
            <c:numRef>
              <c:f>'G62'!$H$3:$H$7</c:f>
              <c:numCache>
                <c:formatCode>0.000</c:formatCode>
                <c:ptCount val="5"/>
                <c:pt idx="1">
                  <c:v>2.2169682750206032E-3</c:v>
                </c:pt>
                <c:pt idx="2">
                  <c:v>5.3764156189863854E-3</c:v>
                </c:pt>
                <c:pt idx="3">
                  <c:v>1.3529257279302542E-2</c:v>
                </c:pt>
                <c:pt idx="4">
                  <c:v>2.2658137944870593E-2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25E-4FFF-AD1D-5C399977A8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44242592"/>
        <c:axId val="244243152"/>
      </c:areaChart>
      <c:lineChart>
        <c:grouping val="standard"/>
        <c:varyColors val="0"/>
        <c:ser>
          <c:idx val="4"/>
          <c:order val="7"/>
          <c:tx>
            <c:strRef>
              <c:f>'G62'!$I$2</c:f>
              <c:strCache>
                <c:ptCount val="1"/>
                <c:pt idx="0">
                  <c:v>NRVS 2017-2019</c:v>
                </c:pt>
              </c:strCache>
            </c:strRef>
          </c:tx>
          <c:spPr>
            <a:ln>
              <a:solidFill>
                <a:sysClr val="windowText" lastClr="000000"/>
              </a:solidFill>
            </a:ln>
          </c:spPr>
          <c:marker>
            <c:symbol val="none"/>
          </c:marker>
          <c:cat>
            <c:numRef>
              <c:f>'G62'!$A$3:$A$7</c:f>
              <c:numCache>
                <c:formatCode>General</c:formatCode>
                <c:ptCount val="5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</c:numCache>
            </c:numRef>
          </c:cat>
          <c:val>
            <c:numRef>
              <c:f>'G62'!$I$3:$I$7</c:f>
              <c:numCache>
                <c:formatCode>0.000</c:formatCode>
                <c:ptCount val="5"/>
                <c:pt idx="0">
                  <c:v>0.52478471283182682</c:v>
                </c:pt>
                <c:pt idx="1">
                  <c:v>0.53076973673526995</c:v>
                </c:pt>
                <c:pt idx="2">
                  <c:v>0.52164873757402153</c:v>
                </c:pt>
                <c:pt idx="3">
                  <c:v>0.50808878155557491</c:v>
                </c:pt>
                <c:pt idx="4">
                  <c:v>0.48269219336100178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525E-4FFF-AD1D-5C399977A882}"/>
            </c:ext>
          </c:extLst>
        </c:ser>
        <c:ser>
          <c:idx val="10"/>
          <c:order val="8"/>
          <c:tx>
            <c:strRef>
              <c:f>'G62'!$J$2</c:f>
              <c:strCache>
                <c:ptCount val="1"/>
                <c:pt idx="0">
                  <c:v>NRVS 2016-2018</c:v>
                </c:pt>
              </c:strCache>
            </c:strRef>
          </c:tx>
          <c:spPr>
            <a:ln>
              <a:solidFill>
                <a:sysClr val="windowText" lastClr="000000"/>
              </a:solidFill>
              <a:prstDash val="sysDash"/>
            </a:ln>
          </c:spPr>
          <c:marker>
            <c:symbol val="none"/>
          </c:marker>
          <c:cat>
            <c:numRef>
              <c:f>'G62'!$A$3:$A$7</c:f>
              <c:numCache>
                <c:formatCode>General</c:formatCode>
                <c:ptCount val="5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</c:numCache>
            </c:numRef>
          </c:cat>
          <c:val>
            <c:numRef>
              <c:f>'G62'!$J$3:$J$7</c:f>
              <c:numCache>
                <c:formatCode>0.000</c:formatCode>
                <c:ptCount val="5"/>
                <c:pt idx="0">
                  <c:v>0.52772978953944893</c:v>
                </c:pt>
                <c:pt idx="1">
                  <c:v>0.52109313481437036</c:v>
                </c:pt>
                <c:pt idx="2">
                  <c:v>0.51312972888018338</c:v>
                </c:pt>
                <c:pt idx="3">
                  <c:v>0.48940714460934953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25E-4FFF-AD1D-5C399977A8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4242592"/>
        <c:axId val="244243152"/>
      </c:lineChart>
      <c:catAx>
        <c:axId val="2442425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bg2">
                <a:lumMod val="7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/>
            </a:pPr>
            <a:endParaRPr lang="sk-SK"/>
          </a:p>
        </c:txPr>
        <c:crossAx val="244243152"/>
        <c:crosses val="autoZero"/>
        <c:auto val="1"/>
        <c:lblAlgn val="ctr"/>
        <c:lblOffset val="100"/>
        <c:noMultiLvlLbl val="0"/>
      </c:catAx>
      <c:valAx>
        <c:axId val="244243152"/>
        <c:scaling>
          <c:orientation val="minMax"/>
          <c:min val="0.4"/>
        </c:scaling>
        <c:delete val="0"/>
        <c:axPos val="l"/>
        <c:majorGridlines>
          <c:spPr>
            <a:ln w="9525" cap="flat" cmpd="sng" algn="ctr">
              <a:solidFill>
                <a:sysClr val="windowText" lastClr="000000">
                  <a:lumMod val="15000"/>
                  <a:lumOff val="85000"/>
                </a:sysClr>
              </a:solidFill>
              <a:prstDash val="dash"/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sk-SK"/>
                  <a:t>dlh </a:t>
                </a:r>
                <a:r>
                  <a:rPr lang="en-US"/>
                  <a:t>k HDP v</a:t>
                </a:r>
                <a:r>
                  <a:rPr lang="sk-SK"/>
                  <a:t>%</a:t>
                </a:r>
                <a:endParaRPr lang="en-GB"/>
              </a:p>
            </c:rich>
          </c:tx>
          <c:layout>
            <c:manualLayout>
              <c:xMode val="edge"/>
              <c:yMode val="edge"/>
              <c:x val="0.10958531971364489"/>
              <c:y val="0.50687475104223456"/>
            </c:manualLayout>
          </c:layout>
          <c:overlay val="0"/>
        </c:title>
        <c:numFmt formatCode="0%" sourceLinked="0"/>
        <c:majorTickMark val="none"/>
        <c:minorTickMark val="none"/>
        <c:tickLblPos val="nextTo"/>
        <c:spPr>
          <a:noFill/>
          <a:ln>
            <a:solidFill>
              <a:schemeClr val="tx1">
                <a:lumMod val="15000"/>
                <a:lumOff val="85000"/>
              </a:schemeClr>
            </a:solidFill>
          </a:ln>
          <a:effectLst/>
        </c:spPr>
        <c:txPr>
          <a:bodyPr rot="0" vert="horz"/>
          <a:lstStyle/>
          <a:p>
            <a:pPr>
              <a:defRPr/>
            </a:pPr>
            <a:endParaRPr lang="sk-SK"/>
          </a:p>
        </c:txPr>
        <c:crossAx val="244242592"/>
        <c:crosses val="autoZero"/>
        <c:crossBetween val="midCat"/>
      </c:valAx>
      <c:spPr>
        <a:noFill/>
        <a:ln w="25400">
          <a:noFill/>
        </a:ln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layout>
        <c:manualLayout>
          <c:xMode val="edge"/>
          <c:yMode val="edge"/>
          <c:x val="0.15920396632828343"/>
          <c:y val="0.68608591560361776"/>
          <c:w val="0.64708263078475603"/>
          <c:h val="8.4076961529870972E-2"/>
        </c:manualLayout>
      </c:layout>
      <c:overlay val="1"/>
      <c:spPr>
        <a:noFill/>
        <a:ln w="25400">
          <a:noFill/>
        </a:ln>
      </c:sp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100" b="0" i="0" u="none" strike="noStrike" baseline="0">
          <a:solidFill>
            <a:schemeClr val="tx1"/>
          </a:solidFill>
          <a:latin typeface="Constantia"/>
          <a:ea typeface="Constantia"/>
          <a:cs typeface="Constantia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7.2835570416720716E-2"/>
          <c:y val="6.086217526558068E-2"/>
          <c:w val="0.87876687302877765"/>
          <c:h val="0.81644732079415339"/>
        </c:manualLayout>
      </c:layout>
      <c:areaChart>
        <c:grouping val="stacked"/>
        <c:varyColors val="0"/>
        <c:ser>
          <c:idx val="0"/>
          <c:order val="0"/>
          <c:tx>
            <c:strRef>
              <c:f>'G63'!$B$2</c:f>
              <c:strCache>
                <c:ptCount val="1"/>
                <c:pt idx="0">
                  <c:v>Min</c:v>
                </c:pt>
              </c:strCache>
            </c:strRef>
          </c:tx>
          <c:spPr>
            <a:noFill/>
            <a:ln w="25400">
              <a:noFill/>
            </a:ln>
          </c:spPr>
          <c:dLbls>
            <c:delete val="1"/>
          </c:dLbls>
          <c:cat>
            <c:numRef>
              <c:f>'G63'!$A$3:$A$7</c:f>
              <c:numCache>
                <c:formatCode>General</c:formatCode>
                <c:ptCount val="5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</c:numCache>
            </c:numRef>
          </c:cat>
          <c:val>
            <c:numRef>
              <c:f>'G63'!$B$3:$B$7</c:f>
              <c:numCache>
                <c:formatCode>0.000</c:formatCode>
                <c:ptCount val="5"/>
                <c:pt idx="0">
                  <c:v>1</c:v>
                </c:pt>
                <c:pt idx="1">
                  <c:v>1.0330247286163665</c:v>
                </c:pt>
                <c:pt idx="2">
                  <c:v>1.0595269620848076</c:v>
                </c:pt>
                <c:pt idx="3">
                  <c:v>1.0688024450970817</c:v>
                </c:pt>
                <c:pt idx="4">
                  <c:v>1.0629259266325086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4E0-4C95-AA65-E097ECE92A52}"/>
            </c:ext>
          </c:extLst>
        </c:ser>
        <c:ser>
          <c:idx val="6"/>
          <c:order val="1"/>
          <c:tx>
            <c:strRef>
              <c:f>'G63'!$C$2</c:f>
              <c:strCache>
                <c:ptCount val="1"/>
                <c:pt idx="0">
                  <c:v>d80</c:v>
                </c:pt>
              </c:strCache>
            </c:strRef>
          </c:tx>
          <c:spPr>
            <a:solidFill>
              <a:srgbClr val="9FE2F7"/>
            </a:solidFill>
          </c:spPr>
          <c:dLbls>
            <c:delete val="1"/>
          </c:dLbls>
          <c:cat>
            <c:numRef>
              <c:f>'G63'!$A$3:$A$7</c:f>
              <c:numCache>
                <c:formatCode>General</c:formatCode>
                <c:ptCount val="5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</c:numCache>
            </c:numRef>
          </c:cat>
          <c:val>
            <c:numRef>
              <c:f>'G63'!$C$3:$C$7</c:f>
              <c:numCache>
                <c:formatCode>0.000</c:formatCode>
                <c:ptCount val="5"/>
                <c:pt idx="1">
                  <c:v>2.104816166100365E-3</c:v>
                </c:pt>
                <c:pt idx="2">
                  <c:v>8.1600052750059326E-3</c:v>
                </c:pt>
                <c:pt idx="3">
                  <c:v>2.2712817138477392E-2</c:v>
                </c:pt>
                <c:pt idx="4">
                  <c:v>4.4510848881212928E-2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4E0-4C95-AA65-E097ECE92A52}"/>
            </c:ext>
          </c:extLst>
        </c:ser>
        <c:ser>
          <c:idx val="7"/>
          <c:order val="2"/>
          <c:tx>
            <c:strRef>
              <c:f>'G63'!$D$2</c:f>
              <c:strCache>
                <c:ptCount val="1"/>
                <c:pt idx="0">
                  <c:v>d60</c:v>
                </c:pt>
              </c:strCache>
            </c:strRef>
          </c:tx>
          <c:spPr>
            <a:solidFill>
              <a:srgbClr val="64D0F2"/>
            </a:solidFill>
          </c:spPr>
          <c:dLbls>
            <c:delete val="1"/>
          </c:dLbls>
          <c:cat>
            <c:numRef>
              <c:f>'G63'!$A$3:$A$7</c:f>
              <c:numCache>
                <c:formatCode>General</c:formatCode>
                <c:ptCount val="5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</c:numCache>
            </c:numRef>
          </c:cat>
          <c:val>
            <c:numRef>
              <c:f>'G63'!$D$3:$D$7</c:f>
              <c:numCache>
                <c:formatCode>0.000</c:formatCode>
                <c:ptCount val="5"/>
                <c:pt idx="1">
                  <c:v>1.5177205411271988E-3</c:v>
                </c:pt>
                <c:pt idx="2">
                  <c:v>5.8990816433854842E-3</c:v>
                </c:pt>
                <c:pt idx="3">
                  <c:v>1.6530520192439724E-2</c:v>
                </c:pt>
                <c:pt idx="4">
                  <c:v>3.2819011111677954E-2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4E0-4C95-AA65-E097ECE92A52}"/>
            </c:ext>
          </c:extLst>
        </c:ser>
        <c:ser>
          <c:idx val="8"/>
          <c:order val="3"/>
          <c:tx>
            <c:strRef>
              <c:f>'G63'!$E$2</c:f>
              <c:strCache>
                <c:ptCount val="1"/>
                <c:pt idx="0">
                  <c:v>d40-h40</c:v>
                </c:pt>
              </c:strCache>
            </c:strRef>
          </c:tx>
          <c:spPr>
            <a:solidFill>
              <a:srgbClr val="13B5EA"/>
            </a:solidFill>
          </c:spPr>
          <c:dLbls>
            <c:delete val="1"/>
          </c:dLbls>
          <c:cat>
            <c:numRef>
              <c:f>'G63'!$A$3:$A$7</c:f>
              <c:numCache>
                <c:formatCode>General</c:formatCode>
                <c:ptCount val="5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</c:numCache>
            </c:numRef>
          </c:cat>
          <c:val>
            <c:numRef>
              <c:f>'G63'!$E$3:$E$7</c:f>
              <c:numCache>
                <c:formatCode>0.000</c:formatCode>
                <c:ptCount val="5"/>
                <c:pt idx="1">
                  <c:v>5.0179157764018711E-3</c:v>
                </c:pt>
                <c:pt idx="2">
                  <c:v>1.9593984649609819E-2</c:v>
                </c:pt>
                <c:pt idx="3">
                  <c:v>5.5571065749988602E-2</c:v>
                </c:pt>
                <c:pt idx="4">
                  <c:v>0.11290345940349988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4E0-4C95-AA65-E097ECE92A52}"/>
            </c:ext>
          </c:extLst>
        </c:ser>
        <c:ser>
          <c:idx val="5"/>
          <c:order val="4"/>
          <c:tx>
            <c:strRef>
              <c:f>'G63'!$F$2</c:f>
              <c:strCache>
                <c:ptCount val="1"/>
                <c:pt idx="0">
                  <c:v>h60</c:v>
                </c:pt>
              </c:strCache>
            </c:strRef>
          </c:tx>
          <c:spPr>
            <a:solidFill>
              <a:srgbClr val="13B5EA"/>
            </a:solidFill>
          </c:spPr>
          <c:dLbls>
            <c:delete val="1"/>
          </c:dLbls>
          <c:cat>
            <c:numRef>
              <c:f>'G63'!$A$3:$A$7</c:f>
              <c:numCache>
                <c:formatCode>General</c:formatCode>
                <c:ptCount val="5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</c:numCache>
            </c:numRef>
          </c:cat>
          <c:val>
            <c:numRef>
              <c:f>'G63'!$F$3:$F$7</c:f>
              <c:numCache>
                <c:formatCode>0.000</c:formatCode>
                <c:ptCount val="5"/>
                <c:pt idx="1">
                  <c:v>1.5177205411274208E-3</c:v>
                </c:pt>
                <c:pt idx="2">
                  <c:v>5.9537251036305694E-3</c:v>
                </c:pt>
                <c:pt idx="3">
                  <c:v>1.7086985209931793E-2</c:v>
                </c:pt>
                <c:pt idx="4">
                  <c:v>3.5501502221772618E-2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4E0-4C95-AA65-E097ECE92A52}"/>
            </c:ext>
          </c:extLst>
        </c:ser>
        <c:ser>
          <c:idx val="2"/>
          <c:order val="5"/>
          <c:tx>
            <c:strRef>
              <c:f>'G63'!$G$2</c:f>
              <c:strCache>
                <c:ptCount val="1"/>
                <c:pt idx="0">
                  <c:v>h80</c:v>
                </c:pt>
              </c:strCache>
            </c:strRef>
          </c:tx>
          <c:spPr>
            <a:solidFill>
              <a:srgbClr val="64D0F2"/>
            </a:solidFill>
          </c:spPr>
          <c:dLbls>
            <c:delete val="1"/>
          </c:dLbls>
          <c:cat>
            <c:numRef>
              <c:f>'G63'!$A$3:$A$7</c:f>
              <c:numCache>
                <c:formatCode>General</c:formatCode>
                <c:ptCount val="5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</c:numCache>
            </c:numRef>
          </c:cat>
          <c:val>
            <c:numRef>
              <c:f>'G63'!$G$3:$G$7</c:f>
              <c:numCache>
                <c:formatCode>0.000</c:formatCode>
                <c:ptCount val="5"/>
                <c:pt idx="1">
                  <c:v>2.104816166100143E-3</c:v>
                </c:pt>
                <c:pt idx="2">
                  <c:v>8.2777898122576854E-3</c:v>
                </c:pt>
                <c:pt idx="3">
                  <c:v>2.3912283173179727E-2</c:v>
                </c:pt>
                <c:pt idx="4">
                  <c:v>5.02932125916149E-2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4E0-4C95-AA65-E097ECE92A5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axId val="244242592"/>
        <c:axId val="244243152"/>
      </c:areaChart>
      <c:lineChart>
        <c:grouping val="standard"/>
        <c:varyColors val="0"/>
        <c:ser>
          <c:idx val="4"/>
          <c:order val="6"/>
          <c:tx>
            <c:strRef>
              <c:f>'G63'!$I$2</c:f>
              <c:strCache>
                <c:ptCount val="1"/>
                <c:pt idx="0">
                  <c:v>VpMP (sept. 2016)</c:v>
                </c:pt>
              </c:strCache>
            </c:strRef>
          </c:tx>
          <c:spPr>
            <a:ln>
              <a:solidFill>
                <a:sysClr val="windowText" lastClr="000000"/>
              </a:solidFill>
            </a:ln>
          </c:spPr>
          <c:marker>
            <c:symbol val="none"/>
          </c:marker>
          <c:dLbls>
            <c:dLbl>
              <c:idx val="0"/>
              <c:layout>
                <c:manualLayout>
                  <c:x val="1.5065910392235628E-2"/>
                  <c:y val="7.84313456396666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4E0-4C95-AA65-E097ECE92A52}"/>
                </c:ext>
              </c:extLst>
            </c:dLbl>
            <c:dLbl>
              <c:idx val="1"/>
              <c:layout>
                <c:manualLayout>
                  <c:x val="-1.7576895457608245E-2"/>
                  <c:y val="-0.187363770139203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4E0-4C95-AA65-E097ECE92A52}"/>
                </c:ext>
              </c:extLst>
            </c:dLbl>
            <c:dLbl>
              <c:idx val="2"/>
              <c:layout>
                <c:manualLayout>
                  <c:x val="-2.2598865588353459E-2"/>
                  <c:y val="-0.152505394299351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4E0-4C95-AA65-E097ECE92A52}"/>
                </c:ext>
              </c:extLst>
            </c:dLbl>
            <c:dLbl>
              <c:idx val="3"/>
              <c:layout>
                <c:manualLayout>
                  <c:x val="-4.5197731176706918E-2"/>
                  <c:y val="-0.187363770139203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4E0-4C95-AA65-E097ECE92A52}"/>
                </c:ext>
              </c:extLst>
            </c:dLbl>
            <c:dLbl>
              <c:idx val="4"/>
              <c:layout>
                <c:manualLayout>
                  <c:x val="-0.12554925326863042"/>
                  <c:y val="-0.244008630878962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4E0-4C95-AA65-E097ECE92A52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'G63'!$A$3:$A$7</c:f>
              <c:numCache>
                <c:formatCode>General</c:formatCode>
                <c:ptCount val="5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</c:numCache>
            </c:numRef>
          </c:cat>
          <c:val>
            <c:numRef>
              <c:f>'G63'!$I$3:$I$7</c:f>
              <c:numCache>
                <c:formatCode>0.000</c:formatCode>
                <c:ptCount val="5"/>
                <c:pt idx="0">
                  <c:v>1</c:v>
                </c:pt>
                <c:pt idx="1">
                  <c:v>1.039156223211795</c:v>
                </c:pt>
                <c:pt idx="2">
                  <c:v>1.0833657026791366</c:v>
                </c:pt>
                <c:pt idx="3">
                  <c:v>1.1356547461124236</c:v>
                </c:pt>
                <c:pt idx="4">
                  <c:v>1.1958563654917489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B4E0-4C95-AA65-E097ECE92A5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44242592"/>
        <c:axId val="244243152"/>
      </c:lineChart>
      <c:catAx>
        <c:axId val="2442425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bg2">
                <a:lumMod val="7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/>
            </a:pPr>
            <a:endParaRPr lang="sk-SK"/>
          </a:p>
        </c:txPr>
        <c:crossAx val="244243152"/>
        <c:crosses val="autoZero"/>
        <c:auto val="1"/>
        <c:lblAlgn val="ctr"/>
        <c:lblOffset val="100"/>
        <c:noMultiLvlLbl val="0"/>
      </c:catAx>
      <c:valAx>
        <c:axId val="244243152"/>
        <c:scaling>
          <c:orientation val="minMax"/>
          <c:min val="0.9"/>
        </c:scaling>
        <c:delete val="0"/>
        <c:axPos val="l"/>
        <c:majorGridlines>
          <c:spPr>
            <a:ln w="9525" cap="flat" cmpd="sng" algn="ctr">
              <a:solidFill>
                <a:sysClr val="windowText" lastClr="000000">
                  <a:lumMod val="15000"/>
                  <a:lumOff val="85000"/>
                </a:sysClr>
              </a:solidFill>
              <a:prstDash val="dash"/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sk-SK"/>
                  <a:t>kumulatívny index (2015=1)</a:t>
                </a:r>
                <a:endParaRPr lang="en-GB"/>
              </a:p>
            </c:rich>
          </c:tx>
          <c:layout>
            <c:manualLayout>
              <c:xMode val="edge"/>
              <c:yMode val="edge"/>
              <c:x val="8.1964483994546214E-2"/>
              <c:y val="7.9859647004049558E-2"/>
            </c:manualLayout>
          </c:layout>
          <c:overlay val="0"/>
        </c:title>
        <c:numFmt formatCode="#,##0.0" sourceLinked="0"/>
        <c:majorTickMark val="none"/>
        <c:minorTickMark val="none"/>
        <c:tickLblPos val="nextTo"/>
        <c:spPr>
          <a:noFill/>
          <a:ln>
            <a:solidFill>
              <a:schemeClr val="tx1">
                <a:lumMod val="15000"/>
                <a:lumOff val="85000"/>
              </a:schemeClr>
            </a:solidFill>
          </a:ln>
          <a:effectLst/>
        </c:spPr>
        <c:txPr>
          <a:bodyPr rot="0" vert="horz"/>
          <a:lstStyle/>
          <a:p>
            <a:pPr>
              <a:defRPr/>
            </a:pPr>
            <a:endParaRPr lang="sk-SK"/>
          </a:p>
        </c:txPr>
        <c:crossAx val="244242592"/>
        <c:crosses val="autoZero"/>
        <c:crossBetween val="midCat"/>
        <c:majorUnit val="0.1"/>
      </c:valAx>
      <c:spPr>
        <a:noFill/>
        <a:ln w="25400">
          <a:noFill/>
        </a:ln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21695662283185338"/>
          <c:y val="0.11528001122604385"/>
          <c:w val="0.49391254179702698"/>
          <c:h val="7.9719664549889518E-2"/>
        </c:manualLayout>
      </c:layout>
      <c:overlay val="1"/>
      <c:spPr>
        <a:noFill/>
        <a:ln w="25400">
          <a:noFill/>
        </a:ln>
      </c:sp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100" b="0" i="0" u="none" strike="noStrike" baseline="0">
          <a:solidFill>
            <a:schemeClr val="tx1"/>
          </a:solidFill>
          <a:latin typeface="Constantia"/>
          <a:ea typeface="Constantia"/>
          <a:cs typeface="Constantia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8795637072312056E-2"/>
          <c:y val="4.7790277777777779E-2"/>
          <c:w val="0.84361314117172481"/>
          <c:h val="0.82951909512939548"/>
        </c:manualLayout>
      </c:layout>
      <c:areaChart>
        <c:grouping val="stacked"/>
        <c:varyColors val="0"/>
        <c:ser>
          <c:idx val="0"/>
          <c:order val="0"/>
          <c:tx>
            <c:strRef>
              <c:f>'G64'!$B$2</c:f>
              <c:strCache>
                <c:ptCount val="1"/>
                <c:pt idx="0">
                  <c:v>Min</c:v>
                </c:pt>
              </c:strCache>
            </c:strRef>
          </c:tx>
          <c:spPr>
            <a:noFill/>
            <a:ln w="25400">
              <a:noFill/>
            </a:ln>
          </c:spPr>
          <c:dLbls>
            <c:delete val="1"/>
          </c:dLbls>
          <c:cat>
            <c:numRef>
              <c:f>'G64'!$A$3:$A$7</c:f>
              <c:numCache>
                <c:formatCode>General</c:formatCode>
                <c:ptCount val="5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</c:numCache>
            </c:numRef>
          </c:cat>
          <c:val>
            <c:numRef>
              <c:f>'G64'!$B$3:$B$7</c:f>
              <c:numCache>
                <c:formatCode>0.000</c:formatCode>
                <c:ptCount val="5"/>
                <c:pt idx="0">
                  <c:v>23024.666893522688</c:v>
                </c:pt>
                <c:pt idx="1">
                  <c:v>23937.172461594928</c:v>
                </c:pt>
                <c:pt idx="2">
                  <c:v>24581.101508522272</c:v>
                </c:pt>
                <c:pt idx="3">
                  <c:v>24856.199750765823</c:v>
                </c:pt>
                <c:pt idx="4">
                  <c:v>24767.61017643147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C30-471B-98CB-B0EEB70568C5}"/>
            </c:ext>
          </c:extLst>
        </c:ser>
        <c:ser>
          <c:idx val="6"/>
          <c:order val="1"/>
          <c:tx>
            <c:strRef>
              <c:f>'G64'!$C$2</c:f>
              <c:strCache>
                <c:ptCount val="1"/>
                <c:pt idx="0">
                  <c:v>d80</c:v>
                </c:pt>
              </c:strCache>
            </c:strRef>
          </c:tx>
          <c:spPr>
            <a:solidFill>
              <a:srgbClr val="9FE2F7"/>
            </a:solidFill>
          </c:spPr>
          <c:dLbls>
            <c:delete val="1"/>
          </c:dLbls>
          <c:cat>
            <c:numRef>
              <c:f>'G64'!$A$3:$A$7</c:f>
              <c:numCache>
                <c:formatCode>General</c:formatCode>
                <c:ptCount val="5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</c:numCache>
            </c:numRef>
          </c:cat>
          <c:val>
            <c:numRef>
              <c:f>'G64'!$C$3:$C$7</c:f>
              <c:numCache>
                <c:formatCode>0.000</c:formatCode>
                <c:ptCount val="5"/>
                <c:pt idx="1">
                  <c:v>48.772644228356512</c:v>
                </c:pt>
                <c:pt idx="2">
                  <c:v>189.31270760709594</c:v>
                </c:pt>
                <c:pt idx="3">
                  <c:v>528.2120398268089</c:v>
                </c:pt>
                <c:pt idx="4">
                  <c:v>1037.1629161446544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C30-471B-98CB-B0EEB70568C5}"/>
            </c:ext>
          </c:extLst>
        </c:ser>
        <c:ser>
          <c:idx val="7"/>
          <c:order val="2"/>
          <c:tx>
            <c:strRef>
              <c:f>'G64'!$D$2</c:f>
              <c:strCache>
                <c:ptCount val="1"/>
                <c:pt idx="0">
                  <c:v>d60</c:v>
                </c:pt>
              </c:strCache>
            </c:strRef>
          </c:tx>
          <c:spPr>
            <a:solidFill>
              <a:srgbClr val="64D0F2"/>
            </a:solidFill>
          </c:spPr>
          <c:dLbls>
            <c:delete val="1"/>
          </c:dLbls>
          <c:cat>
            <c:numRef>
              <c:f>'G64'!$A$3:$A$7</c:f>
              <c:numCache>
                <c:formatCode>General</c:formatCode>
                <c:ptCount val="5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</c:numCache>
            </c:numRef>
          </c:cat>
          <c:val>
            <c:numRef>
              <c:f>'G64'!$D$3:$D$7</c:f>
              <c:numCache>
                <c:formatCode>0.000</c:formatCode>
                <c:ptCount val="5"/>
                <c:pt idx="1">
                  <c:v>35.168507911832421</c:v>
                </c:pt>
                <c:pt idx="2">
                  <c:v>136.85911720244985</c:v>
                </c:pt>
                <c:pt idx="3">
                  <c:v>384.43578958132639</c:v>
                </c:pt>
                <c:pt idx="4">
                  <c:v>764.72729963904931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C30-471B-98CB-B0EEB70568C5}"/>
            </c:ext>
          </c:extLst>
        </c:ser>
        <c:ser>
          <c:idx val="8"/>
          <c:order val="3"/>
          <c:tx>
            <c:strRef>
              <c:f>'G64'!$E$2</c:f>
              <c:strCache>
                <c:ptCount val="1"/>
                <c:pt idx="0">
                  <c:v>d40-h40</c:v>
                </c:pt>
              </c:strCache>
            </c:strRef>
          </c:tx>
          <c:spPr>
            <a:solidFill>
              <a:srgbClr val="13B5EA"/>
            </a:solidFill>
          </c:spPr>
          <c:dLbls>
            <c:delete val="1"/>
          </c:dLbls>
          <c:cat>
            <c:numRef>
              <c:f>'G64'!$A$3:$A$7</c:f>
              <c:numCache>
                <c:formatCode>General</c:formatCode>
                <c:ptCount val="5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</c:numCache>
            </c:numRef>
          </c:cat>
          <c:val>
            <c:numRef>
              <c:f>'G64'!$E$3:$E$7</c:f>
              <c:numCache>
                <c:formatCode>0.000</c:formatCode>
                <c:ptCount val="5"/>
                <c:pt idx="1">
                  <c:v>116.27477252976678</c:v>
                </c:pt>
                <c:pt idx="2">
                  <c:v>454.5818491308346</c:v>
                </c:pt>
                <c:pt idx="3">
                  <c:v>1292.3674688255342</c:v>
                </c:pt>
                <c:pt idx="4">
                  <c:v>2630.8031444257322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C30-471B-98CB-B0EEB70568C5}"/>
            </c:ext>
          </c:extLst>
        </c:ser>
        <c:ser>
          <c:idx val="5"/>
          <c:order val="4"/>
          <c:tx>
            <c:strRef>
              <c:f>'G64'!$F$2</c:f>
              <c:strCache>
                <c:ptCount val="1"/>
                <c:pt idx="0">
                  <c:v>h60</c:v>
                </c:pt>
              </c:strCache>
            </c:strRef>
          </c:tx>
          <c:spPr>
            <a:solidFill>
              <a:srgbClr val="13B5EA"/>
            </a:solidFill>
          </c:spPr>
          <c:dLbls>
            <c:delete val="1"/>
          </c:dLbls>
          <c:cat>
            <c:numRef>
              <c:f>'G64'!$A$3:$A$7</c:f>
              <c:numCache>
                <c:formatCode>General</c:formatCode>
                <c:ptCount val="5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</c:numCache>
            </c:numRef>
          </c:cat>
          <c:val>
            <c:numRef>
              <c:f>'G64'!$F$3:$F$7</c:f>
              <c:numCache>
                <c:formatCode>0.000</c:formatCode>
                <c:ptCount val="5"/>
                <c:pt idx="1">
                  <c:v>35.168507911843335</c:v>
                </c:pt>
                <c:pt idx="2">
                  <c:v>138.12684939910469</c:v>
                </c:pt>
                <c:pt idx="3">
                  <c:v>397.37700775737903</c:v>
                </c:pt>
                <c:pt idx="4">
                  <c:v>827.23296673389268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C30-471B-98CB-B0EEB70568C5}"/>
            </c:ext>
          </c:extLst>
        </c:ser>
        <c:ser>
          <c:idx val="2"/>
          <c:order val="5"/>
          <c:tx>
            <c:strRef>
              <c:f>'G64'!$G$2</c:f>
              <c:strCache>
                <c:ptCount val="1"/>
                <c:pt idx="0">
                  <c:v>h80</c:v>
                </c:pt>
              </c:strCache>
            </c:strRef>
          </c:tx>
          <c:spPr>
            <a:solidFill>
              <a:srgbClr val="64D0F2"/>
            </a:solidFill>
          </c:spPr>
          <c:dLbls>
            <c:delete val="1"/>
          </c:dLbls>
          <c:cat>
            <c:numRef>
              <c:f>'G64'!$A$3:$A$7</c:f>
              <c:numCache>
                <c:formatCode>General</c:formatCode>
                <c:ptCount val="5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</c:numCache>
            </c:numRef>
          </c:cat>
          <c:val>
            <c:numRef>
              <c:f>'G64'!$G$3:$G$7</c:f>
              <c:numCache>
                <c:formatCode>0.000</c:formatCode>
                <c:ptCount val="5"/>
                <c:pt idx="1">
                  <c:v>48.772644228345598</c:v>
                </c:pt>
                <c:pt idx="2">
                  <c:v>192.04531731872339</c:v>
                </c:pt>
                <c:pt idx="3">
                  <c:v>556.10696792094313</c:v>
                </c:pt>
                <c:pt idx="4">
                  <c:v>1171.8998029673385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C30-471B-98CB-B0EEB70568C5}"/>
            </c:ext>
          </c:extLst>
        </c:ser>
        <c:ser>
          <c:idx val="3"/>
          <c:order val="6"/>
          <c:tx>
            <c:strRef>
              <c:f>'G64'!$H$2</c:f>
              <c:strCache>
                <c:ptCount val="1"/>
                <c:pt idx="0">
                  <c:v>Max</c:v>
                </c:pt>
              </c:strCache>
            </c:strRef>
          </c:tx>
          <c:spPr>
            <a:solidFill>
              <a:srgbClr val="9FE2F7"/>
            </a:solidFill>
          </c:spPr>
          <c:dLbls>
            <c:delete val="1"/>
          </c:dLbls>
          <c:cat>
            <c:numRef>
              <c:f>'G64'!$A$3:$A$7</c:f>
              <c:numCache>
                <c:formatCode>General</c:formatCode>
                <c:ptCount val="5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</c:numCache>
            </c:numRef>
          </c:cat>
          <c:val>
            <c:numRef>
              <c:f>'G64'!$H$3:$H$7</c:f>
              <c:numCache>
                <c:formatCode>0.000</c:formatCode>
                <c:ptCount val="5"/>
                <c:pt idx="1">
                  <c:v>2.2169682750206032E-3</c:v>
                </c:pt>
                <c:pt idx="2">
                  <c:v>5.3764156189863854E-3</c:v>
                </c:pt>
                <c:pt idx="3">
                  <c:v>1.3529257279302542E-2</c:v>
                </c:pt>
                <c:pt idx="4">
                  <c:v>2.2658137944870593E-2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C30-471B-98CB-B0EEB70568C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axId val="244242592"/>
        <c:axId val="244243152"/>
      </c:areaChart>
      <c:lineChart>
        <c:grouping val="standard"/>
        <c:varyColors val="0"/>
        <c:ser>
          <c:idx val="4"/>
          <c:order val="7"/>
          <c:tx>
            <c:strRef>
              <c:f>'G64'!$I$2</c:f>
              <c:strCache>
                <c:ptCount val="1"/>
                <c:pt idx="0">
                  <c:v>VpDP (sept. 2016)</c:v>
                </c:pt>
              </c:strCache>
            </c:strRef>
          </c:tx>
          <c:spPr>
            <a:ln>
              <a:solidFill>
                <a:sysClr val="windowText" lastClr="000000"/>
              </a:solidFill>
            </a:ln>
          </c:spPr>
          <c:marker>
            <c:symbol val="none"/>
          </c:marker>
          <c:dLbls>
            <c:dLbl>
              <c:idx val="0"/>
              <c:layout>
                <c:manualLayout>
                  <c:x val="5.021970130745213E-3"/>
                  <c:y val="-0.122004315439481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C30-471B-98CB-B0EEB70568C5}"/>
                </c:ext>
              </c:extLst>
            </c:dLbl>
            <c:dLbl>
              <c:idx val="1"/>
              <c:layout>
                <c:manualLayout>
                  <c:x val="-4.7708716242079521E-2"/>
                  <c:y val="-0.113289721479518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C30-471B-98CB-B0EEB70568C5}"/>
                </c:ext>
              </c:extLst>
            </c:dLbl>
            <c:dLbl>
              <c:idx val="2"/>
              <c:layout>
                <c:manualLayout>
                  <c:x val="-5.0219701307452222E-2"/>
                  <c:y val="-0.130718909399444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C30-471B-98CB-B0EEB70568C5}"/>
                </c:ext>
              </c:extLst>
            </c:dLbl>
            <c:dLbl>
              <c:idx val="3"/>
              <c:layout>
                <c:manualLayout>
                  <c:x val="-8.7884477288041232E-2"/>
                  <c:y val="-0.19172106711918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C30-471B-98CB-B0EEB70568C5}"/>
                </c:ext>
              </c:extLst>
            </c:dLbl>
            <c:dLbl>
              <c:idx val="4"/>
              <c:layout>
                <c:manualLayout>
                  <c:x val="-0.12806023833400312"/>
                  <c:y val="-0.213507552019092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C30-471B-98CB-B0EEB70568C5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'G64'!$A$3:$A$7</c:f>
              <c:numCache>
                <c:formatCode>General</c:formatCode>
                <c:ptCount val="5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</c:numCache>
            </c:numRef>
          </c:cat>
          <c:val>
            <c:numRef>
              <c:f>'G64'!$I$3:$I$7</c:f>
              <c:numCache>
                <c:formatCode>0.000</c:formatCode>
                <c:ptCount val="5"/>
                <c:pt idx="0">
                  <c:v>23024.666893522688</c:v>
                </c:pt>
                <c:pt idx="1">
                  <c:v>24079.251000000004</c:v>
                </c:pt>
                <c:pt idx="2">
                  <c:v>25134.162000000004</c:v>
                </c:pt>
                <c:pt idx="3">
                  <c:v>26410.925000000003</c:v>
                </c:pt>
                <c:pt idx="4">
                  <c:v>27865.069000000003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C30-471B-98CB-B0EEB70568C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44242592"/>
        <c:axId val="244243152"/>
      </c:lineChart>
      <c:catAx>
        <c:axId val="2442425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bg2">
                <a:lumMod val="7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/>
            </a:pPr>
            <a:endParaRPr lang="sk-SK"/>
          </a:p>
        </c:txPr>
        <c:crossAx val="244243152"/>
        <c:crosses val="autoZero"/>
        <c:auto val="1"/>
        <c:lblAlgn val="ctr"/>
        <c:lblOffset val="100"/>
        <c:noMultiLvlLbl val="0"/>
      </c:catAx>
      <c:valAx>
        <c:axId val="244243152"/>
        <c:scaling>
          <c:orientation val="minMax"/>
          <c:min val="22000"/>
        </c:scaling>
        <c:delete val="0"/>
        <c:axPos val="l"/>
        <c:majorGridlines>
          <c:spPr>
            <a:ln w="9525" cap="flat" cmpd="sng" algn="ctr">
              <a:solidFill>
                <a:sysClr val="windowText" lastClr="000000">
                  <a:lumMod val="15000"/>
                  <a:lumOff val="85000"/>
                </a:sysClr>
              </a:solidFill>
              <a:prstDash val="dash"/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sk-SK"/>
                  <a:t>mil. eur</a:t>
                </a:r>
                <a:endParaRPr lang="en-GB"/>
              </a:p>
            </c:rich>
          </c:tx>
          <c:layout>
            <c:manualLayout>
              <c:xMode val="edge"/>
              <c:yMode val="edge"/>
              <c:x val="0.11711827490976269"/>
              <c:y val="7.843134563966663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spPr>
          <a:noFill/>
          <a:ln>
            <a:solidFill>
              <a:schemeClr val="tx1">
                <a:lumMod val="15000"/>
                <a:lumOff val="85000"/>
              </a:schemeClr>
            </a:solidFill>
          </a:ln>
          <a:effectLst/>
        </c:spPr>
        <c:txPr>
          <a:bodyPr rot="0" vert="horz"/>
          <a:lstStyle/>
          <a:p>
            <a:pPr>
              <a:defRPr/>
            </a:pPr>
            <a:endParaRPr lang="sk-SK"/>
          </a:p>
        </c:txPr>
        <c:crossAx val="244242592"/>
        <c:crosses val="autoZero"/>
        <c:crossBetween val="midCat"/>
      </c:valAx>
      <c:spPr>
        <a:noFill/>
        <a:ln w="25400">
          <a:noFill/>
        </a:ln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layout>
        <c:manualLayout>
          <c:xMode val="edge"/>
          <c:yMode val="edge"/>
          <c:x val="0.232022533224089"/>
          <c:y val="4.9920556526321679E-2"/>
          <c:w val="0.47382466127404615"/>
          <c:h val="9.2791555489833949E-2"/>
        </c:manualLayout>
      </c:layout>
      <c:overlay val="1"/>
      <c:spPr>
        <a:noFill/>
        <a:ln w="25400">
          <a:noFill/>
        </a:ln>
      </c:sp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100" b="0" i="0" u="none" strike="noStrike" baseline="0">
          <a:solidFill>
            <a:schemeClr val="tx1"/>
          </a:solidFill>
          <a:latin typeface="Constantia"/>
          <a:ea typeface="Constantia"/>
          <a:cs typeface="Constantia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247594050743664E-2"/>
          <c:y val="5.0925925925925923E-2"/>
          <c:w val="0.89019685039370078"/>
          <c:h val="0.84688247302420527"/>
        </c:manualLayout>
      </c:layout>
      <c:lineChart>
        <c:grouping val="standard"/>
        <c:varyColors val="0"/>
        <c:ser>
          <c:idx val="0"/>
          <c:order val="0"/>
          <c:tx>
            <c:strRef>
              <c:f>'G65, G66'!$A$18</c:f>
              <c:strCache>
                <c:ptCount val="1"/>
                <c:pt idx="0">
                  <c:v>Súkromný sektor</c:v>
                </c:pt>
              </c:strCache>
            </c:strRef>
          </c:tx>
          <c:spPr>
            <a:ln w="28575" cap="rnd">
              <a:solidFill>
                <a:srgbClr val="DCB47B"/>
              </a:solidFill>
              <a:round/>
            </a:ln>
            <a:effectLst/>
          </c:spPr>
          <c:marker>
            <c:symbol val="none"/>
          </c:marker>
          <c:cat>
            <c:numRef>
              <c:f>'G65, G66'!$B$17:$L$17</c:f>
              <c:numCache>
                <c:formatCode>General</c:formatCod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</c:v>
                </c:pt>
              </c:numCache>
            </c:numRef>
          </c:cat>
          <c:val>
            <c:numRef>
              <c:f>'G65, G66'!$B$18:$L$18</c:f>
              <c:numCache>
                <c:formatCode>#,##0</c:formatCode>
                <c:ptCount val="11"/>
                <c:pt idx="0">
                  <c:v>100</c:v>
                </c:pt>
                <c:pt idx="1">
                  <c:v>103.46893360134379</c:v>
                </c:pt>
                <c:pt idx="2">
                  <c:v>106.26716362273807</c:v>
                </c:pt>
                <c:pt idx="3">
                  <c:v>108.56796700105222</c:v>
                </c:pt>
                <c:pt idx="4">
                  <c:v>110.74423588314997</c:v>
                </c:pt>
                <c:pt idx="5">
                  <c:v>115.17642853620498</c:v>
                </c:pt>
                <c:pt idx="6">
                  <c:v>118.40967824482406</c:v>
                </c:pt>
                <c:pt idx="7">
                  <c:v>121.25479193734841</c:v>
                </c:pt>
                <c:pt idx="8">
                  <c:v>125.29361038575585</c:v>
                </c:pt>
                <c:pt idx="9">
                  <c:v>130.74584132529424</c:v>
                </c:pt>
                <c:pt idx="10">
                  <c:v>137.16444367475791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08D-4505-AC6C-0A8B93954E38}"/>
            </c:ext>
          </c:extLst>
        </c:ser>
        <c:ser>
          <c:idx val="3"/>
          <c:order val="1"/>
          <c:tx>
            <c:strRef>
              <c:f>'G65, G66'!$A$20</c:f>
              <c:strCache>
                <c:ptCount val="1"/>
                <c:pt idx="0">
                  <c:v>Štátne RO - odhad RRZ</c:v>
                </c:pt>
              </c:strCache>
            </c:strRef>
          </c:tx>
          <c:spPr>
            <a:ln w="28575" cap="rnd">
              <a:solidFill>
                <a:srgbClr val="13B5EA"/>
              </a:solidFill>
              <a:round/>
            </a:ln>
            <a:effectLst/>
          </c:spPr>
          <c:marker>
            <c:symbol val="none"/>
          </c:marker>
          <c:cat>
            <c:numRef>
              <c:f>'G65, G66'!$B$17:$L$17</c:f>
              <c:numCache>
                <c:formatCode>General</c:formatCod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</c:v>
                </c:pt>
              </c:numCache>
            </c:numRef>
          </c:cat>
          <c:val>
            <c:numRef>
              <c:f>'G65, G66'!$B$20:$L$20</c:f>
              <c:numCache>
                <c:formatCode>#,##0</c:formatCode>
                <c:ptCount val="11"/>
                <c:pt idx="0">
                  <c:v>100</c:v>
                </c:pt>
                <c:pt idx="1">
                  <c:v>102.52371805627931</c:v>
                </c:pt>
                <c:pt idx="2">
                  <c:v>101.8603185679313</c:v>
                </c:pt>
                <c:pt idx="3">
                  <c:v>103.55425074565221</c:v>
                </c:pt>
                <c:pt idx="4">
                  <c:v>105.515259674384</c:v>
                </c:pt>
                <c:pt idx="5">
                  <c:v>109.41305287150985</c:v>
                </c:pt>
                <c:pt idx="6">
                  <c:v>112.14743311508789</c:v>
                </c:pt>
                <c:pt idx="7">
                  <c:v>119.44191262154368</c:v>
                </c:pt>
                <c:pt idx="8">
                  <c:v>124.21958912640544</c:v>
                </c:pt>
                <c:pt idx="9">
                  <c:v>129.43681186971449</c:v>
                </c:pt>
                <c:pt idx="10">
                  <c:v>135.13203159198193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08D-4505-AC6C-0A8B93954E38}"/>
            </c:ext>
          </c:extLst>
        </c:ser>
        <c:ser>
          <c:idx val="2"/>
          <c:order val="2"/>
          <c:tx>
            <c:strRef>
              <c:f>'G65, G66'!$A$19</c:f>
              <c:strCache>
                <c:ptCount val="1"/>
                <c:pt idx="0">
                  <c:v>Štátne RO (od 2016 NRVS)</c:v>
                </c:pt>
              </c:strCache>
            </c:strRef>
          </c:tx>
          <c:spPr>
            <a:ln w="28575" cap="rnd">
              <a:solidFill>
                <a:srgbClr val="58595B"/>
              </a:solidFill>
              <a:round/>
            </a:ln>
            <a:effectLst/>
          </c:spPr>
          <c:marker>
            <c:symbol val="none"/>
          </c:marker>
          <c:cat>
            <c:numRef>
              <c:f>'G65, G66'!$B$17:$L$17</c:f>
              <c:numCache>
                <c:formatCode>General</c:formatCod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</c:v>
                </c:pt>
              </c:numCache>
            </c:numRef>
          </c:cat>
          <c:val>
            <c:numRef>
              <c:f>'G65, G66'!$B$19:$L$19</c:f>
              <c:numCache>
                <c:formatCode>#,##0</c:formatCode>
                <c:ptCount val="11"/>
                <c:pt idx="0">
                  <c:v>100</c:v>
                </c:pt>
                <c:pt idx="1">
                  <c:v>102.52371805627931</c:v>
                </c:pt>
                <c:pt idx="2">
                  <c:v>101.8603185679313</c:v>
                </c:pt>
                <c:pt idx="3">
                  <c:v>103.55425074565221</c:v>
                </c:pt>
                <c:pt idx="4">
                  <c:v>105.515259674384</c:v>
                </c:pt>
                <c:pt idx="5">
                  <c:v>109.41305287150985</c:v>
                </c:pt>
                <c:pt idx="6">
                  <c:v>112.14743311508788</c:v>
                </c:pt>
                <c:pt idx="7">
                  <c:v>119.44191262154365</c:v>
                </c:pt>
                <c:pt idx="8">
                  <c:v>119.14818947842831</c:v>
                </c:pt>
                <c:pt idx="9">
                  <c:v>120.51674857257503</c:v>
                </c:pt>
                <c:pt idx="10">
                  <c:v>120.98842659261811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08D-4505-AC6C-0A8B93954E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30671824"/>
        <c:axId val="530672216"/>
      </c:lineChart>
      <c:catAx>
        <c:axId val="5306718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530672216"/>
        <c:crosses val="autoZero"/>
        <c:auto val="1"/>
        <c:lblAlgn val="ctr"/>
        <c:lblOffset val="100"/>
        <c:noMultiLvlLbl val="0"/>
      </c:catAx>
      <c:valAx>
        <c:axId val="530672216"/>
        <c:scaling>
          <c:orientation val="minMax"/>
          <c:max val="140"/>
          <c:min val="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5306718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0042060367454068"/>
          <c:y val="7.0022601341498986E-2"/>
          <c:w val="0.42180161854768161"/>
          <c:h val="0.2401625838436862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onstantia" panose="02030602050306030303" pitchFamily="18" charset="0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latin typeface="Constantia" panose="02030602050306030303" pitchFamily="18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612292213473316E-2"/>
          <c:y val="5.0925925925925923E-2"/>
          <c:w val="0.88332152230971128"/>
          <c:h val="0.91087853601633129"/>
        </c:manualLayout>
      </c:layout>
      <c:barChart>
        <c:barDir val="col"/>
        <c:grouping val="stacked"/>
        <c:varyColors val="0"/>
        <c:ser>
          <c:idx val="9"/>
          <c:order val="1"/>
          <c:tx>
            <c:v>Mzdy</c:v>
          </c:tx>
          <c:spPr>
            <a:solidFill>
              <a:srgbClr val="13B5EA"/>
            </a:solidFill>
            <a:ln>
              <a:noFill/>
            </a:ln>
            <a:effectLst/>
          </c:spPr>
          <c:invertIfNegative val="0"/>
          <c:cat>
            <c:numRef>
              <c:f>'G65, G66'!$C$2:$L$2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'G65, G66'!$C$11:$L$11</c:f>
              <c:numCache>
                <c:formatCode>#\ ##0.0</c:formatCode>
                <c:ptCount val="10"/>
                <c:pt idx="0">
                  <c:v>2.5237180562793116</c:v>
                </c:pt>
                <c:pt idx="1">
                  <c:v>-0.64706928399127506</c:v>
                </c:pt>
                <c:pt idx="2">
                  <c:v>1.6629951697934464</c:v>
                </c:pt>
                <c:pt idx="3">
                  <c:v>1.8937020108893199</c:v>
                </c:pt>
                <c:pt idx="4">
                  <c:v>3.6940563944535487</c:v>
                </c:pt>
                <c:pt idx="5">
                  <c:v>2.4991353150425111</c:v>
                </c:pt>
                <c:pt idx="6">
                  <c:v>6.5043659973653023</c:v>
                </c:pt>
                <c:pt idx="7">
                  <c:v>-0.24591296025709974</c:v>
                </c:pt>
                <c:pt idx="8">
                  <c:v>1.1486192951295271</c:v>
                </c:pt>
                <c:pt idx="9">
                  <c:v>0.39137964277142778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B7B-410E-9D3B-FEAA84BF699D}"/>
            </c:ext>
          </c:extLst>
        </c:ser>
        <c:ser>
          <c:idx val="10"/>
          <c:order val="2"/>
          <c:tx>
            <c:v>Zamestnanosť</c:v>
          </c:tx>
          <c:spPr>
            <a:solidFill>
              <a:srgbClr val="58595B"/>
            </a:solidFill>
            <a:ln>
              <a:noFill/>
            </a:ln>
            <a:effectLst/>
          </c:spPr>
          <c:invertIfNegative val="0"/>
          <c:cat>
            <c:numRef>
              <c:f>'G65, G66'!$C$2:$L$2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'G65, G66'!$C$12:$L$12</c:f>
              <c:numCache>
                <c:formatCode>#\ ##0.0</c:formatCode>
                <c:ptCount val="10"/>
                <c:pt idx="0">
                  <c:v>-0.2966522906409752</c:v>
                </c:pt>
                <c:pt idx="1">
                  <c:v>-4.0893389857120432</c:v>
                </c:pt>
                <c:pt idx="2">
                  <c:v>-0.84962879897848564</c:v>
                </c:pt>
                <c:pt idx="3">
                  <c:v>0.87094350837508827</c:v>
                </c:pt>
                <c:pt idx="4">
                  <c:v>1.2398926244802988</c:v>
                </c:pt>
                <c:pt idx="5">
                  <c:v>0.40015197691243287</c:v>
                </c:pt>
                <c:pt idx="6">
                  <c:v>-1.0145090903235121</c:v>
                </c:pt>
                <c:pt idx="7">
                  <c:v>2.0339097756592706</c:v>
                </c:pt>
                <c:pt idx="8">
                  <c:v>3.5791259152051502E-2</c:v>
                </c:pt>
                <c:pt idx="9">
                  <c:v>7.7779246940856694E-4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B7B-410E-9D3B-FEAA84BF69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530674176"/>
        <c:axId val="530673392"/>
      </c:barChart>
      <c:lineChart>
        <c:grouping val="standard"/>
        <c:varyColors val="0"/>
        <c:ser>
          <c:idx val="8"/>
          <c:order val="0"/>
          <c:tx>
            <c:v>Mzdová báza</c:v>
          </c:tx>
          <c:spPr>
            <a:ln w="28575" cap="rnd">
              <a:solidFill>
                <a:srgbClr val="DCB47B"/>
              </a:solidFill>
              <a:round/>
            </a:ln>
            <a:effectLst/>
          </c:spPr>
          <c:marker>
            <c:symbol val="none"/>
          </c:marker>
          <c:cat>
            <c:numRef>
              <c:f>'G65, G66'!$C$2:$L$2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'G65, G66'!$C$10:$L$10</c:f>
              <c:numCache>
                <c:formatCode>#\ ##0.0</c:formatCode>
                <c:ptCount val="10"/>
                <c:pt idx="0">
                  <c:v>2.2195790982150632</c:v>
                </c:pt>
                <c:pt idx="1">
                  <c:v>-4.7099474132084929</c:v>
                </c:pt>
                <c:pt idx="2">
                  <c:v>0.79923708492677381</c:v>
                </c:pt>
                <c:pt idx="3">
                  <c:v>2.7811385939962241</c:v>
                </c:pt>
                <c:pt idx="4">
                  <c:v>4.9797513517128245</c:v>
                </c:pt>
                <c:pt idx="5">
                  <c:v>2.9092876313238092</c:v>
                </c:pt>
                <c:pt idx="6">
                  <c:v>5.4238695227306177</c:v>
                </c:pt>
                <c:pt idx="7">
                  <c:v>1.7829951676638922</c:v>
                </c:pt>
                <c:pt idx="8">
                  <c:v>1.1848216595901739</c:v>
                </c:pt>
                <c:pt idx="9">
                  <c:v>0.39216047936221354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B7B-410E-9D3B-FEAA84BF699D}"/>
            </c:ext>
          </c:extLst>
        </c:ser>
        <c:ser>
          <c:idx val="0"/>
          <c:order val="3"/>
          <c:tx>
            <c:v>Zákonná/zmluvná valorizácia</c:v>
          </c:tx>
          <c:spPr>
            <a:ln w="28575" cap="rnd">
              <a:solidFill>
                <a:schemeClr val="tx1">
                  <a:lumMod val="15000"/>
                  <a:lumOff val="85000"/>
                  <a:alpha val="0"/>
                </a:schemeClr>
              </a:solidFill>
              <a:round/>
            </a:ln>
            <a:effectLst/>
          </c:spPr>
          <c:marker>
            <c:symbol val="dash"/>
            <c:size val="16"/>
            <c:spPr>
              <a:solidFill>
                <a:srgbClr val="C00000"/>
              </a:solidFill>
              <a:ln w="9525">
                <a:noFill/>
              </a:ln>
              <a:effectLst/>
            </c:spPr>
          </c:marker>
          <c:cat>
            <c:numRef>
              <c:f>'G65, G66'!$C$2:$L$2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'G65, G66'!$C$9:$L$9</c:f>
              <c:numCache>
                <c:formatCode>#\ ##0.0</c:formatCode>
                <c:ptCount val="10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</c:v>
                </c:pt>
                <c:pt idx="5">
                  <c:v>1.758</c:v>
                </c:pt>
                <c:pt idx="6">
                  <c:v>4.774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B7B-410E-9D3B-FEAA84BF69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0674176"/>
        <c:axId val="530673392"/>
      </c:lineChart>
      <c:catAx>
        <c:axId val="530674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530673392"/>
        <c:crosses val="autoZero"/>
        <c:auto val="1"/>
        <c:lblAlgn val="ctr"/>
        <c:lblOffset val="100"/>
        <c:noMultiLvlLbl val="0"/>
      </c:catAx>
      <c:valAx>
        <c:axId val="5306733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#\ 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5306741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55910958005249345"/>
          <c:y val="0.68402668416447954"/>
          <c:w val="0.44089041994750644"/>
          <c:h val="0.2233807232429279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onstantia" panose="02030602050306030303" pitchFamily="18" charset="0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latin typeface="Constantia" panose="02030602050306030303" pitchFamily="18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2609615384615379E-2"/>
          <c:y val="3.2524316813339504E-2"/>
          <c:w val="0.91389123931623928"/>
          <c:h val="0.8809201790952601"/>
        </c:manualLayout>
      </c:layout>
      <c:lineChart>
        <c:grouping val="standard"/>
        <c:varyColors val="0"/>
        <c:ser>
          <c:idx val="0"/>
          <c:order val="0"/>
          <c:tx>
            <c:strRef>
              <c:f>'G67'!$B$2</c:f>
              <c:strCache>
                <c:ptCount val="1"/>
                <c:pt idx="0">
                  <c:v>2013</c:v>
                </c:pt>
              </c:strCache>
            </c:strRef>
          </c:tx>
          <c:spPr>
            <a:ln w="28575" cap="rnd">
              <a:solidFill>
                <a:srgbClr val="7F7F7F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'G67'!$A$3:$A$14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Máj</c:v>
                </c:pt>
                <c:pt idx="5">
                  <c:v>Jún</c:v>
                </c:pt>
                <c:pt idx="6">
                  <c:v>Júl</c:v>
                </c:pt>
                <c:pt idx="7">
                  <c:v>Aug</c:v>
                </c:pt>
                <c:pt idx="8">
                  <c:v>Sep</c:v>
                </c:pt>
                <c:pt idx="9">
                  <c:v>Okt 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'G67'!$B$3:$B$14</c:f>
              <c:numCache>
                <c:formatCode>0</c:formatCode>
                <c:ptCount val="12"/>
                <c:pt idx="0">
                  <c:v>3.054375030000001</c:v>
                </c:pt>
                <c:pt idx="1">
                  <c:v>24.473944489999994</c:v>
                </c:pt>
                <c:pt idx="2">
                  <c:v>35.070149169999951</c:v>
                </c:pt>
                <c:pt idx="3">
                  <c:v>42.152506199999991</c:v>
                </c:pt>
                <c:pt idx="4">
                  <c:v>50.488571609999951</c:v>
                </c:pt>
                <c:pt idx="5">
                  <c:v>61.035531909999953</c:v>
                </c:pt>
                <c:pt idx="6">
                  <c:v>73.457803830000003</c:v>
                </c:pt>
                <c:pt idx="7">
                  <c:v>83.970880129999983</c:v>
                </c:pt>
                <c:pt idx="8">
                  <c:v>92.08556779999995</c:v>
                </c:pt>
                <c:pt idx="9">
                  <c:v>114.42059247999981</c:v>
                </c:pt>
                <c:pt idx="10">
                  <c:v>132.6911330500001</c:v>
                </c:pt>
                <c:pt idx="11">
                  <c:v>221.33609084999989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A5-473B-9A20-14D8476EF80D}"/>
            </c:ext>
          </c:extLst>
        </c:ser>
        <c:ser>
          <c:idx val="1"/>
          <c:order val="1"/>
          <c:tx>
            <c:strRef>
              <c:f>'G67'!$C$2</c:f>
              <c:strCache>
                <c:ptCount val="1"/>
                <c:pt idx="0">
                  <c:v>2014</c:v>
                </c:pt>
              </c:strCache>
            </c:strRef>
          </c:tx>
          <c:spPr>
            <a:ln w="28575" cap="rnd">
              <a:solidFill>
                <a:srgbClr val="B1E8F9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'G67'!$A$3:$A$14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Máj</c:v>
                </c:pt>
                <c:pt idx="5">
                  <c:v>Jún</c:v>
                </c:pt>
                <c:pt idx="6">
                  <c:v>Júl</c:v>
                </c:pt>
                <c:pt idx="7">
                  <c:v>Aug</c:v>
                </c:pt>
                <c:pt idx="8">
                  <c:v>Sep</c:v>
                </c:pt>
                <c:pt idx="9">
                  <c:v>Okt 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'G67'!$C$3:$C$14</c:f>
              <c:numCache>
                <c:formatCode>0</c:formatCode>
                <c:ptCount val="12"/>
                <c:pt idx="0">
                  <c:v>3.5811655099999982</c:v>
                </c:pt>
                <c:pt idx="1">
                  <c:v>27.204260839999996</c:v>
                </c:pt>
                <c:pt idx="2">
                  <c:v>32.833525320000007</c:v>
                </c:pt>
                <c:pt idx="3">
                  <c:v>40.167170269999993</c:v>
                </c:pt>
                <c:pt idx="4">
                  <c:v>49.59857070999999</c:v>
                </c:pt>
                <c:pt idx="5">
                  <c:v>60.762483379999985</c:v>
                </c:pt>
                <c:pt idx="6">
                  <c:v>75.898358440000095</c:v>
                </c:pt>
                <c:pt idx="7">
                  <c:v>84.407803590000015</c:v>
                </c:pt>
                <c:pt idx="8">
                  <c:v>95.105667620000148</c:v>
                </c:pt>
                <c:pt idx="9">
                  <c:v>109.86612187000001</c:v>
                </c:pt>
                <c:pt idx="10">
                  <c:v>132.93618396000008</c:v>
                </c:pt>
                <c:pt idx="11">
                  <c:v>237.62801486999999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5A5-473B-9A20-14D8476EF80D}"/>
            </c:ext>
          </c:extLst>
        </c:ser>
        <c:ser>
          <c:idx val="2"/>
          <c:order val="2"/>
          <c:tx>
            <c:strRef>
              <c:f>'G67'!$D$2</c:f>
              <c:strCache>
                <c:ptCount val="1"/>
                <c:pt idx="0">
                  <c:v>2015</c:v>
                </c:pt>
              </c:strCache>
            </c:strRef>
          </c:tx>
          <c:spPr>
            <a:ln w="28575" cap="rnd">
              <a:solidFill>
                <a:srgbClr val="DCB47B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'G67'!$A$3:$A$14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Máj</c:v>
                </c:pt>
                <c:pt idx="5">
                  <c:v>Jún</c:v>
                </c:pt>
                <c:pt idx="6">
                  <c:v>Júl</c:v>
                </c:pt>
                <c:pt idx="7">
                  <c:v>Aug</c:v>
                </c:pt>
                <c:pt idx="8">
                  <c:v>Sep</c:v>
                </c:pt>
                <c:pt idx="9">
                  <c:v>Okt 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'G67'!$D$3:$D$14</c:f>
              <c:numCache>
                <c:formatCode>0</c:formatCode>
                <c:ptCount val="12"/>
                <c:pt idx="0">
                  <c:v>2.8781802999999999</c:v>
                </c:pt>
                <c:pt idx="1">
                  <c:v>6.7913249800000006</c:v>
                </c:pt>
                <c:pt idx="2">
                  <c:v>12.481897550000006</c:v>
                </c:pt>
                <c:pt idx="3">
                  <c:v>20.268760020000045</c:v>
                </c:pt>
                <c:pt idx="4">
                  <c:v>32.205567869999989</c:v>
                </c:pt>
                <c:pt idx="5">
                  <c:v>42.234502170000027</c:v>
                </c:pt>
                <c:pt idx="6">
                  <c:v>56.053929010000104</c:v>
                </c:pt>
                <c:pt idx="7">
                  <c:v>66.947591520000088</c:v>
                </c:pt>
                <c:pt idx="8">
                  <c:v>76.689617080000048</c:v>
                </c:pt>
                <c:pt idx="9">
                  <c:v>90.650404100000131</c:v>
                </c:pt>
                <c:pt idx="10">
                  <c:v>99.415234500000025</c:v>
                </c:pt>
                <c:pt idx="11">
                  <c:v>148.87628521999991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5A5-473B-9A20-14D8476EF80D}"/>
            </c:ext>
          </c:extLst>
        </c:ser>
        <c:ser>
          <c:idx val="3"/>
          <c:order val="3"/>
          <c:tx>
            <c:strRef>
              <c:f>'G67'!$E$2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rgbClr val="4472C4"/>
              </a:solidFill>
              <a:round/>
            </a:ln>
            <a:effectLst/>
          </c:spPr>
          <c:marker>
            <c:symbol val="none"/>
          </c:marker>
          <c:cat>
            <c:strRef>
              <c:f>'G67'!$A$3:$A$14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Máj</c:v>
                </c:pt>
                <c:pt idx="5">
                  <c:v>Jún</c:v>
                </c:pt>
                <c:pt idx="6">
                  <c:v>Júl</c:v>
                </c:pt>
                <c:pt idx="7">
                  <c:v>Aug</c:v>
                </c:pt>
                <c:pt idx="8">
                  <c:v>Sep</c:v>
                </c:pt>
                <c:pt idx="9">
                  <c:v>Okt 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'G67'!$E$3:$E$14</c:f>
              <c:numCache>
                <c:formatCode>0</c:formatCode>
                <c:ptCount val="12"/>
                <c:pt idx="0">
                  <c:v>2.2621938899999989</c:v>
                </c:pt>
                <c:pt idx="1">
                  <c:v>7.4258241000000078</c:v>
                </c:pt>
                <c:pt idx="2">
                  <c:v>21.256518299999982</c:v>
                </c:pt>
                <c:pt idx="3">
                  <c:v>35.529368579999975</c:v>
                </c:pt>
                <c:pt idx="4">
                  <c:v>43.770764810000017</c:v>
                </c:pt>
                <c:pt idx="5">
                  <c:v>55.472912579999978</c:v>
                </c:pt>
                <c:pt idx="6">
                  <c:v>71.64334115000014</c:v>
                </c:pt>
                <c:pt idx="7">
                  <c:v>80.719172189999938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5A5-473B-9A20-14D8476EF80D}"/>
            </c:ext>
          </c:extLst>
        </c:ser>
        <c:ser>
          <c:idx val="4"/>
          <c:order val="4"/>
          <c:tx>
            <c:strRef>
              <c:f>'G67'!$F$2</c:f>
              <c:strCache>
                <c:ptCount val="1"/>
                <c:pt idx="0">
                  <c:v>MFSR R2016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diamond"/>
            <c:size val="10"/>
            <c:spPr>
              <a:solidFill>
                <a:srgbClr val="58595B"/>
              </a:solidFill>
              <a:ln w="9525">
                <a:solidFill>
                  <a:srgbClr val="58595B"/>
                </a:solidFill>
              </a:ln>
              <a:effectLst/>
            </c:spPr>
          </c:marker>
          <c:dLbls>
            <c:dLbl>
              <c:idx val="11"/>
              <c:layout>
                <c:manualLayout>
                  <c:x val="-2.6450517214759921E-3"/>
                  <c:y val="0.10120396825396825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5A5-473B-9A20-14D8476EF80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Constantia" panose="02030602050306030303" pitchFamily="18" charset="0"/>
                    <a:ea typeface="+mn-ea"/>
                    <a:cs typeface="+mn-cs"/>
                  </a:defRPr>
                </a:pPr>
                <a:endParaRPr lang="sk-SK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'G67'!$A$3:$A$14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Máj</c:v>
                </c:pt>
                <c:pt idx="5">
                  <c:v>Jún</c:v>
                </c:pt>
                <c:pt idx="6">
                  <c:v>Júl</c:v>
                </c:pt>
                <c:pt idx="7">
                  <c:v>Aug</c:v>
                </c:pt>
                <c:pt idx="8">
                  <c:v>Sep</c:v>
                </c:pt>
                <c:pt idx="9">
                  <c:v>Okt 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'G67'!$F$3:$F$14</c:f>
              <c:numCache>
                <c:formatCode>0</c:formatCode>
                <c:ptCount val="12"/>
                <c:pt idx="11">
                  <c:v>144.169432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5A5-473B-9A20-14D8476EF80D}"/>
            </c:ext>
          </c:extLst>
        </c:ser>
        <c:ser>
          <c:idx val="5"/>
          <c:order val="5"/>
          <c:tx>
            <c:strRef>
              <c:f>'G67'!$G$2</c:f>
              <c:strCache>
                <c:ptCount val="1"/>
                <c:pt idx="0">
                  <c:v>RRZ 2016</c:v>
                </c:pt>
              </c:strCache>
            </c:strRef>
          </c:tx>
          <c:spPr>
            <a:ln w="28575" cap="rnd">
              <a:solidFill>
                <a:srgbClr val="13B5EA"/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rgbClr val="13B5EA"/>
              </a:solidFill>
              <a:ln w="9525">
                <a:solidFill>
                  <a:schemeClr val="accent6"/>
                </a:solidFill>
              </a:ln>
              <a:effectLst/>
            </c:spPr>
          </c:marker>
          <c:dLbls>
            <c:dLbl>
              <c:idx val="11"/>
              <c:layout>
                <c:manualLayout>
                  <c:x val="-6.2581442025629291E-2"/>
                  <c:y val="-2.1607539682539683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5A5-473B-9A20-14D8476EF80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Constantia" panose="02030602050306030303" pitchFamily="18" charset="0"/>
                    <a:ea typeface="+mn-ea"/>
                    <a:cs typeface="+mn-cs"/>
                  </a:defRPr>
                </a:pPr>
                <a:endParaRPr lang="sk-SK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'G67'!$A$3:$A$14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Máj</c:v>
                </c:pt>
                <c:pt idx="5">
                  <c:v>Jún</c:v>
                </c:pt>
                <c:pt idx="6">
                  <c:v>Júl</c:v>
                </c:pt>
                <c:pt idx="7">
                  <c:v>Aug</c:v>
                </c:pt>
                <c:pt idx="8">
                  <c:v>Sep</c:v>
                </c:pt>
                <c:pt idx="9">
                  <c:v>Okt 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'G67'!$G$3:$G$14</c:f>
              <c:numCache>
                <c:formatCode>0</c:formatCode>
                <c:ptCount val="12"/>
                <c:pt idx="11">
                  <c:v>177.99153816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5A5-473B-9A20-14D8476EF8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7374624"/>
        <c:axId val="347371344"/>
      </c:lineChart>
      <c:catAx>
        <c:axId val="3473746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347371344"/>
        <c:crosses val="autoZero"/>
        <c:auto val="1"/>
        <c:lblAlgn val="ctr"/>
        <c:lblOffset val="100"/>
        <c:noMultiLvlLbl val="0"/>
      </c:catAx>
      <c:valAx>
        <c:axId val="347371344"/>
        <c:scaling>
          <c:orientation val="minMax"/>
        </c:scaling>
        <c:delete val="0"/>
        <c:axPos val="l"/>
        <c:majorGridlines>
          <c:spPr>
            <a:ln w="19050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347374624"/>
        <c:crosses val="autoZero"/>
        <c:crossBetween val="between"/>
        <c:majorUnit val="50"/>
      </c:valAx>
      <c:spPr>
        <a:noFill/>
        <a:ln>
          <a:noFill/>
        </a:ln>
        <a:effectLst/>
      </c:spPr>
    </c:plotArea>
    <c:legend>
      <c:legendPos val="l"/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8.5434401709401711E-2"/>
          <c:y val="3.3809788482322065E-2"/>
          <c:w val="0.21977960852036962"/>
          <c:h val="0.343217609162491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onstantia" panose="02030602050306030303" pitchFamily="18" charset="0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3701224846894157E-2"/>
          <c:y val="3.6165883676305174E-2"/>
          <c:w val="0.91173228346456692"/>
          <c:h val="0.86943558525772513"/>
        </c:manualLayout>
      </c:layout>
      <c:lineChart>
        <c:grouping val="standard"/>
        <c:varyColors val="0"/>
        <c:ser>
          <c:idx val="0"/>
          <c:order val="0"/>
          <c:tx>
            <c:strRef>
              <c:f>'G68'!$B$2</c:f>
              <c:strCache>
                <c:ptCount val="1"/>
                <c:pt idx="0">
                  <c:v>2013</c:v>
                </c:pt>
              </c:strCache>
            </c:strRef>
          </c:tx>
          <c:spPr>
            <a:ln w="28575" cap="rnd">
              <a:solidFill>
                <a:srgbClr val="7F7F7F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'G68'!$A$3:$A$14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Máj</c:v>
                </c:pt>
                <c:pt idx="5">
                  <c:v>Jún</c:v>
                </c:pt>
                <c:pt idx="6">
                  <c:v>Júl</c:v>
                </c:pt>
                <c:pt idx="7">
                  <c:v>Aug</c:v>
                </c:pt>
                <c:pt idx="8">
                  <c:v>Sep</c:v>
                </c:pt>
                <c:pt idx="9">
                  <c:v>Okt 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'G68'!$B$3:$B$14</c:f>
              <c:numCache>
                <c:formatCode>0</c:formatCode>
                <c:ptCount val="12"/>
                <c:pt idx="0">
                  <c:v>2.0436336200000009</c:v>
                </c:pt>
                <c:pt idx="1">
                  <c:v>9.2906981299999973</c:v>
                </c:pt>
                <c:pt idx="2">
                  <c:v>22.925641499999976</c:v>
                </c:pt>
                <c:pt idx="3">
                  <c:v>46.154951020000006</c:v>
                </c:pt>
                <c:pt idx="4">
                  <c:v>56.917722909999995</c:v>
                </c:pt>
                <c:pt idx="5">
                  <c:v>66.73578475000005</c:v>
                </c:pt>
                <c:pt idx="6">
                  <c:v>82.773702489999948</c:v>
                </c:pt>
                <c:pt idx="7">
                  <c:v>91.260536540000004</c:v>
                </c:pt>
                <c:pt idx="8">
                  <c:v>102.99390420999994</c:v>
                </c:pt>
                <c:pt idx="9">
                  <c:v>119.53062310999989</c:v>
                </c:pt>
                <c:pt idx="10">
                  <c:v>118.61974961999999</c:v>
                </c:pt>
                <c:pt idx="11">
                  <c:v>153.69243581999987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615-4BDB-B746-CEE3DA22B815}"/>
            </c:ext>
          </c:extLst>
        </c:ser>
        <c:ser>
          <c:idx val="1"/>
          <c:order val="1"/>
          <c:tx>
            <c:strRef>
              <c:f>'G68'!$C$2</c:f>
              <c:strCache>
                <c:ptCount val="1"/>
                <c:pt idx="0">
                  <c:v>2014</c:v>
                </c:pt>
              </c:strCache>
            </c:strRef>
          </c:tx>
          <c:spPr>
            <a:ln w="28575" cap="rnd">
              <a:solidFill>
                <a:srgbClr val="B1E8F9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'G68'!$A$3:$A$14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Máj</c:v>
                </c:pt>
                <c:pt idx="5">
                  <c:v>Jún</c:v>
                </c:pt>
                <c:pt idx="6">
                  <c:v>Júl</c:v>
                </c:pt>
                <c:pt idx="7">
                  <c:v>Aug</c:v>
                </c:pt>
                <c:pt idx="8">
                  <c:v>Sep</c:v>
                </c:pt>
                <c:pt idx="9">
                  <c:v>Okt 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'G68'!$C$3:$C$14</c:f>
              <c:numCache>
                <c:formatCode>0</c:formatCode>
                <c:ptCount val="12"/>
                <c:pt idx="0">
                  <c:v>6.3135689999999967</c:v>
                </c:pt>
                <c:pt idx="1">
                  <c:v>14.638774249999997</c:v>
                </c:pt>
                <c:pt idx="2">
                  <c:v>34.774209570000025</c:v>
                </c:pt>
                <c:pt idx="3">
                  <c:v>44.165042350000043</c:v>
                </c:pt>
                <c:pt idx="4">
                  <c:v>57.726264640000046</c:v>
                </c:pt>
                <c:pt idx="5">
                  <c:v>66.396317350000004</c:v>
                </c:pt>
                <c:pt idx="6">
                  <c:v>77.539366520000044</c:v>
                </c:pt>
                <c:pt idx="7">
                  <c:v>91.826083350000204</c:v>
                </c:pt>
                <c:pt idx="8">
                  <c:v>104.44525074999997</c:v>
                </c:pt>
                <c:pt idx="9">
                  <c:v>117.19017711000008</c:v>
                </c:pt>
                <c:pt idx="10">
                  <c:v>127.73556874000016</c:v>
                </c:pt>
                <c:pt idx="11">
                  <c:v>182.63819045000008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615-4BDB-B746-CEE3DA22B815}"/>
            </c:ext>
          </c:extLst>
        </c:ser>
        <c:ser>
          <c:idx val="2"/>
          <c:order val="2"/>
          <c:tx>
            <c:strRef>
              <c:f>'G68'!$D$2</c:f>
              <c:strCache>
                <c:ptCount val="1"/>
                <c:pt idx="0">
                  <c:v>2015</c:v>
                </c:pt>
              </c:strCache>
            </c:strRef>
          </c:tx>
          <c:spPr>
            <a:ln w="28575" cap="rnd">
              <a:solidFill>
                <a:srgbClr val="DCB47B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'G68'!$A$3:$A$14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Máj</c:v>
                </c:pt>
                <c:pt idx="5">
                  <c:v>Jún</c:v>
                </c:pt>
                <c:pt idx="6">
                  <c:v>Júl</c:v>
                </c:pt>
                <c:pt idx="7">
                  <c:v>Aug</c:v>
                </c:pt>
                <c:pt idx="8">
                  <c:v>Sep</c:v>
                </c:pt>
                <c:pt idx="9">
                  <c:v>Okt 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'G68'!$D$3:$D$14</c:f>
              <c:numCache>
                <c:formatCode>0</c:formatCode>
                <c:ptCount val="12"/>
                <c:pt idx="0">
                  <c:v>5.1347686099999983</c:v>
                </c:pt>
                <c:pt idx="1">
                  <c:v>13.887329370000002</c:v>
                </c:pt>
                <c:pt idx="2">
                  <c:v>39.940006960000034</c:v>
                </c:pt>
                <c:pt idx="3">
                  <c:v>51.504709740000024</c:v>
                </c:pt>
                <c:pt idx="4">
                  <c:v>64.530739100000034</c:v>
                </c:pt>
                <c:pt idx="5">
                  <c:v>78.099947039999932</c:v>
                </c:pt>
                <c:pt idx="6">
                  <c:v>93.140114939999933</c:v>
                </c:pt>
                <c:pt idx="7">
                  <c:v>124.28865238000007</c:v>
                </c:pt>
                <c:pt idx="8">
                  <c:v>137.66123956999996</c:v>
                </c:pt>
                <c:pt idx="9">
                  <c:v>150.95889327000006</c:v>
                </c:pt>
                <c:pt idx="10">
                  <c:v>166.11919611000005</c:v>
                </c:pt>
                <c:pt idx="11">
                  <c:v>228.79317571999999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615-4BDB-B746-CEE3DA22B815}"/>
            </c:ext>
          </c:extLst>
        </c:ser>
        <c:ser>
          <c:idx val="3"/>
          <c:order val="3"/>
          <c:tx>
            <c:strRef>
              <c:f>'G68'!$E$2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rgbClr val="4472C4"/>
              </a:solidFill>
              <a:round/>
            </a:ln>
            <a:effectLst/>
          </c:spPr>
          <c:marker>
            <c:symbol val="none"/>
          </c:marker>
          <c:cat>
            <c:strRef>
              <c:f>'G68'!$A$3:$A$14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Máj</c:v>
                </c:pt>
                <c:pt idx="5">
                  <c:v>Jún</c:v>
                </c:pt>
                <c:pt idx="6">
                  <c:v>Júl</c:v>
                </c:pt>
                <c:pt idx="7">
                  <c:v>Aug</c:v>
                </c:pt>
                <c:pt idx="8">
                  <c:v>Sep</c:v>
                </c:pt>
                <c:pt idx="9">
                  <c:v>Okt 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'G68'!$E$3:$E$14</c:f>
              <c:numCache>
                <c:formatCode>0</c:formatCode>
                <c:ptCount val="12"/>
                <c:pt idx="0">
                  <c:v>8.104697100000001</c:v>
                </c:pt>
                <c:pt idx="1">
                  <c:v>37.322670079999988</c:v>
                </c:pt>
                <c:pt idx="2">
                  <c:v>57.722973089999989</c:v>
                </c:pt>
                <c:pt idx="3">
                  <c:v>72.441436760000059</c:v>
                </c:pt>
                <c:pt idx="4">
                  <c:v>89.071861160000026</c:v>
                </c:pt>
                <c:pt idx="5">
                  <c:v>101.61209104999989</c:v>
                </c:pt>
                <c:pt idx="6">
                  <c:v>113.42065310999996</c:v>
                </c:pt>
                <c:pt idx="7">
                  <c:v>124.04606490000006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615-4BDB-B746-CEE3DA22B815}"/>
            </c:ext>
          </c:extLst>
        </c:ser>
        <c:ser>
          <c:idx val="4"/>
          <c:order val="4"/>
          <c:tx>
            <c:strRef>
              <c:f>'G68'!$F$2</c:f>
              <c:strCache>
                <c:ptCount val="1"/>
                <c:pt idx="0">
                  <c:v>MFSR R2016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diamond"/>
            <c:size val="10"/>
            <c:spPr>
              <a:solidFill>
                <a:srgbClr val="58595B"/>
              </a:solidFill>
              <a:ln w="9525">
                <a:solidFill>
                  <a:srgbClr val="58595B"/>
                </a:solidFill>
              </a:ln>
              <a:effectLst/>
            </c:spPr>
          </c:marker>
          <c:dLbls>
            <c:dLbl>
              <c:idx val="11"/>
              <c:layout>
                <c:manualLayout>
                  <c:x val="-2.6450517214759921E-3"/>
                  <c:y val="0.10120396825396825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615-4BDB-B746-CEE3DA22B81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Constantia" panose="02030602050306030303" pitchFamily="18" charset="0"/>
                    <a:ea typeface="+mn-ea"/>
                    <a:cs typeface="+mn-cs"/>
                  </a:defRPr>
                </a:pPr>
                <a:endParaRPr lang="sk-SK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'G68'!$A$3:$A$14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Máj</c:v>
                </c:pt>
                <c:pt idx="5">
                  <c:v>Jún</c:v>
                </c:pt>
                <c:pt idx="6">
                  <c:v>Júl</c:v>
                </c:pt>
                <c:pt idx="7">
                  <c:v>Aug</c:v>
                </c:pt>
                <c:pt idx="8">
                  <c:v>Sep</c:v>
                </c:pt>
                <c:pt idx="9">
                  <c:v>Okt 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'G68'!$F$3:$F$14</c:f>
              <c:numCache>
                <c:formatCode>0</c:formatCode>
                <c:ptCount val="12"/>
                <c:pt idx="11">
                  <c:v>158.03062499999999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615-4BDB-B746-CEE3DA22B815}"/>
            </c:ext>
          </c:extLst>
        </c:ser>
        <c:ser>
          <c:idx val="5"/>
          <c:order val="5"/>
          <c:tx>
            <c:strRef>
              <c:f>'G68'!$G$2</c:f>
              <c:strCache>
                <c:ptCount val="1"/>
                <c:pt idx="0">
                  <c:v>RRZ 2016</c:v>
                </c:pt>
              </c:strCache>
            </c:strRef>
          </c:tx>
          <c:spPr>
            <a:ln w="28575" cap="rnd">
              <a:solidFill>
                <a:srgbClr val="13B5EA"/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rgbClr val="13B5EA"/>
              </a:solidFill>
              <a:ln w="9525">
                <a:solidFill>
                  <a:schemeClr val="accent6"/>
                </a:solidFill>
              </a:ln>
              <a:effectLst/>
            </c:spPr>
          </c:marker>
          <c:dLbls>
            <c:dLbl>
              <c:idx val="11"/>
              <c:layout>
                <c:manualLayout>
                  <c:x val="-6.2581442025629291E-2"/>
                  <c:y val="-2.1607539682539683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615-4BDB-B746-CEE3DA22B81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Constantia" panose="02030602050306030303" pitchFamily="18" charset="0"/>
                    <a:ea typeface="+mn-ea"/>
                    <a:cs typeface="+mn-cs"/>
                  </a:defRPr>
                </a:pPr>
                <a:endParaRPr lang="sk-SK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'G68'!$A$3:$A$14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Máj</c:v>
                </c:pt>
                <c:pt idx="5">
                  <c:v>Jún</c:v>
                </c:pt>
                <c:pt idx="6">
                  <c:v>Júl</c:v>
                </c:pt>
                <c:pt idx="7">
                  <c:v>Aug</c:v>
                </c:pt>
                <c:pt idx="8">
                  <c:v>Sep</c:v>
                </c:pt>
                <c:pt idx="9">
                  <c:v>Okt 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'G68'!$G$3:$G$14</c:f>
              <c:numCache>
                <c:formatCode>0</c:formatCode>
                <c:ptCount val="12"/>
                <c:pt idx="11">
                  <c:v>215.68595116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615-4BDB-B746-CEE3DA22B8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7374624"/>
        <c:axId val="347371344"/>
      </c:lineChart>
      <c:catAx>
        <c:axId val="3473746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347371344"/>
        <c:crosses val="autoZero"/>
        <c:auto val="1"/>
        <c:lblAlgn val="ctr"/>
        <c:lblOffset val="100"/>
        <c:noMultiLvlLbl val="0"/>
      </c:catAx>
      <c:valAx>
        <c:axId val="347371344"/>
        <c:scaling>
          <c:orientation val="minMax"/>
        </c:scaling>
        <c:delete val="0"/>
        <c:axPos val="l"/>
        <c:majorGridlines>
          <c:spPr>
            <a:ln w="19050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347374624"/>
        <c:crosses val="autoZero"/>
        <c:crossBetween val="between"/>
        <c:majorUnit val="50"/>
      </c:valAx>
      <c:spPr>
        <a:noFill/>
        <a:ln>
          <a:noFill/>
        </a:ln>
        <a:effectLst/>
      </c:spPr>
    </c:plotArea>
    <c:legend>
      <c:legendPos val="l"/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8.4729221347331574E-2"/>
          <c:y val="3.3249520280553169E-2"/>
          <c:w val="0.21977960852036962"/>
          <c:h val="0.343217609162491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onstantia" panose="02030602050306030303" pitchFamily="18" charset="0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025213675213675E-2"/>
          <c:y val="3.1956578392710433E-2"/>
          <c:w val="0.91323418803418799"/>
          <c:h val="0.87980709876543206"/>
        </c:manualLayout>
      </c:layout>
      <c:lineChart>
        <c:grouping val="standard"/>
        <c:varyColors val="0"/>
        <c:ser>
          <c:idx val="0"/>
          <c:order val="0"/>
          <c:tx>
            <c:strRef>
              <c:f>'G69'!$B$2</c:f>
              <c:strCache>
                <c:ptCount val="1"/>
                <c:pt idx="0">
                  <c:v>2013</c:v>
                </c:pt>
              </c:strCache>
            </c:strRef>
          </c:tx>
          <c:spPr>
            <a:ln w="28575" cap="rnd">
              <a:solidFill>
                <a:srgbClr val="7F7F7F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'G69'!$A$3:$A$14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Máj</c:v>
                </c:pt>
                <c:pt idx="5">
                  <c:v>Jún</c:v>
                </c:pt>
                <c:pt idx="6">
                  <c:v>Júl</c:v>
                </c:pt>
                <c:pt idx="7">
                  <c:v>Aug</c:v>
                </c:pt>
                <c:pt idx="8">
                  <c:v>Sep</c:v>
                </c:pt>
                <c:pt idx="9">
                  <c:v>Okt 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'G69'!$B$3:$B$14</c:f>
              <c:numCache>
                <c:formatCode>0</c:formatCode>
                <c:ptCount val="12"/>
                <c:pt idx="0">
                  <c:v>15.655179689999997</c:v>
                </c:pt>
                <c:pt idx="1">
                  <c:v>38.586397590000011</c:v>
                </c:pt>
                <c:pt idx="2">
                  <c:v>70.763302199999885</c:v>
                </c:pt>
                <c:pt idx="3">
                  <c:v>95.463161539999803</c:v>
                </c:pt>
                <c:pt idx="4">
                  <c:v>127.15304229999994</c:v>
                </c:pt>
                <c:pt idx="5">
                  <c:v>158.94478926000002</c:v>
                </c:pt>
                <c:pt idx="6">
                  <c:v>189.41023827999993</c:v>
                </c:pt>
                <c:pt idx="7">
                  <c:v>229.31402046999986</c:v>
                </c:pt>
                <c:pt idx="8">
                  <c:v>246.24205721999948</c:v>
                </c:pt>
                <c:pt idx="9">
                  <c:v>282.06122179999977</c:v>
                </c:pt>
                <c:pt idx="10">
                  <c:v>311.80643860999993</c:v>
                </c:pt>
                <c:pt idx="11">
                  <c:v>383.26721173999999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9D6-42A9-BADD-EA2250C1AC80}"/>
            </c:ext>
          </c:extLst>
        </c:ser>
        <c:ser>
          <c:idx val="1"/>
          <c:order val="1"/>
          <c:tx>
            <c:strRef>
              <c:f>'G69'!$C$2</c:f>
              <c:strCache>
                <c:ptCount val="1"/>
                <c:pt idx="0">
                  <c:v>2014</c:v>
                </c:pt>
              </c:strCache>
            </c:strRef>
          </c:tx>
          <c:spPr>
            <a:ln w="28575" cap="rnd">
              <a:solidFill>
                <a:srgbClr val="B1E8F9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'G69'!$A$3:$A$14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Máj</c:v>
                </c:pt>
                <c:pt idx="5">
                  <c:v>Jún</c:v>
                </c:pt>
                <c:pt idx="6">
                  <c:v>Júl</c:v>
                </c:pt>
                <c:pt idx="7">
                  <c:v>Aug</c:v>
                </c:pt>
                <c:pt idx="8">
                  <c:v>Sep</c:v>
                </c:pt>
                <c:pt idx="9">
                  <c:v>Okt 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'G69'!$C$3:$C$14</c:f>
              <c:numCache>
                <c:formatCode>0</c:formatCode>
                <c:ptCount val="12"/>
                <c:pt idx="0">
                  <c:v>112.30434308999999</c:v>
                </c:pt>
                <c:pt idx="1">
                  <c:v>152.59413782999994</c:v>
                </c:pt>
                <c:pt idx="2">
                  <c:v>159.87992019999982</c:v>
                </c:pt>
                <c:pt idx="3">
                  <c:v>190.09954645000047</c:v>
                </c:pt>
                <c:pt idx="4">
                  <c:v>221.16029264000042</c:v>
                </c:pt>
                <c:pt idx="5">
                  <c:v>251.66654874999989</c:v>
                </c:pt>
                <c:pt idx="6">
                  <c:v>282.79481670000052</c:v>
                </c:pt>
                <c:pt idx="7">
                  <c:v>308.54869039000056</c:v>
                </c:pt>
                <c:pt idx="8">
                  <c:v>334.08635495999908</c:v>
                </c:pt>
                <c:pt idx="9">
                  <c:v>365.77133610999994</c:v>
                </c:pt>
                <c:pt idx="10">
                  <c:v>397.22318547000026</c:v>
                </c:pt>
                <c:pt idx="11">
                  <c:v>475.2614711400002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9D6-42A9-BADD-EA2250C1AC80}"/>
            </c:ext>
          </c:extLst>
        </c:ser>
        <c:ser>
          <c:idx val="2"/>
          <c:order val="2"/>
          <c:tx>
            <c:strRef>
              <c:f>'G69'!$D$2</c:f>
              <c:strCache>
                <c:ptCount val="1"/>
                <c:pt idx="0">
                  <c:v>2015</c:v>
                </c:pt>
              </c:strCache>
            </c:strRef>
          </c:tx>
          <c:spPr>
            <a:ln w="28575" cap="rnd">
              <a:solidFill>
                <a:srgbClr val="DCB47B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'G69'!$A$3:$A$14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Máj</c:v>
                </c:pt>
                <c:pt idx="5">
                  <c:v>Jún</c:v>
                </c:pt>
                <c:pt idx="6">
                  <c:v>Júl</c:v>
                </c:pt>
                <c:pt idx="7">
                  <c:v>Aug</c:v>
                </c:pt>
                <c:pt idx="8">
                  <c:v>Sep</c:v>
                </c:pt>
                <c:pt idx="9">
                  <c:v>Okt 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'G69'!$D$3:$D$14</c:f>
              <c:numCache>
                <c:formatCode>0</c:formatCode>
                <c:ptCount val="12"/>
                <c:pt idx="0">
                  <c:v>18.537136839999992</c:v>
                </c:pt>
                <c:pt idx="1">
                  <c:v>42.896680990000021</c:v>
                </c:pt>
                <c:pt idx="2">
                  <c:v>78.154197759999903</c:v>
                </c:pt>
                <c:pt idx="3">
                  <c:v>116.71545735999999</c:v>
                </c:pt>
                <c:pt idx="4">
                  <c:v>150.53390294999997</c:v>
                </c:pt>
                <c:pt idx="5">
                  <c:v>184.69117301999984</c:v>
                </c:pt>
                <c:pt idx="6">
                  <c:v>237.1149029800001</c:v>
                </c:pt>
                <c:pt idx="7">
                  <c:v>270.35221600999989</c:v>
                </c:pt>
                <c:pt idx="8">
                  <c:v>304.70697291999966</c:v>
                </c:pt>
                <c:pt idx="9">
                  <c:v>381.29952096999995</c:v>
                </c:pt>
                <c:pt idx="10">
                  <c:v>428.04609383999934</c:v>
                </c:pt>
                <c:pt idx="11">
                  <c:v>521.15814926999985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9D6-42A9-BADD-EA2250C1AC80}"/>
            </c:ext>
          </c:extLst>
        </c:ser>
        <c:ser>
          <c:idx val="3"/>
          <c:order val="3"/>
          <c:tx>
            <c:strRef>
              <c:f>'G69'!$E$2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rgbClr val="4472C4"/>
              </a:solidFill>
              <a:round/>
            </a:ln>
            <a:effectLst/>
          </c:spPr>
          <c:marker>
            <c:symbol val="none"/>
          </c:marker>
          <c:cat>
            <c:strRef>
              <c:f>'G69'!$A$3:$A$14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Máj</c:v>
                </c:pt>
                <c:pt idx="5">
                  <c:v>Jún</c:v>
                </c:pt>
                <c:pt idx="6">
                  <c:v>Júl</c:v>
                </c:pt>
                <c:pt idx="7">
                  <c:v>Aug</c:v>
                </c:pt>
                <c:pt idx="8">
                  <c:v>Sep</c:v>
                </c:pt>
                <c:pt idx="9">
                  <c:v>Okt 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'G69'!$E$3:$E$14</c:f>
              <c:numCache>
                <c:formatCode>0</c:formatCode>
                <c:ptCount val="12"/>
                <c:pt idx="0">
                  <c:v>25.245327110000002</c:v>
                </c:pt>
                <c:pt idx="1">
                  <c:v>57.065284579999961</c:v>
                </c:pt>
                <c:pt idx="2">
                  <c:v>97.66983199000002</c:v>
                </c:pt>
                <c:pt idx="3">
                  <c:v>130.56732219000008</c:v>
                </c:pt>
                <c:pt idx="4">
                  <c:v>175.12887297000034</c:v>
                </c:pt>
                <c:pt idx="5">
                  <c:v>208.85755478000002</c:v>
                </c:pt>
                <c:pt idx="6">
                  <c:v>241.33809395999998</c:v>
                </c:pt>
                <c:pt idx="7">
                  <c:v>306.04651438999974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9D6-42A9-BADD-EA2250C1AC80}"/>
            </c:ext>
          </c:extLst>
        </c:ser>
        <c:ser>
          <c:idx val="4"/>
          <c:order val="4"/>
          <c:tx>
            <c:strRef>
              <c:f>'G69'!$F$2</c:f>
              <c:strCache>
                <c:ptCount val="1"/>
                <c:pt idx="0">
                  <c:v>MFSR R2016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diamond"/>
            <c:size val="10"/>
            <c:spPr>
              <a:solidFill>
                <a:srgbClr val="58595B"/>
              </a:solidFill>
              <a:ln w="9525">
                <a:solidFill>
                  <a:srgbClr val="58595B"/>
                </a:solidFill>
              </a:ln>
              <a:effectLst/>
            </c:spPr>
          </c:marker>
          <c:dLbls>
            <c:dLbl>
              <c:idx val="11"/>
              <c:layout>
                <c:manualLayout>
                  <c:x val="-2.6450517214759921E-3"/>
                  <c:y val="0.10120396825396825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9D6-42A9-BADD-EA2250C1AC8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Constantia" panose="02030602050306030303" pitchFamily="18" charset="0"/>
                    <a:ea typeface="+mn-ea"/>
                    <a:cs typeface="+mn-cs"/>
                  </a:defRPr>
                </a:pPr>
                <a:endParaRPr lang="sk-SK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'G69'!$A$3:$A$14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Máj</c:v>
                </c:pt>
                <c:pt idx="5">
                  <c:v>Jún</c:v>
                </c:pt>
                <c:pt idx="6">
                  <c:v>Júl</c:v>
                </c:pt>
                <c:pt idx="7">
                  <c:v>Aug</c:v>
                </c:pt>
                <c:pt idx="8">
                  <c:v>Sep</c:v>
                </c:pt>
                <c:pt idx="9">
                  <c:v>Okt 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'G69'!$F$3:$F$14</c:f>
              <c:numCache>
                <c:formatCode>0</c:formatCode>
                <c:ptCount val="12"/>
                <c:pt idx="11">
                  <c:v>413.76251500000001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9D6-42A9-BADD-EA2250C1AC80}"/>
            </c:ext>
          </c:extLst>
        </c:ser>
        <c:ser>
          <c:idx val="5"/>
          <c:order val="5"/>
          <c:tx>
            <c:strRef>
              <c:f>'G69'!$G$2</c:f>
              <c:strCache>
                <c:ptCount val="1"/>
                <c:pt idx="0">
                  <c:v>RRZ 2016</c:v>
                </c:pt>
              </c:strCache>
            </c:strRef>
          </c:tx>
          <c:spPr>
            <a:ln w="28575" cap="rnd">
              <a:solidFill>
                <a:srgbClr val="13B5EA"/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rgbClr val="13B5EA"/>
              </a:solidFill>
              <a:ln w="9525">
                <a:solidFill>
                  <a:schemeClr val="accent6"/>
                </a:solidFill>
              </a:ln>
              <a:effectLst/>
            </c:spPr>
          </c:marker>
          <c:dLbls>
            <c:dLbl>
              <c:idx val="11"/>
              <c:layout>
                <c:manualLayout>
                  <c:x val="-6.2581442025629291E-2"/>
                  <c:y val="-2.1607539682539683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9D6-42A9-BADD-EA2250C1AC8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Constantia" panose="02030602050306030303" pitchFamily="18" charset="0"/>
                    <a:ea typeface="+mn-ea"/>
                    <a:cs typeface="+mn-cs"/>
                  </a:defRPr>
                </a:pPr>
                <a:endParaRPr lang="sk-SK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'G69'!$A$3:$A$14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Máj</c:v>
                </c:pt>
                <c:pt idx="5">
                  <c:v>Jún</c:v>
                </c:pt>
                <c:pt idx="6">
                  <c:v>Júl</c:v>
                </c:pt>
                <c:pt idx="7">
                  <c:v>Aug</c:v>
                </c:pt>
                <c:pt idx="8">
                  <c:v>Sep</c:v>
                </c:pt>
                <c:pt idx="9">
                  <c:v>Okt 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'G69'!$G$3:$G$14</c:f>
              <c:numCache>
                <c:formatCode>0</c:formatCode>
                <c:ptCount val="12"/>
                <c:pt idx="11">
                  <c:v>530.66395846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9D6-42A9-BADD-EA2250C1AC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7374624"/>
        <c:axId val="347371344"/>
      </c:lineChart>
      <c:catAx>
        <c:axId val="3473746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347371344"/>
        <c:crosses val="autoZero"/>
        <c:auto val="1"/>
        <c:lblAlgn val="ctr"/>
        <c:lblOffset val="100"/>
        <c:noMultiLvlLbl val="0"/>
      </c:catAx>
      <c:valAx>
        <c:axId val="347371344"/>
        <c:scaling>
          <c:orientation val="minMax"/>
        </c:scaling>
        <c:delete val="0"/>
        <c:axPos val="l"/>
        <c:majorGridlines>
          <c:spPr>
            <a:ln w="19050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347374624"/>
        <c:crosses val="autoZero"/>
        <c:crossBetween val="between"/>
        <c:majorUnit val="100"/>
      </c:valAx>
      <c:spPr>
        <a:noFill/>
        <a:ln>
          <a:noFill/>
        </a:ln>
        <a:effectLst/>
      </c:spPr>
    </c:plotArea>
    <c:legend>
      <c:legendPos val="l"/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8.7496001256841635E-2"/>
          <c:y val="3.7447195732014431E-2"/>
          <c:w val="0.21977960852036962"/>
          <c:h val="0.343217609162491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onstantia" panose="02030602050306030303" pitchFamily="18" charset="0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r>
              <a:rPr lang="en-US" b="1"/>
              <a:t>2017</a:t>
            </a:r>
          </a:p>
        </c:rich>
      </c:tx>
      <c:layout>
        <c:manualLayout>
          <c:xMode val="edge"/>
          <c:yMode val="edge"/>
          <c:x val="0.68465373385855477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onstantia" panose="02030602050306030303" pitchFamily="18" charset="0"/>
              <a:ea typeface="+mn-ea"/>
              <a:cs typeface="+mn-cs"/>
            </a:defRPr>
          </a:pPr>
          <a:endParaRPr lang="sk-SK"/>
        </a:p>
      </c:txPr>
    </c:title>
    <c:autoTitleDeleted val="0"/>
    <c:plotArea>
      <c:layout>
        <c:manualLayout>
          <c:layoutTarget val="inner"/>
          <c:xMode val="edge"/>
          <c:yMode val="edge"/>
          <c:x val="0.38955337731141138"/>
          <c:y val="9.1709140999183508E-2"/>
          <c:w val="0.56902125949756877"/>
          <c:h val="0.83246476775462941"/>
        </c:manualLayout>
      </c:layout>
      <c:barChart>
        <c:barDir val="bar"/>
        <c:grouping val="stacked"/>
        <c:varyColors val="0"/>
        <c:ser>
          <c:idx val="0"/>
          <c:order val="0"/>
          <c:tx>
            <c:v>vysvetlené</c:v>
          </c:tx>
          <c:spPr>
            <a:solidFill>
              <a:srgbClr val="B2E4F8"/>
            </a:solidFill>
            <a:ln w="9525">
              <a:solidFill>
                <a:srgbClr val="13B5EA"/>
              </a:solidFill>
            </a:ln>
            <a:effectLst/>
          </c:spPr>
          <c:invertIfNegative val="0"/>
          <c:dLbls>
            <c:dLbl>
              <c:idx val="0"/>
              <c:layout>
                <c:manualLayout>
                  <c:x val="2.3682648040792335E-2"/>
                  <c:y val="4.16666666666666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6E9-4BE2-9E9F-5B45F2EF8285}"/>
                </c:ext>
              </c:extLst>
            </c:dLbl>
            <c:dLbl>
              <c:idx val="1"/>
              <c:layout>
                <c:manualLayout>
                  <c:x val="4.7365296081584669E-3"/>
                  <c:y val="0.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6E9-4BE2-9E9F-5B45F2EF8285}"/>
                </c:ext>
              </c:extLst>
            </c:dLbl>
            <c:dLbl>
              <c:idx val="2"/>
              <c:layout>
                <c:manualLayout>
                  <c:x val="-4.7365296081585536E-3"/>
                  <c:y val="-5.41666666666666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6E9-4BE2-9E9F-5B45F2EF8285}"/>
                </c:ext>
              </c:extLst>
            </c:dLbl>
            <c:dLbl>
              <c:idx val="3"/>
              <c:layout>
                <c:manualLayout>
                  <c:x val="-1.6577853628554722E-2"/>
                  <c:y val="-6.2499999999999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6E9-4BE2-9E9F-5B45F2EF8285}"/>
                </c:ext>
              </c:extLst>
            </c:dLbl>
            <c:dLbl>
              <c:idx val="4"/>
              <c:layout>
                <c:manualLayout>
                  <c:x val="-1.6577853628554635E-2"/>
                  <c:y val="-6.24993438320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6E9-4BE2-9E9F-5B45F2EF8285}"/>
                </c:ext>
              </c:extLst>
            </c:dLbl>
            <c:dLbl>
              <c:idx val="5"/>
              <c:layout>
                <c:manualLayout>
                  <c:x val="-6.1574884906060071E-2"/>
                  <c:y val="-6.24996719160104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6E9-4BE2-9E9F-5B45F2EF828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13B5EA"/>
                    </a:solidFill>
                    <a:latin typeface="Constantia" panose="02030602050306030303" pitchFamily="18" charset="0"/>
                    <a:ea typeface="+mn-ea"/>
                    <a:cs typeface="+mn-cs"/>
                  </a:defRPr>
                </a:pPr>
                <a:endParaRPr lang="sk-SK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'G07'!$A$2:$A$7</c:f>
              <c:strCache>
                <c:ptCount val="6"/>
                <c:pt idx="0">
                  <c:v>Daňové opatrenia</c:v>
                </c:pt>
                <c:pt idx="1">
                  <c:v>Nedaňové a iné príjmy</c:v>
                </c:pt>
                <c:pt idx="2">
                  <c:v>Mzdy</c:v>
                </c:pt>
                <c:pt idx="3">
                  <c:v>Výdavky na tovary a služby</c:v>
                </c:pt>
                <c:pt idx="4">
                  <c:v>Bežné transfery</c:v>
                </c:pt>
                <c:pt idx="5">
                  <c:v>Investície</c:v>
                </c:pt>
              </c:strCache>
            </c:strRef>
          </c:cat>
          <c:val>
            <c:numRef>
              <c:f>'G07'!$B$2:$B$7</c:f>
              <c:numCache>
                <c:formatCode>0.00</c:formatCode>
                <c:ptCount val="6"/>
                <c:pt idx="0">
                  <c:v>0.25551741949536561</c:v>
                </c:pt>
                <c:pt idx="1">
                  <c:v>0</c:v>
                </c:pt>
                <c:pt idx="2">
                  <c:v>-0.11608333264080199</c:v>
                </c:pt>
                <c:pt idx="3">
                  <c:v>-0.3753179879660517</c:v>
                </c:pt>
                <c:pt idx="4">
                  <c:v>-0.24759372109897082</c:v>
                </c:pt>
                <c:pt idx="5">
                  <c:v>-0.47859394176445669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6E9-4BE2-9E9F-5B45F2EF8285}"/>
            </c:ext>
          </c:extLst>
        </c:ser>
        <c:ser>
          <c:idx val="1"/>
          <c:order val="1"/>
          <c:tx>
            <c:v>nevysvetlené</c:v>
          </c:tx>
          <c:spPr>
            <a:solidFill>
              <a:schemeClr val="bg1">
                <a:lumMod val="75000"/>
              </a:schemeClr>
            </a:solidFill>
            <a:ln w="9525">
              <a:solidFill>
                <a:schemeClr val="bg1">
                  <a:lumMod val="75000"/>
                </a:schemeClr>
              </a:solidFill>
            </a:ln>
            <a:effectLst/>
          </c:spPr>
          <c:invertIfNegative val="0"/>
          <c:dLbls>
            <c:dLbl>
              <c:idx val="0"/>
              <c:layout>
                <c:manualLayout>
                  <c:x val="-0.13693251153923058"/>
                  <c:y val="4.63615485564304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6E9-4BE2-9E9F-5B45F2EF8285}"/>
                </c:ext>
              </c:extLst>
            </c:dLbl>
            <c:dLbl>
              <c:idx val="1"/>
              <c:layout>
                <c:manualLayout>
                  <c:x val="2.6050912844871568E-2"/>
                  <c:y val="5.83333333333333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6E9-4BE2-9E9F-5B45F2EF8285}"/>
                </c:ext>
              </c:extLst>
            </c:dLbl>
            <c:dLbl>
              <c:idx val="2"/>
              <c:layout>
                <c:manualLayout>
                  <c:x val="1.4371451332344755E-2"/>
                  <c:y val="5.78051181102362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6E9-4BE2-9E9F-5B45F2EF8285}"/>
                </c:ext>
              </c:extLst>
            </c:dLbl>
            <c:dLbl>
              <c:idx val="3"/>
              <c:layout>
                <c:manualLayout>
                  <c:x val="-4.7365296081585536E-3"/>
                  <c:y val="-6.24990157480314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6E9-4BE2-9E9F-5B45F2EF8285}"/>
                </c:ext>
              </c:extLst>
            </c:dLbl>
            <c:dLbl>
              <c:idx val="4"/>
              <c:layout>
                <c:manualLayout>
                  <c:x val="3.235385381950764E-4"/>
                  <c:y val="-6.19704724409448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6E9-4BE2-9E9F-5B45F2EF8285}"/>
                </c:ext>
              </c:extLst>
            </c:dLbl>
            <c:dLbl>
              <c:idx val="5"/>
              <c:layout>
                <c:manualLayout>
                  <c:x val="1.4371451332344755E-2"/>
                  <c:y val="5.83333333333333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6E9-4BE2-9E9F-5B45F2EF828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Constantia" panose="02030602050306030303" pitchFamily="18" charset="0"/>
                    <a:ea typeface="+mn-ea"/>
                    <a:cs typeface="+mn-cs"/>
                  </a:defRPr>
                </a:pPr>
                <a:endParaRPr lang="sk-SK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'G07'!$A$2:$A$7</c:f>
              <c:strCache>
                <c:ptCount val="6"/>
                <c:pt idx="0">
                  <c:v>Daňové opatrenia</c:v>
                </c:pt>
                <c:pt idx="1">
                  <c:v>Nedaňové a iné príjmy</c:v>
                </c:pt>
                <c:pt idx="2">
                  <c:v>Mzdy</c:v>
                </c:pt>
                <c:pt idx="3">
                  <c:v>Výdavky na tovary a služby</c:v>
                </c:pt>
                <c:pt idx="4">
                  <c:v>Bežné transfery</c:v>
                </c:pt>
                <c:pt idx="5">
                  <c:v>Investície</c:v>
                </c:pt>
              </c:strCache>
            </c:strRef>
          </c:cat>
          <c:val>
            <c:numRef>
              <c:f>'G07'!$C$2:$C$7</c:f>
              <c:numCache>
                <c:formatCode>0.00</c:formatCode>
                <c:ptCount val="6"/>
                <c:pt idx="0">
                  <c:v>0</c:v>
                </c:pt>
                <c:pt idx="1">
                  <c:v>0.19487827835106644</c:v>
                </c:pt>
                <c:pt idx="2">
                  <c:v>6.7785229785350343E-2</c:v>
                </c:pt>
                <c:pt idx="3">
                  <c:v>-0.18665208477450507</c:v>
                </c:pt>
                <c:pt idx="4">
                  <c:v>-0.1611358002831299</c:v>
                </c:pt>
                <c:pt idx="5">
                  <c:v>4.87126858461416E-2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6E9-4BE2-9E9F-5B45F2EF82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75"/>
        <c:overlap val="100"/>
        <c:axId val="382807240"/>
        <c:axId val="382807632"/>
      </c:barChart>
      <c:barChart>
        <c:barDir val="bar"/>
        <c:grouping val="stacked"/>
        <c:varyColors val="0"/>
        <c:ser>
          <c:idx val="2"/>
          <c:order val="2"/>
          <c:tx>
            <c:v>celkovo</c:v>
          </c:tx>
          <c:spPr>
            <a:noFill/>
            <a:ln w="19050">
              <a:solidFill>
                <a:schemeClr val="tx1"/>
              </a:solidFill>
            </a:ln>
            <a:effectLst/>
          </c:spPr>
          <c:invertIfNegative val="0"/>
          <c:dLbls>
            <c:dLbl>
              <c:idx val="0"/>
              <c:layout>
                <c:manualLayout>
                  <c:x val="0.10706062709640324"/>
                  <c:y val="2.5417448583307338E-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6E9-4BE2-9E9F-5B45F2EF8285}"/>
                </c:ext>
              </c:extLst>
            </c:dLbl>
            <c:dLbl>
              <c:idx val="1"/>
              <c:layout>
                <c:manualLayout>
                  <c:x val="8.0521003338693942E-2"/>
                  <c:y val="-4.166666666666590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6E9-4BE2-9E9F-5B45F2EF8285}"/>
                </c:ext>
              </c:extLst>
            </c:dLbl>
            <c:dLbl>
              <c:idx val="2"/>
              <c:layout>
                <c:manualLayout>
                  <c:x val="-8.999406255501087E-2"/>
                  <c:y val="4.166994750656320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6E9-4BE2-9E9F-5B45F2EF8285}"/>
                </c:ext>
              </c:extLst>
            </c:dLbl>
            <c:dLbl>
              <c:idx val="3"/>
              <c:layout>
                <c:manualLayout>
                  <c:x val="-0.18472465471818017"/>
                  <c:y val="-4.166010498687664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6E9-4BE2-9E9F-5B45F2EF8285}"/>
                </c:ext>
              </c:extLst>
            </c:dLbl>
            <c:dLbl>
              <c:idx val="4"/>
              <c:layout>
                <c:manualLayout>
                  <c:x val="-0.14683241785291248"/>
                  <c:y val="3.2808398950131235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6E9-4BE2-9E9F-5B45F2EF8285}"/>
                </c:ext>
              </c:extLst>
            </c:dLbl>
            <c:dLbl>
              <c:idx val="5"/>
              <c:layout>
                <c:manualLayout>
                  <c:x val="-0.14683241785291248"/>
                  <c:y val="4.167322834645669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6E9-4BE2-9E9F-5B45F2EF828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Constantia" panose="02030602050306030303" pitchFamily="18" charset="0"/>
                    <a:ea typeface="+mn-ea"/>
                    <a:cs typeface="+mn-cs"/>
                  </a:defRPr>
                </a:pPr>
                <a:endParaRPr lang="sk-SK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'G07'!$A$2:$A$7</c:f>
              <c:strCache>
                <c:ptCount val="6"/>
                <c:pt idx="0">
                  <c:v>Daňové opatrenia</c:v>
                </c:pt>
                <c:pt idx="1">
                  <c:v>Nedaňové a iné príjmy</c:v>
                </c:pt>
                <c:pt idx="2">
                  <c:v>Mzdy</c:v>
                </c:pt>
                <c:pt idx="3">
                  <c:v>Výdavky na tovary a služby</c:v>
                </c:pt>
                <c:pt idx="4">
                  <c:v>Bežné transfery</c:v>
                </c:pt>
                <c:pt idx="5">
                  <c:v>Investície</c:v>
                </c:pt>
              </c:strCache>
            </c:strRef>
          </c:cat>
          <c:val>
            <c:numRef>
              <c:f>'G07'!$D$2:$D$7</c:f>
              <c:numCache>
                <c:formatCode>0.00</c:formatCode>
                <c:ptCount val="6"/>
                <c:pt idx="0">
                  <c:v>0.25551741949536561</c:v>
                </c:pt>
                <c:pt idx="1">
                  <c:v>0.19487827835106644</c:v>
                </c:pt>
                <c:pt idx="2">
                  <c:v>-4.8298102855451643E-2</c:v>
                </c:pt>
                <c:pt idx="3">
                  <c:v>-0.56197007274055677</c:v>
                </c:pt>
                <c:pt idx="4">
                  <c:v>-0.40872952138210067</c:v>
                </c:pt>
                <c:pt idx="5">
                  <c:v>-0.42988125591831511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46E9-4BE2-9E9F-5B45F2EF82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40"/>
        <c:overlap val="46"/>
        <c:axId val="382808416"/>
        <c:axId val="382808024"/>
      </c:barChart>
      <c:catAx>
        <c:axId val="38280724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382807632"/>
        <c:crosses val="autoZero"/>
        <c:auto val="1"/>
        <c:lblAlgn val="ctr"/>
        <c:lblOffset val="100"/>
        <c:noMultiLvlLbl val="0"/>
      </c:catAx>
      <c:valAx>
        <c:axId val="382807632"/>
        <c:scaling>
          <c:orientation val="minMax"/>
          <c:max val="0.4"/>
          <c:min val="-0.70000000000000007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20000"/>
                  <a:lumOff val="80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382807240"/>
        <c:crosses val="autoZero"/>
        <c:crossBetween val="between"/>
      </c:valAx>
      <c:valAx>
        <c:axId val="382808024"/>
        <c:scaling>
          <c:orientation val="minMax"/>
        </c:scaling>
        <c:delete val="1"/>
        <c:axPos val="t"/>
        <c:numFmt formatCode="0.00" sourceLinked="1"/>
        <c:majorTickMark val="out"/>
        <c:minorTickMark val="none"/>
        <c:tickLblPos val="nextTo"/>
        <c:crossAx val="382808416"/>
        <c:crosses val="max"/>
        <c:crossBetween val="between"/>
      </c:valAx>
      <c:catAx>
        <c:axId val="382808416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382808024"/>
        <c:crosses val="autoZero"/>
        <c:auto val="1"/>
        <c:lblAlgn val="ctr"/>
        <c:lblOffset val="100"/>
        <c:noMultiLvlLbl val="0"/>
      </c:catAx>
      <c:spPr>
        <a:solidFill>
          <a:schemeClr val="accent1">
            <a:lumMod val="20000"/>
            <a:lumOff val="80000"/>
          </a:schemeClr>
        </a:solidFill>
        <a:ln>
          <a:solidFill>
            <a:schemeClr val="accent1">
              <a:lumMod val="20000"/>
              <a:lumOff val="80000"/>
            </a:schemeClr>
          </a:solidFill>
        </a:ln>
        <a:effectLst/>
      </c:spPr>
    </c:plotArea>
    <c:legend>
      <c:legendPos val="b"/>
      <c:layout>
        <c:manualLayout>
          <c:xMode val="edge"/>
          <c:yMode val="edge"/>
          <c:x val="6.1108321161444049E-5"/>
          <c:y val="4.4199804178082753E-4"/>
          <c:w val="0.18075519776812196"/>
          <c:h val="0.1537116481129513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onstantia" panose="02030602050306030303" pitchFamily="18" charset="0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Constantia" panose="02030602050306030303" pitchFamily="18" charset="0"/>
        </a:defRPr>
      </a:pPr>
      <a:endParaRPr lang="sk-SK"/>
    </a:p>
  </c:txPr>
  <c:printSettings>
    <c:headerFooter/>
    <c:pageMargins b="0.75" l="0.7" r="0.7" t="0.75" header="0.3" footer="0.3"/>
    <c:pageSetup paperSize="9" orientation="landscape"/>
  </c:printSettings>
  <c:userShapes r:id="rId3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844017094017089E-2"/>
          <c:y val="3.1406206577119032E-2"/>
          <c:w val="0.91541538461538463"/>
          <c:h val="0.88203828933148065"/>
        </c:manualLayout>
      </c:layout>
      <c:lineChart>
        <c:grouping val="standard"/>
        <c:varyColors val="0"/>
        <c:ser>
          <c:idx val="0"/>
          <c:order val="0"/>
          <c:tx>
            <c:strRef>
              <c:f>'G70'!$B$2</c:f>
              <c:strCache>
                <c:ptCount val="1"/>
                <c:pt idx="0">
                  <c:v>2013</c:v>
                </c:pt>
              </c:strCache>
            </c:strRef>
          </c:tx>
          <c:spPr>
            <a:ln w="28575" cap="rnd">
              <a:solidFill>
                <a:srgbClr val="7F7F7F"/>
              </a:solidFill>
              <a:round/>
            </a:ln>
            <a:effectLst/>
          </c:spPr>
          <c:marker>
            <c:symbol val="none"/>
          </c:marker>
          <c:cat>
            <c:strRef>
              <c:f>'G70'!$A$3:$A$14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Máj</c:v>
                </c:pt>
                <c:pt idx="5">
                  <c:v>Jún</c:v>
                </c:pt>
                <c:pt idx="6">
                  <c:v>Júl</c:v>
                </c:pt>
                <c:pt idx="7">
                  <c:v>Aug</c:v>
                </c:pt>
                <c:pt idx="8">
                  <c:v>Sep</c:v>
                </c:pt>
                <c:pt idx="9">
                  <c:v>Okt 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'G70'!$B$3:$B$14</c:f>
              <c:numCache>
                <c:formatCode>0</c:formatCode>
                <c:ptCount val="12"/>
                <c:pt idx="0">
                  <c:v>0.13112262</c:v>
                </c:pt>
                <c:pt idx="1">
                  <c:v>0.28992614</c:v>
                </c:pt>
                <c:pt idx="2">
                  <c:v>0.97409701000000015</c:v>
                </c:pt>
                <c:pt idx="3">
                  <c:v>1.6091368500000003</c:v>
                </c:pt>
                <c:pt idx="4">
                  <c:v>2.1163334600000003</c:v>
                </c:pt>
                <c:pt idx="5">
                  <c:v>2.4466741300000003</c:v>
                </c:pt>
                <c:pt idx="6">
                  <c:v>3.4442679800000011</c:v>
                </c:pt>
                <c:pt idx="7">
                  <c:v>4.8073039199999998</c:v>
                </c:pt>
                <c:pt idx="8">
                  <c:v>6.9409882199999986</c:v>
                </c:pt>
                <c:pt idx="9">
                  <c:v>7.4119473100000004</c:v>
                </c:pt>
                <c:pt idx="10">
                  <c:v>9.0727472099999993</c:v>
                </c:pt>
                <c:pt idx="11">
                  <c:v>44.864334409999984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DCE-4140-BEC8-F2E70B949947}"/>
            </c:ext>
          </c:extLst>
        </c:ser>
        <c:ser>
          <c:idx val="1"/>
          <c:order val="1"/>
          <c:tx>
            <c:strRef>
              <c:f>'G70'!$C$2</c:f>
              <c:strCache>
                <c:ptCount val="1"/>
                <c:pt idx="0">
                  <c:v>2014</c:v>
                </c:pt>
              </c:strCache>
            </c:strRef>
          </c:tx>
          <c:spPr>
            <a:ln w="28575" cap="rnd">
              <a:solidFill>
                <a:srgbClr val="B1E8F9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'G70'!$A$3:$A$14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Máj</c:v>
                </c:pt>
                <c:pt idx="5">
                  <c:v>Jún</c:v>
                </c:pt>
                <c:pt idx="6">
                  <c:v>Júl</c:v>
                </c:pt>
                <c:pt idx="7">
                  <c:v>Aug</c:v>
                </c:pt>
                <c:pt idx="8">
                  <c:v>Sep</c:v>
                </c:pt>
                <c:pt idx="9">
                  <c:v>Okt 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'G70'!$C$3:$C$14</c:f>
              <c:numCache>
                <c:formatCode>0</c:formatCode>
                <c:ptCount val="12"/>
                <c:pt idx="0">
                  <c:v>2.1584850000000003E-2</c:v>
                </c:pt>
                <c:pt idx="1">
                  <c:v>2.02465947</c:v>
                </c:pt>
                <c:pt idx="2">
                  <c:v>2.3754639299999996</c:v>
                </c:pt>
                <c:pt idx="3">
                  <c:v>2.5848124000000006</c:v>
                </c:pt>
                <c:pt idx="4">
                  <c:v>3.4477034699999995</c:v>
                </c:pt>
                <c:pt idx="5">
                  <c:v>4.3439684500000011</c:v>
                </c:pt>
                <c:pt idx="6">
                  <c:v>6.8085038900000026</c:v>
                </c:pt>
                <c:pt idx="7">
                  <c:v>8.9981739600000008</c:v>
                </c:pt>
                <c:pt idx="8">
                  <c:v>10.807150760000004</c:v>
                </c:pt>
                <c:pt idx="9">
                  <c:v>11.611882420000002</c:v>
                </c:pt>
                <c:pt idx="10">
                  <c:v>20.127154709999996</c:v>
                </c:pt>
                <c:pt idx="11">
                  <c:v>33.043005930000014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DCE-4140-BEC8-F2E70B949947}"/>
            </c:ext>
          </c:extLst>
        </c:ser>
        <c:ser>
          <c:idx val="2"/>
          <c:order val="2"/>
          <c:tx>
            <c:strRef>
              <c:f>'G70'!$D$2</c:f>
              <c:strCache>
                <c:ptCount val="1"/>
                <c:pt idx="0">
                  <c:v>2015</c:v>
                </c:pt>
              </c:strCache>
            </c:strRef>
          </c:tx>
          <c:spPr>
            <a:ln w="28575" cap="rnd">
              <a:solidFill>
                <a:srgbClr val="DCB47B"/>
              </a:solidFill>
              <a:round/>
            </a:ln>
            <a:effectLst/>
          </c:spPr>
          <c:marker>
            <c:symbol val="none"/>
          </c:marker>
          <c:cat>
            <c:strRef>
              <c:f>'G70'!$A$3:$A$14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Máj</c:v>
                </c:pt>
                <c:pt idx="5">
                  <c:v>Jún</c:v>
                </c:pt>
                <c:pt idx="6">
                  <c:v>Júl</c:v>
                </c:pt>
                <c:pt idx="7">
                  <c:v>Aug</c:v>
                </c:pt>
                <c:pt idx="8">
                  <c:v>Sep</c:v>
                </c:pt>
                <c:pt idx="9">
                  <c:v>Okt 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'G70'!$D$3:$D$14</c:f>
              <c:numCache>
                <c:formatCode>0</c:formatCode>
                <c:ptCount val="12"/>
                <c:pt idx="0">
                  <c:v>1.14750679</c:v>
                </c:pt>
                <c:pt idx="1">
                  <c:v>2.1780405699999998</c:v>
                </c:pt>
                <c:pt idx="2">
                  <c:v>3.351734749999999</c:v>
                </c:pt>
                <c:pt idx="3">
                  <c:v>21.763436259999999</c:v>
                </c:pt>
                <c:pt idx="4">
                  <c:v>27.509924879999996</c:v>
                </c:pt>
                <c:pt idx="5">
                  <c:v>36.018185819999985</c:v>
                </c:pt>
                <c:pt idx="6">
                  <c:v>39.057401879999993</c:v>
                </c:pt>
                <c:pt idx="7">
                  <c:v>38.354569740000002</c:v>
                </c:pt>
                <c:pt idx="8">
                  <c:v>43.943547840000001</c:v>
                </c:pt>
                <c:pt idx="9">
                  <c:v>57.122473149999998</c:v>
                </c:pt>
                <c:pt idx="10">
                  <c:v>71.867308840000049</c:v>
                </c:pt>
                <c:pt idx="11">
                  <c:v>114.77559063000005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DCE-4140-BEC8-F2E70B949947}"/>
            </c:ext>
          </c:extLst>
        </c:ser>
        <c:ser>
          <c:idx val="3"/>
          <c:order val="3"/>
          <c:tx>
            <c:strRef>
              <c:f>'G70'!$E$2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rgbClr val="4475C4"/>
              </a:solidFill>
              <a:round/>
            </a:ln>
            <a:effectLst/>
          </c:spPr>
          <c:marker>
            <c:symbol val="none"/>
          </c:marker>
          <c:cat>
            <c:strRef>
              <c:f>'G70'!$A$3:$A$14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Máj</c:v>
                </c:pt>
                <c:pt idx="5">
                  <c:v>Jún</c:v>
                </c:pt>
                <c:pt idx="6">
                  <c:v>Júl</c:v>
                </c:pt>
                <c:pt idx="7">
                  <c:v>Aug</c:v>
                </c:pt>
                <c:pt idx="8">
                  <c:v>Sep</c:v>
                </c:pt>
                <c:pt idx="9">
                  <c:v>Okt 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'G70'!$E$3:$E$14</c:f>
              <c:numCache>
                <c:formatCode>0</c:formatCode>
                <c:ptCount val="12"/>
                <c:pt idx="0">
                  <c:v>0.46310784000000005</c:v>
                </c:pt>
                <c:pt idx="1">
                  <c:v>26.678940679999997</c:v>
                </c:pt>
                <c:pt idx="2">
                  <c:v>28.925862939999998</c:v>
                </c:pt>
                <c:pt idx="3">
                  <c:v>31.945149979999997</c:v>
                </c:pt>
                <c:pt idx="4">
                  <c:v>54.105642620000005</c:v>
                </c:pt>
                <c:pt idx="5">
                  <c:v>70.984315449999997</c:v>
                </c:pt>
                <c:pt idx="6">
                  <c:v>72.213902469999979</c:v>
                </c:pt>
                <c:pt idx="7">
                  <c:v>80.192427909999978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DCE-4140-BEC8-F2E70B949947}"/>
            </c:ext>
          </c:extLst>
        </c:ser>
        <c:ser>
          <c:idx val="4"/>
          <c:order val="4"/>
          <c:tx>
            <c:strRef>
              <c:f>'G70'!$F$2</c:f>
              <c:strCache>
                <c:ptCount val="1"/>
                <c:pt idx="0">
                  <c:v>MFSR R2016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diamond"/>
            <c:size val="10"/>
            <c:spPr>
              <a:solidFill>
                <a:srgbClr val="58595B"/>
              </a:solidFill>
              <a:ln w="9525">
                <a:solidFill>
                  <a:schemeClr val="accent5"/>
                </a:solidFill>
              </a:ln>
              <a:effectLst/>
            </c:spPr>
          </c:marker>
          <c:dLbls>
            <c:dLbl>
              <c:idx val="11"/>
              <c:layout>
                <c:manualLayout>
                  <c:x val="-8.0555555555555561E-2"/>
                  <c:y val="-4.6296296296296294E-3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DCE-4140-BEC8-F2E70B94994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Constantia" panose="02030602050306030303" pitchFamily="18" charset="0"/>
                    <a:ea typeface="+mn-ea"/>
                    <a:cs typeface="+mn-cs"/>
                  </a:defRPr>
                </a:pPr>
                <a:endParaRPr lang="sk-SK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'G70'!$A$3:$A$14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Máj</c:v>
                </c:pt>
                <c:pt idx="5">
                  <c:v>Jún</c:v>
                </c:pt>
                <c:pt idx="6">
                  <c:v>Júl</c:v>
                </c:pt>
                <c:pt idx="7">
                  <c:v>Aug</c:v>
                </c:pt>
                <c:pt idx="8">
                  <c:v>Sep</c:v>
                </c:pt>
                <c:pt idx="9">
                  <c:v>Okt 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'G70'!$F$3:$F$14</c:f>
              <c:numCache>
                <c:formatCode>0</c:formatCode>
                <c:ptCount val="12"/>
                <c:pt idx="11">
                  <c:v>116.70111900000001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DCE-4140-BEC8-F2E70B949947}"/>
            </c:ext>
          </c:extLst>
        </c:ser>
        <c:ser>
          <c:idx val="5"/>
          <c:order val="5"/>
          <c:tx>
            <c:strRef>
              <c:f>'G70'!$G$2</c:f>
              <c:strCache>
                <c:ptCount val="1"/>
                <c:pt idx="0">
                  <c:v>RRZ 2016</c:v>
                </c:pt>
              </c:strCache>
            </c:strRef>
          </c:tx>
          <c:spPr>
            <a:ln w="28575" cap="rnd">
              <a:solidFill>
                <a:srgbClr val="13B5EA"/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rgbClr val="13B5EA"/>
              </a:solidFill>
              <a:ln w="9525">
                <a:solidFill>
                  <a:schemeClr val="accent6"/>
                </a:solidFill>
              </a:ln>
              <a:effectLst/>
            </c:spPr>
          </c:marker>
          <c:dLbls>
            <c:dLbl>
              <c:idx val="11"/>
              <c:layout>
                <c:manualLayout>
                  <c:x val="-8.611111111111111E-2"/>
                  <c:y val="-4.6296296296296294E-3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DCE-4140-BEC8-F2E70B94994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Constantia" panose="02030602050306030303" pitchFamily="18" charset="0"/>
                    <a:ea typeface="+mn-ea"/>
                    <a:cs typeface="+mn-cs"/>
                  </a:defRPr>
                </a:pPr>
                <a:endParaRPr lang="sk-SK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'G70'!$A$3:$A$14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Máj</c:v>
                </c:pt>
                <c:pt idx="5">
                  <c:v>Jún</c:v>
                </c:pt>
                <c:pt idx="6">
                  <c:v>Júl</c:v>
                </c:pt>
                <c:pt idx="7">
                  <c:v>Aug</c:v>
                </c:pt>
                <c:pt idx="8">
                  <c:v>Sep</c:v>
                </c:pt>
                <c:pt idx="9">
                  <c:v>Okt 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'G70'!$G$3:$G$14</c:f>
              <c:numCache>
                <c:formatCode>0</c:formatCode>
                <c:ptCount val="12"/>
                <c:pt idx="11">
                  <c:v>182.97761374000001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DCE-4140-BEC8-F2E70B9499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7374624"/>
        <c:axId val="347371344"/>
      </c:lineChart>
      <c:catAx>
        <c:axId val="3473746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347371344"/>
        <c:crosses val="autoZero"/>
        <c:auto val="1"/>
        <c:lblAlgn val="ctr"/>
        <c:lblOffset val="100"/>
        <c:noMultiLvlLbl val="0"/>
      </c:catAx>
      <c:valAx>
        <c:axId val="347371344"/>
        <c:scaling>
          <c:orientation val="minMax"/>
        </c:scaling>
        <c:delete val="0"/>
        <c:axPos val="l"/>
        <c:majorGridlines>
          <c:spPr>
            <a:ln w="19050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347374624"/>
        <c:crosses val="autoZero"/>
        <c:crossBetween val="between"/>
        <c:majorUnit val="50"/>
      </c:valAx>
    </c:plotArea>
    <c:legend>
      <c:legendPos val="l"/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7.8364529914529898E-2"/>
          <c:y val="3.3902423961710663E-2"/>
          <c:w val="0.18974038571265547"/>
          <c:h val="0.35791535232407878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onstantia" panose="02030602050306030303" pitchFamily="18" charset="0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51495726495725E-2"/>
          <c:y val="3.2161728395061734E-2"/>
          <c:w val="0.91390769230769231"/>
          <c:h val="0.87898271604938272"/>
        </c:manualLayout>
      </c:layout>
      <c:lineChart>
        <c:grouping val="standard"/>
        <c:varyColors val="0"/>
        <c:ser>
          <c:idx val="0"/>
          <c:order val="0"/>
          <c:tx>
            <c:strRef>
              <c:f>'G71'!$B$2</c:f>
              <c:strCache>
                <c:ptCount val="1"/>
                <c:pt idx="0">
                  <c:v>2013</c:v>
                </c:pt>
              </c:strCache>
            </c:strRef>
          </c:tx>
          <c:spPr>
            <a:ln w="28575" cap="rnd">
              <a:solidFill>
                <a:srgbClr val="7F7F7F"/>
              </a:solidFill>
              <a:round/>
            </a:ln>
            <a:effectLst/>
          </c:spPr>
          <c:marker>
            <c:symbol val="none"/>
          </c:marker>
          <c:cat>
            <c:strRef>
              <c:f>'G71'!$A$3:$A$14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Máj</c:v>
                </c:pt>
                <c:pt idx="5">
                  <c:v>Jún</c:v>
                </c:pt>
                <c:pt idx="6">
                  <c:v>Júl</c:v>
                </c:pt>
                <c:pt idx="7">
                  <c:v>Aug</c:v>
                </c:pt>
                <c:pt idx="8">
                  <c:v>Sep</c:v>
                </c:pt>
                <c:pt idx="9">
                  <c:v>Okt 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'G71'!$B$3:$B$14</c:f>
              <c:numCache>
                <c:formatCode>0</c:formatCode>
                <c:ptCount val="12"/>
                <c:pt idx="0">
                  <c:v>4.3800000000000002E-3</c:v>
                </c:pt>
                <c:pt idx="1">
                  <c:v>4.7898000000000003E-2</c:v>
                </c:pt>
                <c:pt idx="2">
                  <c:v>2.03970889</c:v>
                </c:pt>
                <c:pt idx="3">
                  <c:v>0.16734332999999998</c:v>
                </c:pt>
                <c:pt idx="4">
                  <c:v>2.4675930199999998</c:v>
                </c:pt>
                <c:pt idx="5">
                  <c:v>2.7623388700000002</c:v>
                </c:pt>
                <c:pt idx="6">
                  <c:v>3.2052897999999996</c:v>
                </c:pt>
                <c:pt idx="7">
                  <c:v>4.3196599800000008</c:v>
                </c:pt>
                <c:pt idx="8">
                  <c:v>5.4922712600000008</c:v>
                </c:pt>
                <c:pt idx="9">
                  <c:v>8.8011881899999995</c:v>
                </c:pt>
                <c:pt idx="10">
                  <c:v>10.358288420000001</c:v>
                </c:pt>
                <c:pt idx="11">
                  <c:v>38.968523519999998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072-4CF8-A864-11D40519A048}"/>
            </c:ext>
          </c:extLst>
        </c:ser>
        <c:ser>
          <c:idx val="1"/>
          <c:order val="1"/>
          <c:tx>
            <c:strRef>
              <c:f>'G71'!$C$2</c:f>
              <c:strCache>
                <c:ptCount val="1"/>
                <c:pt idx="0">
                  <c:v>2014</c:v>
                </c:pt>
              </c:strCache>
            </c:strRef>
          </c:tx>
          <c:spPr>
            <a:ln w="28575" cap="rnd">
              <a:solidFill>
                <a:srgbClr val="B1E8F9"/>
              </a:solidFill>
              <a:round/>
            </a:ln>
            <a:effectLst/>
          </c:spPr>
          <c:marker>
            <c:symbol val="none"/>
          </c:marker>
          <c:cat>
            <c:strRef>
              <c:f>'G71'!$A$3:$A$14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Máj</c:v>
                </c:pt>
                <c:pt idx="5">
                  <c:v>Jún</c:v>
                </c:pt>
                <c:pt idx="6">
                  <c:v>Júl</c:v>
                </c:pt>
                <c:pt idx="7">
                  <c:v>Aug</c:v>
                </c:pt>
                <c:pt idx="8">
                  <c:v>Sep</c:v>
                </c:pt>
                <c:pt idx="9">
                  <c:v>Okt 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'G71'!$C$3:$C$14</c:f>
              <c:numCache>
                <c:formatCode>0</c:formatCode>
                <c:ptCount val="12"/>
                <c:pt idx="0">
                  <c:v>2.4977830000000003E-2</c:v>
                </c:pt>
                <c:pt idx="1">
                  <c:v>3.5587866200000002</c:v>
                </c:pt>
                <c:pt idx="2">
                  <c:v>4.4488943399999998</c:v>
                </c:pt>
                <c:pt idx="3">
                  <c:v>10.437794480000001</c:v>
                </c:pt>
                <c:pt idx="4">
                  <c:v>12.981281190000001</c:v>
                </c:pt>
                <c:pt idx="5">
                  <c:v>15.38526811</c:v>
                </c:pt>
                <c:pt idx="6">
                  <c:v>16.849508359999998</c:v>
                </c:pt>
                <c:pt idx="7">
                  <c:v>18.552118849999999</c:v>
                </c:pt>
                <c:pt idx="8">
                  <c:v>22.926280419999998</c:v>
                </c:pt>
                <c:pt idx="9">
                  <c:v>31.860537209999993</c:v>
                </c:pt>
                <c:pt idx="10">
                  <c:v>36.89806222</c:v>
                </c:pt>
                <c:pt idx="11">
                  <c:v>53.209573450000008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072-4CF8-A864-11D40519A048}"/>
            </c:ext>
          </c:extLst>
        </c:ser>
        <c:ser>
          <c:idx val="2"/>
          <c:order val="2"/>
          <c:tx>
            <c:strRef>
              <c:f>'G71'!$D$2</c:f>
              <c:strCache>
                <c:ptCount val="1"/>
                <c:pt idx="0">
                  <c:v>2015</c:v>
                </c:pt>
              </c:strCache>
            </c:strRef>
          </c:tx>
          <c:spPr>
            <a:ln w="28575" cap="rnd">
              <a:solidFill>
                <a:srgbClr val="DCB47B"/>
              </a:solidFill>
              <a:round/>
            </a:ln>
            <a:effectLst/>
          </c:spPr>
          <c:marker>
            <c:symbol val="none"/>
          </c:marker>
          <c:cat>
            <c:strRef>
              <c:f>'G71'!$A$3:$A$14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Máj</c:v>
                </c:pt>
                <c:pt idx="5">
                  <c:v>Jún</c:v>
                </c:pt>
                <c:pt idx="6">
                  <c:v>Júl</c:v>
                </c:pt>
                <c:pt idx="7">
                  <c:v>Aug</c:v>
                </c:pt>
                <c:pt idx="8">
                  <c:v>Sep</c:v>
                </c:pt>
                <c:pt idx="9">
                  <c:v>Okt 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'G71'!$D$3:$D$14</c:f>
              <c:numCache>
                <c:formatCode>0</c:formatCode>
                <c:ptCount val="12"/>
                <c:pt idx="0">
                  <c:v>0</c:v>
                </c:pt>
                <c:pt idx="1">
                  <c:v>2.6238870899999998</c:v>
                </c:pt>
                <c:pt idx="2">
                  <c:v>18.633473030000001</c:v>
                </c:pt>
                <c:pt idx="3">
                  <c:v>25.520293360000004</c:v>
                </c:pt>
                <c:pt idx="4">
                  <c:v>81.678133169999995</c:v>
                </c:pt>
                <c:pt idx="5">
                  <c:v>95.890387219999994</c:v>
                </c:pt>
                <c:pt idx="6">
                  <c:v>109.00207177</c:v>
                </c:pt>
                <c:pt idx="7">
                  <c:v>113.53723346999999</c:v>
                </c:pt>
                <c:pt idx="8">
                  <c:v>131.03797124000002</c:v>
                </c:pt>
                <c:pt idx="9">
                  <c:v>148.98184885000003</c:v>
                </c:pt>
                <c:pt idx="10">
                  <c:v>162.35251972999998</c:v>
                </c:pt>
                <c:pt idx="11">
                  <c:v>204.33246551999997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072-4CF8-A864-11D40519A048}"/>
            </c:ext>
          </c:extLst>
        </c:ser>
        <c:ser>
          <c:idx val="3"/>
          <c:order val="3"/>
          <c:tx>
            <c:strRef>
              <c:f>'G71'!$E$2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rgbClr val="4475C4"/>
              </a:solidFill>
              <a:round/>
            </a:ln>
            <a:effectLst/>
          </c:spPr>
          <c:marker>
            <c:symbol val="none"/>
          </c:marker>
          <c:cat>
            <c:strRef>
              <c:f>'G71'!$A$3:$A$14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Máj</c:v>
                </c:pt>
                <c:pt idx="5">
                  <c:v>Jún</c:v>
                </c:pt>
                <c:pt idx="6">
                  <c:v>Júl</c:v>
                </c:pt>
                <c:pt idx="7">
                  <c:v>Aug</c:v>
                </c:pt>
                <c:pt idx="8">
                  <c:v>Sep</c:v>
                </c:pt>
                <c:pt idx="9">
                  <c:v>Okt 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'G71'!$E$3:$E$14</c:f>
              <c:numCache>
                <c:formatCode>0</c:formatCode>
                <c:ptCount val="12"/>
                <c:pt idx="0">
                  <c:v>1.0564987399999999</c:v>
                </c:pt>
                <c:pt idx="1">
                  <c:v>8.4429578800000016</c:v>
                </c:pt>
                <c:pt idx="2">
                  <c:v>31.353012439999997</c:v>
                </c:pt>
                <c:pt idx="3">
                  <c:v>34.490426820000003</c:v>
                </c:pt>
                <c:pt idx="4">
                  <c:v>87.108934159999976</c:v>
                </c:pt>
                <c:pt idx="5">
                  <c:v>96.740516450000001</c:v>
                </c:pt>
                <c:pt idx="6">
                  <c:v>99.450137569999981</c:v>
                </c:pt>
                <c:pt idx="7">
                  <c:v>124.39411367999999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072-4CF8-A864-11D40519A048}"/>
            </c:ext>
          </c:extLst>
        </c:ser>
        <c:ser>
          <c:idx val="4"/>
          <c:order val="4"/>
          <c:tx>
            <c:strRef>
              <c:f>'G71'!$F$2</c:f>
              <c:strCache>
                <c:ptCount val="1"/>
                <c:pt idx="0">
                  <c:v>MFSR R2016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diamond"/>
            <c:size val="10"/>
            <c:spPr>
              <a:solidFill>
                <a:srgbClr val="58595B"/>
              </a:solidFill>
              <a:ln w="9525">
                <a:solidFill>
                  <a:schemeClr val="accent5"/>
                </a:solidFill>
              </a:ln>
              <a:effectLst/>
            </c:spPr>
          </c:marker>
          <c:dLbls>
            <c:dLbl>
              <c:idx val="11"/>
              <c:layout>
                <c:manualLayout>
                  <c:x val="-0.10288108405054019"/>
                  <c:y val="-6.255073971609405E-4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072-4CF8-A864-11D40519A04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Constantia" panose="02030602050306030303" pitchFamily="18" charset="0"/>
                    <a:ea typeface="+mn-ea"/>
                    <a:cs typeface="+mn-cs"/>
                  </a:defRPr>
                </a:pPr>
                <a:endParaRPr lang="sk-SK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'G71'!$A$3:$A$14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Máj</c:v>
                </c:pt>
                <c:pt idx="5">
                  <c:v>Jún</c:v>
                </c:pt>
                <c:pt idx="6">
                  <c:v>Júl</c:v>
                </c:pt>
                <c:pt idx="7">
                  <c:v>Aug</c:v>
                </c:pt>
                <c:pt idx="8">
                  <c:v>Sep</c:v>
                </c:pt>
                <c:pt idx="9">
                  <c:v>Okt 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'G71'!$F$3:$F$14</c:f>
              <c:numCache>
                <c:formatCode>0</c:formatCode>
                <c:ptCount val="12"/>
                <c:pt idx="11">
                  <c:v>100.555511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072-4CF8-A864-11D40519A048}"/>
            </c:ext>
          </c:extLst>
        </c:ser>
        <c:ser>
          <c:idx val="5"/>
          <c:order val="5"/>
          <c:tx>
            <c:strRef>
              <c:f>'G71'!$G$2</c:f>
              <c:strCache>
                <c:ptCount val="1"/>
                <c:pt idx="0">
                  <c:v>RRZ 2016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rgbClr val="13B5EA"/>
              </a:solidFill>
              <a:ln w="9525">
                <a:solidFill>
                  <a:schemeClr val="accent6"/>
                </a:solidFill>
              </a:ln>
              <a:effectLst/>
            </c:spPr>
          </c:marker>
          <c:dLbls>
            <c:dLbl>
              <c:idx val="11"/>
              <c:layout>
                <c:manualLayout>
                  <c:x val="-0.10843669657571874"/>
                  <c:y val="-1.6641523413176994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072-4CF8-A864-11D40519A04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Constantia" panose="02030602050306030303" pitchFamily="18" charset="0"/>
                    <a:ea typeface="+mn-ea"/>
                    <a:cs typeface="+mn-cs"/>
                  </a:defRPr>
                </a:pPr>
                <a:endParaRPr lang="sk-SK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'G71'!$A$3:$A$14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Máj</c:v>
                </c:pt>
                <c:pt idx="5">
                  <c:v>Jún</c:v>
                </c:pt>
                <c:pt idx="6">
                  <c:v>Júl</c:v>
                </c:pt>
                <c:pt idx="7">
                  <c:v>Aug</c:v>
                </c:pt>
                <c:pt idx="8">
                  <c:v>Sep</c:v>
                </c:pt>
                <c:pt idx="9">
                  <c:v>Okt 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'G71'!$G$3:$G$14</c:f>
              <c:numCache>
                <c:formatCode>0</c:formatCode>
                <c:ptCount val="12"/>
                <c:pt idx="11">
                  <c:v>172.75960917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072-4CF8-A864-11D40519A0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7374624"/>
        <c:axId val="347371344"/>
      </c:lineChart>
      <c:catAx>
        <c:axId val="3473746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347371344"/>
        <c:crosses val="autoZero"/>
        <c:auto val="1"/>
        <c:lblAlgn val="ctr"/>
        <c:lblOffset val="100"/>
        <c:noMultiLvlLbl val="0"/>
      </c:catAx>
      <c:valAx>
        <c:axId val="347371344"/>
        <c:scaling>
          <c:orientation val="minMax"/>
        </c:scaling>
        <c:delete val="0"/>
        <c:axPos val="l"/>
        <c:majorGridlines>
          <c:spPr>
            <a:ln w="19050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347374624"/>
        <c:crosses val="autoZero"/>
        <c:crossBetween val="between"/>
        <c:majorUnit val="50"/>
      </c:valAx>
    </c:plotArea>
    <c:legend>
      <c:legendPos val="l"/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8.0194017094017078E-2"/>
          <c:y val="3.3680864197530871E-2"/>
          <c:w val="0.18216648965390955"/>
          <c:h val="0.33379962639805161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onstantia" panose="02030602050306030303" pitchFamily="18" charset="0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448247863247863E-2"/>
          <c:y val="2.8241975308641976E-2"/>
          <c:w val="0.92175982905982901"/>
          <c:h val="0.88346234567901216"/>
        </c:manualLayout>
      </c:layout>
      <c:lineChart>
        <c:grouping val="standard"/>
        <c:varyColors val="0"/>
        <c:ser>
          <c:idx val="0"/>
          <c:order val="0"/>
          <c:tx>
            <c:strRef>
              <c:f>'G72'!$B$2</c:f>
              <c:strCache>
                <c:ptCount val="1"/>
                <c:pt idx="0">
                  <c:v>2013</c:v>
                </c:pt>
              </c:strCache>
            </c:strRef>
          </c:tx>
          <c:spPr>
            <a:ln w="28575" cap="rnd">
              <a:solidFill>
                <a:srgbClr val="7F7F7F"/>
              </a:solidFill>
              <a:round/>
            </a:ln>
            <a:effectLst/>
          </c:spPr>
          <c:marker>
            <c:symbol val="none"/>
          </c:marker>
          <c:cat>
            <c:strRef>
              <c:f>'G72'!$A$3:$A$14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Máj</c:v>
                </c:pt>
                <c:pt idx="5">
                  <c:v>Jún</c:v>
                </c:pt>
                <c:pt idx="6">
                  <c:v>Júl</c:v>
                </c:pt>
                <c:pt idx="7">
                  <c:v>Aug</c:v>
                </c:pt>
                <c:pt idx="8">
                  <c:v>Sep</c:v>
                </c:pt>
                <c:pt idx="9">
                  <c:v>Okt 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'G72'!$B$3:$B$14</c:f>
              <c:numCache>
                <c:formatCode>0</c:formatCode>
                <c:ptCount val="12"/>
                <c:pt idx="0">
                  <c:v>0.14481987999999998</c:v>
                </c:pt>
                <c:pt idx="1">
                  <c:v>0.41595514</c:v>
                </c:pt>
                <c:pt idx="2">
                  <c:v>1.6121355499999996</c:v>
                </c:pt>
                <c:pt idx="3">
                  <c:v>2.6268583900000007</c:v>
                </c:pt>
                <c:pt idx="4">
                  <c:v>3.1339665300000008</c:v>
                </c:pt>
                <c:pt idx="5">
                  <c:v>6.3446002600000018</c:v>
                </c:pt>
                <c:pt idx="6">
                  <c:v>11.251699810000002</c:v>
                </c:pt>
                <c:pt idx="7">
                  <c:v>11.480526240000003</c:v>
                </c:pt>
                <c:pt idx="8">
                  <c:v>13.023259780000005</c:v>
                </c:pt>
                <c:pt idx="9">
                  <c:v>11.621663520000002</c:v>
                </c:pt>
                <c:pt idx="10">
                  <c:v>15.32603862</c:v>
                </c:pt>
                <c:pt idx="11">
                  <c:v>30.195858899999987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56C-4C1E-81ED-4762FB40989B}"/>
            </c:ext>
          </c:extLst>
        </c:ser>
        <c:ser>
          <c:idx val="1"/>
          <c:order val="1"/>
          <c:tx>
            <c:strRef>
              <c:f>'G72'!$C$2</c:f>
              <c:strCache>
                <c:ptCount val="1"/>
                <c:pt idx="0">
                  <c:v>2014</c:v>
                </c:pt>
              </c:strCache>
            </c:strRef>
          </c:tx>
          <c:spPr>
            <a:ln w="28575" cap="rnd">
              <a:solidFill>
                <a:srgbClr val="B1E8F9"/>
              </a:solidFill>
              <a:round/>
            </a:ln>
            <a:effectLst/>
          </c:spPr>
          <c:marker>
            <c:symbol val="none"/>
          </c:marker>
          <c:cat>
            <c:strRef>
              <c:f>'G72'!$A$3:$A$14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Máj</c:v>
                </c:pt>
                <c:pt idx="5">
                  <c:v>Jún</c:v>
                </c:pt>
                <c:pt idx="6">
                  <c:v>Júl</c:v>
                </c:pt>
                <c:pt idx="7">
                  <c:v>Aug</c:v>
                </c:pt>
                <c:pt idx="8">
                  <c:v>Sep</c:v>
                </c:pt>
                <c:pt idx="9">
                  <c:v>Okt 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'G72'!$C$3:$C$14</c:f>
              <c:numCache>
                <c:formatCode>0</c:formatCode>
                <c:ptCount val="12"/>
                <c:pt idx="0">
                  <c:v>4.2543526600000003</c:v>
                </c:pt>
                <c:pt idx="1">
                  <c:v>4.4747929100000006</c:v>
                </c:pt>
                <c:pt idx="2">
                  <c:v>3.49818607</c:v>
                </c:pt>
                <c:pt idx="3">
                  <c:v>6.3262878499999999</c:v>
                </c:pt>
                <c:pt idx="4">
                  <c:v>5.7545127199999992</c:v>
                </c:pt>
                <c:pt idx="5">
                  <c:v>10.512614370000001</c:v>
                </c:pt>
                <c:pt idx="6">
                  <c:v>22.003009609999999</c:v>
                </c:pt>
                <c:pt idx="7">
                  <c:v>27.134121989999997</c:v>
                </c:pt>
                <c:pt idx="8">
                  <c:v>28.970978349999996</c:v>
                </c:pt>
                <c:pt idx="9">
                  <c:v>33.617039650000009</c:v>
                </c:pt>
                <c:pt idx="10">
                  <c:v>40.644999980000001</c:v>
                </c:pt>
                <c:pt idx="11">
                  <c:v>54.113165650000028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56C-4C1E-81ED-4762FB40989B}"/>
            </c:ext>
          </c:extLst>
        </c:ser>
        <c:ser>
          <c:idx val="2"/>
          <c:order val="2"/>
          <c:tx>
            <c:strRef>
              <c:f>'G72'!$D$2</c:f>
              <c:strCache>
                <c:ptCount val="1"/>
                <c:pt idx="0">
                  <c:v>2015</c:v>
                </c:pt>
              </c:strCache>
            </c:strRef>
          </c:tx>
          <c:spPr>
            <a:ln w="28575" cap="rnd">
              <a:solidFill>
                <a:srgbClr val="DCB47B"/>
              </a:solidFill>
              <a:round/>
            </a:ln>
            <a:effectLst/>
          </c:spPr>
          <c:marker>
            <c:symbol val="none"/>
          </c:marker>
          <c:cat>
            <c:strRef>
              <c:f>'G72'!$A$3:$A$14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Máj</c:v>
                </c:pt>
                <c:pt idx="5">
                  <c:v>Jún</c:v>
                </c:pt>
                <c:pt idx="6">
                  <c:v>Júl</c:v>
                </c:pt>
                <c:pt idx="7">
                  <c:v>Aug</c:v>
                </c:pt>
                <c:pt idx="8">
                  <c:v>Sep</c:v>
                </c:pt>
                <c:pt idx="9">
                  <c:v>Okt 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'G72'!$D$3:$D$14</c:f>
              <c:numCache>
                <c:formatCode>0</c:formatCode>
                <c:ptCount val="12"/>
                <c:pt idx="0">
                  <c:v>2.4170877599999998</c:v>
                </c:pt>
                <c:pt idx="1">
                  <c:v>4.1736070300000003</c:v>
                </c:pt>
                <c:pt idx="2">
                  <c:v>4.3640592600000012</c:v>
                </c:pt>
                <c:pt idx="3">
                  <c:v>13.363838899999999</c:v>
                </c:pt>
                <c:pt idx="4">
                  <c:v>22.016519930000001</c:v>
                </c:pt>
                <c:pt idx="5">
                  <c:v>28.682733320000001</c:v>
                </c:pt>
                <c:pt idx="6">
                  <c:v>35.570668910000002</c:v>
                </c:pt>
                <c:pt idx="7">
                  <c:v>40.951526570000006</c:v>
                </c:pt>
                <c:pt idx="8">
                  <c:v>54.190657709999996</c:v>
                </c:pt>
                <c:pt idx="9">
                  <c:v>53.278919320000007</c:v>
                </c:pt>
                <c:pt idx="10">
                  <c:v>62.004426630000026</c:v>
                </c:pt>
                <c:pt idx="11">
                  <c:v>92.063964749999982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56C-4C1E-81ED-4762FB40989B}"/>
            </c:ext>
          </c:extLst>
        </c:ser>
        <c:ser>
          <c:idx val="3"/>
          <c:order val="3"/>
          <c:tx>
            <c:strRef>
              <c:f>'G72'!$E$2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rgbClr val="4475C4"/>
              </a:solidFill>
              <a:round/>
            </a:ln>
            <a:effectLst/>
          </c:spPr>
          <c:marker>
            <c:symbol val="none"/>
          </c:marker>
          <c:cat>
            <c:strRef>
              <c:f>'G72'!$A$3:$A$14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Máj</c:v>
                </c:pt>
                <c:pt idx="5">
                  <c:v>Jún</c:v>
                </c:pt>
                <c:pt idx="6">
                  <c:v>Júl</c:v>
                </c:pt>
                <c:pt idx="7">
                  <c:v>Aug</c:v>
                </c:pt>
                <c:pt idx="8">
                  <c:v>Sep</c:v>
                </c:pt>
                <c:pt idx="9">
                  <c:v>Okt 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'G72'!$E$3:$E$14</c:f>
              <c:numCache>
                <c:formatCode>0</c:formatCode>
                <c:ptCount val="12"/>
                <c:pt idx="0">
                  <c:v>0.18605627000000002</c:v>
                </c:pt>
                <c:pt idx="1">
                  <c:v>4.0069078399999993</c:v>
                </c:pt>
                <c:pt idx="2">
                  <c:v>23.488475849999997</c:v>
                </c:pt>
                <c:pt idx="3">
                  <c:v>30.08790694</c:v>
                </c:pt>
                <c:pt idx="4">
                  <c:v>35.996715750000014</c:v>
                </c:pt>
                <c:pt idx="5">
                  <c:v>51.969764430000005</c:v>
                </c:pt>
                <c:pt idx="6">
                  <c:v>64.182955379999981</c:v>
                </c:pt>
                <c:pt idx="7">
                  <c:v>79.485147529999992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56C-4C1E-81ED-4762FB40989B}"/>
            </c:ext>
          </c:extLst>
        </c:ser>
        <c:ser>
          <c:idx val="4"/>
          <c:order val="4"/>
          <c:tx>
            <c:strRef>
              <c:f>'G72'!$F$2</c:f>
              <c:strCache>
                <c:ptCount val="1"/>
                <c:pt idx="0">
                  <c:v>MFSR R2016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diamond"/>
            <c:size val="10"/>
            <c:spPr>
              <a:solidFill>
                <a:srgbClr val="58595B"/>
              </a:solidFill>
              <a:ln w="9525">
                <a:solidFill>
                  <a:schemeClr val="accent5"/>
                </a:solidFill>
              </a:ln>
              <a:effectLst/>
            </c:spPr>
          </c:marker>
          <c:dLbls>
            <c:dLbl>
              <c:idx val="11"/>
              <c:layout>
                <c:manualLayout>
                  <c:x val="-9.9160153817982058E-2"/>
                  <c:y val="-3.6661543433197052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56C-4C1E-81ED-4762FB40989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Constantia" panose="02030602050306030303" pitchFamily="18" charset="0"/>
                    <a:ea typeface="+mn-ea"/>
                    <a:cs typeface="+mn-cs"/>
                  </a:defRPr>
                </a:pPr>
                <a:endParaRPr lang="sk-SK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'G72'!$A$3:$A$14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Máj</c:v>
                </c:pt>
                <c:pt idx="5">
                  <c:v>Jún</c:v>
                </c:pt>
                <c:pt idx="6">
                  <c:v>Júl</c:v>
                </c:pt>
                <c:pt idx="7">
                  <c:v>Aug</c:v>
                </c:pt>
                <c:pt idx="8">
                  <c:v>Sep</c:v>
                </c:pt>
                <c:pt idx="9">
                  <c:v>Okt 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'G72'!$F$3:$F$14</c:f>
              <c:numCache>
                <c:formatCode>0</c:formatCode>
                <c:ptCount val="12"/>
                <c:pt idx="11">
                  <c:v>66.130171000000004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56C-4C1E-81ED-4762FB40989B}"/>
            </c:ext>
          </c:extLst>
        </c:ser>
        <c:ser>
          <c:idx val="5"/>
          <c:order val="5"/>
          <c:tx>
            <c:strRef>
              <c:f>'G72'!$G$2</c:f>
              <c:strCache>
                <c:ptCount val="1"/>
                <c:pt idx="0">
                  <c:v>RRZ 2016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rgbClr val="13B5EA"/>
              </a:solidFill>
              <a:ln w="9525">
                <a:solidFill>
                  <a:schemeClr val="accent6"/>
                </a:solidFill>
              </a:ln>
              <a:effectLst/>
            </c:spPr>
          </c:marker>
          <c:dLbls>
            <c:dLbl>
              <c:idx val="11"/>
              <c:layout>
                <c:manualLayout>
                  <c:x val="-0.11215762680827687"/>
                  <c:y val="-6.255073971609405E-4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56C-4C1E-81ED-4762FB40989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Constantia" panose="02030602050306030303" pitchFamily="18" charset="0"/>
                    <a:ea typeface="+mn-ea"/>
                    <a:cs typeface="+mn-cs"/>
                  </a:defRPr>
                </a:pPr>
                <a:endParaRPr lang="sk-SK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'G72'!$A$3:$A$14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Máj</c:v>
                </c:pt>
                <c:pt idx="5">
                  <c:v>Jún</c:v>
                </c:pt>
                <c:pt idx="6">
                  <c:v>Júl</c:v>
                </c:pt>
                <c:pt idx="7">
                  <c:v>Aug</c:v>
                </c:pt>
                <c:pt idx="8">
                  <c:v>Sep</c:v>
                </c:pt>
                <c:pt idx="9">
                  <c:v>Okt 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'G72'!$G$3:$G$14</c:f>
              <c:numCache>
                <c:formatCode>0</c:formatCode>
                <c:ptCount val="12"/>
                <c:pt idx="11">
                  <c:v>138.90797713000001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556C-4C1E-81ED-4762FB4098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7374624"/>
        <c:axId val="347371344"/>
      </c:lineChart>
      <c:catAx>
        <c:axId val="3473746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347371344"/>
        <c:crosses val="autoZero"/>
        <c:auto val="1"/>
        <c:lblAlgn val="ctr"/>
        <c:lblOffset val="100"/>
        <c:noMultiLvlLbl val="0"/>
      </c:catAx>
      <c:valAx>
        <c:axId val="347371344"/>
        <c:scaling>
          <c:orientation val="minMax"/>
        </c:scaling>
        <c:delete val="0"/>
        <c:axPos val="l"/>
        <c:majorGridlines>
          <c:spPr>
            <a:ln w="19050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347374624"/>
        <c:crosses val="autoZero"/>
        <c:crossBetween val="between"/>
        <c:majorUnit val="50"/>
      </c:valAx>
    </c:plotArea>
    <c:legend>
      <c:legendPos val="l"/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7.6561538461538473E-2"/>
          <c:y val="3.47712962962963E-2"/>
          <c:w val="0.18609016663614722"/>
          <c:h val="0.31185673862839219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onstantia" panose="02030602050306030303" pitchFamily="18" charset="0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0845144356955376E-2"/>
          <c:y val="5.0925925925925923E-2"/>
          <c:w val="0.88859930008748911"/>
          <c:h val="0.84688247302420527"/>
        </c:manualLayout>
      </c:layout>
      <c:barChart>
        <c:barDir val="col"/>
        <c:grouping val="stacked"/>
        <c:varyColors val="0"/>
        <c:ser>
          <c:idx val="11"/>
          <c:order val="0"/>
          <c:tx>
            <c:v>Kapitálové výdavky ŠR</c:v>
          </c:tx>
          <c:spPr>
            <a:solidFill>
              <a:srgbClr val="13B5EA"/>
            </a:solidFill>
            <a:ln>
              <a:noFill/>
            </a:ln>
            <a:effectLst/>
          </c:spPr>
          <c:invertIfNegative val="0"/>
          <c:dPt>
            <c:idx val="10"/>
            <c:invertIfNegative val="0"/>
            <c:bubble3D val="0"/>
            <c:spPr>
              <a:solidFill>
                <a:srgbClr val="13B5EA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F8EB-4D5A-8843-E79B0013EBE5}"/>
              </c:ext>
            </c:extLst>
          </c:dPt>
          <c:dPt>
            <c:idx val="11"/>
            <c:invertIfNegative val="0"/>
            <c:bubble3D val="0"/>
            <c:spPr>
              <a:solidFill>
                <a:srgbClr val="13B5EA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F8EB-4D5A-8843-E79B0013EBE5}"/>
              </c:ext>
            </c:extLst>
          </c:dPt>
          <c:dPt>
            <c:idx val="12"/>
            <c:invertIfNegative val="0"/>
            <c:bubble3D val="0"/>
            <c:spPr>
              <a:solidFill>
                <a:srgbClr val="13B5EA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F8EB-4D5A-8843-E79B0013EBE5}"/>
              </c:ext>
            </c:extLst>
          </c:dPt>
          <c:dPt>
            <c:idx val="13"/>
            <c:invertIfNegative val="0"/>
            <c:bubble3D val="0"/>
            <c:spPr>
              <a:solidFill>
                <a:srgbClr val="13B5EA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F8EB-4D5A-8843-E79B0013EBE5}"/>
              </c:ext>
            </c:extLst>
          </c:dPt>
          <c:cat>
            <c:numRef>
              <c:f>'G73'!$B$2:$O$2</c:f>
              <c:numCache>
                <c:formatCode>General</c:formatCode>
                <c:ptCount val="14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</c:numCache>
            </c:numRef>
          </c:cat>
          <c:val>
            <c:numRef>
              <c:f>'G73'!$B$7:$O$7</c:f>
              <c:numCache>
                <c:formatCode>#\ ##0.0</c:formatCode>
                <c:ptCount val="14"/>
                <c:pt idx="0">
                  <c:v>1.0881485662462735</c:v>
                </c:pt>
                <c:pt idx="1">
                  <c:v>0.79174113040648297</c:v>
                </c:pt>
                <c:pt idx="2">
                  <c:v>0.70344976610270449</c:v>
                </c:pt>
                <c:pt idx="3">
                  <c:v>0.74155913881083557</c:v>
                </c:pt>
                <c:pt idx="4">
                  <c:v>0.60009866034896342</c:v>
                </c:pt>
                <c:pt idx="5">
                  <c:v>0.59192830948982833</c:v>
                </c:pt>
                <c:pt idx="6">
                  <c:v>0.44636068965042952</c:v>
                </c:pt>
                <c:pt idx="7">
                  <c:v>0.32928782026131898</c:v>
                </c:pt>
                <c:pt idx="8">
                  <c:v>0.31441253304962447</c:v>
                </c:pt>
                <c:pt idx="9">
                  <c:v>0.59702283518204102</c:v>
                </c:pt>
                <c:pt idx="10">
                  <c:v>0.61686377972904949</c:v>
                </c:pt>
                <c:pt idx="11">
                  <c:v>0.70392532953430853</c:v>
                </c:pt>
                <c:pt idx="12">
                  <c:v>0.60986974870831556</c:v>
                </c:pt>
                <c:pt idx="13">
                  <c:v>0.58270093349344931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8EB-4D5A-8843-E79B0013EBE5}"/>
            </c:ext>
          </c:extLst>
        </c:ser>
        <c:ser>
          <c:idx val="2"/>
          <c:order val="2"/>
          <c:tx>
            <c:v>Riziká</c:v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'G73'!$B$2:$O$2</c:f>
              <c:numCache>
                <c:formatCode>General</c:formatCode>
                <c:ptCount val="14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</c:numCache>
            </c:numRef>
          </c:cat>
          <c:val>
            <c:numRef>
              <c:f>'G73'!$B$8:$O$8</c:f>
              <c:numCache>
                <c:formatCode>General</c:formatCode>
                <c:ptCount val="14"/>
                <c:pt idx="10" formatCode="#\ ##0.0">
                  <c:v>0.13303424479412701</c:v>
                </c:pt>
                <c:pt idx="11" formatCode="#\ ##0.0">
                  <c:v>0</c:v>
                </c:pt>
                <c:pt idx="12" formatCode="#\ ##0.0">
                  <c:v>1.9903870050003068E-2</c:v>
                </c:pt>
                <c:pt idx="13" formatCode="#\ ##0.0">
                  <c:v>4.7072685264869456E-2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F8EB-4D5A-8843-E79B0013EB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531531488"/>
        <c:axId val="530667328"/>
      </c:barChart>
      <c:lineChart>
        <c:grouping val="standard"/>
        <c:varyColors val="0"/>
        <c:ser>
          <c:idx val="1"/>
          <c:order val="1"/>
          <c:tx>
            <c:v>Priemer 2006-2016</c:v>
          </c:tx>
          <c:spPr>
            <a:ln w="28575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'G73'!$B$2:$O$2</c:f>
              <c:numCache>
                <c:formatCode>General</c:formatCode>
                <c:ptCount val="14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</c:numCache>
            </c:numRef>
          </c:cat>
          <c:val>
            <c:numRef>
              <c:f>'G73'!$B$9:$O$9</c:f>
              <c:numCache>
                <c:formatCode>#\ ##0.0</c:formatCode>
                <c:ptCount val="14"/>
                <c:pt idx="0">
                  <c:v>0.63217340673378897</c:v>
                </c:pt>
                <c:pt idx="1">
                  <c:v>0.63217340673378897</c:v>
                </c:pt>
                <c:pt idx="2">
                  <c:v>0.63217340673378897</c:v>
                </c:pt>
                <c:pt idx="3">
                  <c:v>0.63217340673378897</c:v>
                </c:pt>
                <c:pt idx="4">
                  <c:v>0.63217340673378897</c:v>
                </c:pt>
                <c:pt idx="5">
                  <c:v>0.63217340673378897</c:v>
                </c:pt>
                <c:pt idx="6">
                  <c:v>0.63217340673378897</c:v>
                </c:pt>
                <c:pt idx="7">
                  <c:v>0.63217340673378897</c:v>
                </c:pt>
                <c:pt idx="8">
                  <c:v>0.63217340673378897</c:v>
                </c:pt>
                <c:pt idx="9">
                  <c:v>0.63217340673378897</c:v>
                </c:pt>
                <c:pt idx="10">
                  <c:v>0.63217340673378897</c:v>
                </c:pt>
                <c:pt idx="11">
                  <c:v>0.63217340673378897</c:v>
                </c:pt>
                <c:pt idx="12">
                  <c:v>0.63217340673378897</c:v>
                </c:pt>
                <c:pt idx="13">
                  <c:v>0.63217340673378897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8EB-4D5A-8843-E79B0013EB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1531488"/>
        <c:axId val="530667328"/>
      </c:lineChart>
      <c:catAx>
        <c:axId val="5315314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530667328"/>
        <c:crosses val="autoZero"/>
        <c:auto val="1"/>
        <c:lblAlgn val="ctr"/>
        <c:lblOffset val="100"/>
        <c:noMultiLvlLbl val="0"/>
      </c:catAx>
      <c:valAx>
        <c:axId val="5306673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#\ 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5315314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6.7268153980752407E-2"/>
          <c:y val="7.6913769925100822E-2"/>
          <c:w val="0.5144461942257218"/>
          <c:h val="0.1346559119134498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onstantia" panose="02030602050306030303" pitchFamily="18" charset="0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latin typeface="Constantia" panose="02030602050306030303" pitchFamily="18" charset="0"/>
        </a:defRPr>
      </a:pPr>
      <a:endParaRPr lang="sk-SK"/>
    </a:p>
  </c:txPr>
  <c:printSettings>
    <c:headerFooter/>
    <c:pageMargins b="0.75" l="0.7" r="0.7" t="0.75" header="0.3" footer="0.3"/>
    <c:pageSetup/>
  </c:printSettings>
  <c:userShapes r:id="rId3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734492563429572"/>
          <c:y val="5.0925925925925923E-2"/>
          <c:w val="0.86321062992125985"/>
          <c:h val="0.60049212598425195"/>
        </c:manualLayout>
      </c:layout>
      <c:lineChart>
        <c:grouping val="standard"/>
        <c:varyColors val="0"/>
        <c:ser>
          <c:idx val="0"/>
          <c:order val="0"/>
          <c:tx>
            <c:strRef>
              <c:f>'G74'!$A$2</c:f>
              <c:strCache>
                <c:ptCount val="1"/>
                <c:pt idx="0">
                  <c:v>jednotlivec</c:v>
                </c:pt>
              </c:strCache>
            </c:strRef>
          </c:tx>
          <c:spPr>
            <a:ln w="28575" cap="rnd">
              <a:solidFill>
                <a:srgbClr val="13B5EA"/>
              </a:solidFill>
              <a:round/>
            </a:ln>
            <a:effectLst/>
          </c:spPr>
          <c:marker>
            <c:symbol val="none"/>
          </c:marker>
          <c:cat>
            <c:numRef>
              <c:f>'G74'!$B$1:$DB$1</c:f>
              <c:numCache>
                <c:formatCode>mmm\-yy</c:formatCode>
                <c:ptCount val="105"/>
                <c:pt idx="0">
                  <c:v>39448</c:v>
                </c:pt>
                <c:pt idx="1">
                  <c:v>39479</c:v>
                </c:pt>
                <c:pt idx="2">
                  <c:v>39508</c:v>
                </c:pt>
                <c:pt idx="3">
                  <c:v>39539</c:v>
                </c:pt>
                <c:pt idx="4">
                  <c:v>39569</c:v>
                </c:pt>
                <c:pt idx="5">
                  <c:v>39600</c:v>
                </c:pt>
                <c:pt idx="6">
                  <c:v>39630</c:v>
                </c:pt>
                <c:pt idx="7">
                  <c:v>39661</c:v>
                </c:pt>
                <c:pt idx="8">
                  <c:v>39692</c:v>
                </c:pt>
                <c:pt idx="9">
                  <c:v>39722</c:v>
                </c:pt>
                <c:pt idx="10">
                  <c:v>39753</c:v>
                </c:pt>
                <c:pt idx="11">
                  <c:v>39783</c:v>
                </c:pt>
                <c:pt idx="12">
                  <c:v>39814</c:v>
                </c:pt>
                <c:pt idx="13">
                  <c:v>39845</c:v>
                </c:pt>
                <c:pt idx="14">
                  <c:v>39873</c:v>
                </c:pt>
                <c:pt idx="15">
                  <c:v>39904</c:v>
                </c:pt>
                <c:pt idx="16">
                  <c:v>39934</c:v>
                </c:pt>
                <c:pt idx="17">
                  <c:v>39965</c:v>
                </c:pt>
                <c:pt idx="18">
                  <c:v>39995</c:v>
                </c:pt>
                <c:pt idx="19">
                  <c:v>40026</c:v>
                </c:pt>
                <c:pt idx="20">
                  <c:v>40057</c:v>
                </c:pt>
                <c:pt idx="21">
                  <c:v>40087</c:v>
                </c:pt>
                <c:pt idx="22">
                  <c:v>40118</c:v>
                </c:pt>
                <c:pt idx="23">
                  <c:v>40148</c:v>
                </c:pt>
                <c:pt idx="24">
                  <c:v>40179</c:v>
                </c:pt>
                <c:pt idx="25">
                  <c:v>40210</c:v>
                </c:pt>
                <c:pt idx="26">
                  <c:v>40238</c:v>
                </c:pt>
                <c:pt idx="27">
                  <c:v>40269</c:v>
                </c:pt>
                <c:pt idx="28">
                  <c:v>40299</c:v>
                </c:pt>
                <c:pt idx="29">
                  <c:v>40330</c:v>
                </c:pt>
                <c:pt idx="30">
                  <c:v>40360</c:v>
                </c:pt>
                <c:pt idx="31">
                  <c:v>40391</c:v>
                </c:pt>
                <c:pt idx="32">
                  <c:v>40422</c:v>
                </c:pt>
                <c:pt idx="33">
                  <c:v>40452</c:v>
                </c:pt>
                <c:pt idx="34">
                  <c:v>40483</c:v>
                </c:pt>
                <c:pt idx="35">
                  <c:v>40513</c:v>
                </c:pt>
                <c:pt idx="36">
                  <c:v>40544</c:v>
                </c:pt>
                <c:pt idx="37">
                  <c:v>40575</c:v>
                </c:pt>
                <c:pt idx="38">
                  <c:v>40603</c:v>
                </c:pt>
                <c:pt idx="39">
                  <c:v>40634</c:v>
                </c:pt>
                <c:pt idx="40">
                  <c:v>40664</c:v>
                </c:pt>
                <c:pt idx="41">
                  <c:v>40695</c:v>
                </c:pt>
                <c:pt idx="42">
                  <c:v>40725</c:v>
                </c:pt>
                <c:pt idx="43">
                  <c:v>40756</c:v>
                </c:pt>
                <c:pt idx="44">
                  <c:v>40787</c:v>
                </c:pt>
                <c:pt idx="45">
                  <c:v>40817</c:v>
                </c:pt>
                <c:pt idx="46">
                  <c:v>40848</c:v>
                </c:pt>
                <c:pt idx="47">
                  <c:v>40878</c:v>
                </c:pt>
                <c:pt idx="48">
                  <c:v>40909</c:v>
                </c:pt>
                <c:pt idx="49">
                  <c:v>40940</c:v>
                </c:pt>
                <c:pt idx="50">
                  <c:v>40969</c:v>
                </c:pt>
                <c:pt idx="51">
                  <c:v>41000</c:v>
                </c:pt>
                <c:pt idx="52">
                  <c:v>41030</c:v>
                </c:pt>
                <c:pt idx="53">
                  <c:v>41061</c:v>
                </c:pt>
                <c:pt idx="54">
                  <c:v>41091</c:v>
                </c:pt>
                <c:pt idx="55">
                  <c:v>41122</c:v>
                </c:pt>
                <c:pt idx="56">
                  <c:v>41153</c:v>
                </c:pt>
                <c:pt idx="57">
                  <c:v>41183</c:v>
                </c:pt>
                <c:pt idx="58">
                  <c:v>41214</c:v>
                </c:pt>
                <c:pt idx="59">
                  <c:v>41244</c:v>
                </c:pt>
                <c:pt idx="60">
                  <c:v>41275</c:v>
                </c:pt>
                <c:pt idx="61">
                  <c:v>41306</c:v>
                </c:pt>
                <c:pt idx="62">
                  <c:v>41334</c:v>
                </c:pt>
                <c:pt idx="63">
                  <c:v>41365</c:v>
                </c:pt>
                <c:pt idx="64">
                  <c:v>41395</c:v>
                </c:pt>
                <c:pt idx="65">
                  <c:v>41426</c:v>
                </c:pt>
                <c:pt idx="66">
                  <c:v>41456</c:v>
                </c:pt>
                <c:pt idx="67">
                  <c:v>41487</c:v>
                </c:pt>
                <c:pt idx="68">
                  <c:v>41518</c:v>
                </c:pt>
                <c:pt idx="69">
                  <c:v>41548</c:v>
                </c:pt>
                <c:pt idx="70">
                  <c:v>41579</c:v>
                </c:pt>
                <c:pt idx="71">
                  <c:v>41609</c:v>
                </c:pt>
                <c:pt idx="72">
                  <c:v>41640</c:v>
                </c:pt>
                <c:pt idx="73">
                  <c:v>41671</c:v>
                </c:pt>
                <c:pt idx="74">
                  <c:v>41699</c:v>
                </c:pt>
                <c:pt idx="75">
                  <c:v>41730</c:v>
                </c:pt>
                <c:pt idx="76">
                  <c:v>41760</c:v>
                </c:pt>
                <c:pt idx="77">
                  <c:v>41791</c:v>
                </c:pt>
                <c:pt idx="78">
                  <c:v>41821</c:v>
                </c:pt>
                <c:pt idx="79">
                  <c:v>41852</c:v>
                </c:pt>
                <c:pt idx="80">
                  <c:v>41883</c:v>
                </c:pt>
                <c:pt idx="81">
                  <c:v>41913</c:v>
                </c:pt>
                <c:pt idx="82">
                  <c:v>41944</c:v>
                </c:pt>
                <c:pt idx="83">
                  <c:v>41974</c:v>
                </c:pt>
                <c:pt idx="84">
                  <c:v>42005</c:v>
                </c:pt>
                <c:pt idx="85">
                  <c:v>42036</c:v>
                </c:pt>
                <c:pt idx="86">
                  <c:v>42064</c:v>
                </c:pt>
                <c:pt idx="87">
                  <c:v>42095</c:v>
                </c:pt>
                <c:pt idx="88">
                  <c:v>42125</c:v>
                </c:pt>
                <c:pt idx="89">
                  <c:v>42156</c:v>
                </c:pt>
                <c:pt idx="90">
                  <c:v>42186</c:v>
                </c:pt>
                <c:pt idx="91">
                  <c:v>42217</c:v>
                </c:pt>
                <c:pt idx="92">
                  <c:v>42248</c:v>
                </c:pt>
                <c:pt idx="93">
                  <c:v>42278</c:v>
                </c:pt>
                <c:pt idx="94">
                  <c:v>42309</c:v>
                </c:pt>
                <c:pt idx="95">
                  <c:v>42339</c:v>
                </c:pt>
                <c:pt idx="96">
                  <c:v>42370</c:v>
                </c:pt>
                <c:pt idx="97">
                  <c:v>42401</c:v>
                </c:pt>
                <c:pt idx="98">
                  <c:v>42430</c:v>
                </c:pt>
                <c:pt idx="99">
                  <c:v>42461</c:v>
                </c:pt>
                <c:pt idx="100">
                  <c:v>42491</c:v>
                </c:pt>
                <c:pt idx="101">
                  <c:v>42522</c:v>
                </c:pt>
                <c:pt idx="102">
                  <c:v>42552</c:v>
                </c:pt>
                <c:pt idx="103">
                  <c:v>42583</c:v>
                </c:pt>
                <c:pt idx="104">
                  <c:v>42614</c:v>
                </c:pt>
              </c:numCache>
            </c:numRef>
          </c:cat>
          <c:val>
            <c:numRef>
              <c:f>'G74'!$B$2:$DB$2</c:f>
              <c:numCache>
                <c:formatCode>#,##0</c:formatCode>
                <c:ptCount val="105"/>
                <c:pt idx="0">
                  <c:v>113378</c:v>
                </c:pt>
                <c:pt idx="1">
                  <c:v>113767</c:v>
                </c:pt>
                <c:pt idx="2">
                  <c:v>113298</c:v>
                </c:pt>
                <c:pt idx="3">
                  <c:v>112151</c:v>
                </c:pt>
                <c:pt idx="4">
                  <c:v>110395</c:v>
                </c:pt>
                <c:pt idx="5">
                  <c:v>108557</c:v>
                </c:pt>
                <c:pt idx="6">
                  <c:v>106343</c:v>
                </c:pt>
                <c:pt idx="7">
                  <c:v>94722</c:v>
                </c:pt>
                <c:pt idx="8">
                  <c:v>96407</c:v>
                </c:pt>
                <c:pt idx="9">
                  <c:v>96359</c:v>
                </c:pt>
                <c:pt idx="10">
                  <c:v>96851</c:v>
                </c:pt>
                <c:pt idx="11">
                  <c:v>97557</c:v>
                </c:pt>
                <c:pt idx="12">
                  <c:v>100201</c:v>
                </c:pt>
                <c:pt idx="13">
                  <c:v>89443</c:v>
                </c:pt>
                <c:pt idx="14">
                  <c:v>95518</c:v>
                </c:pt>
                <c:pt idx="15">
                  <c:v>99042</c:v>
                </c:pt>
                <c:pt idx="16">
                  <c:v>100596</c:v>
                </c:pt>
                <c:pt idx="17">
                  <c:v>101827</c:v>
                </c:pt>
                <c:pt idx="18">
                  <c:v>103542</c:v>
                </c:pt>
                <c:pt idx="19">
                  <c:v>105153</c:v>
                </c:pt>
                <c:pt idx="20">
                  <c:v>106785</c:v>
                </c:pt>
                <c:pt idx="21">
                  <c:v>107113</c:v>
                </c:pt>
                <c:pt idx="22">
                  <c:v>108998</c:v>
                </c:pt>
                <c:pt idx="23">
                  <c:v>111651</c:v>
                </c:pt>
                <c:pt idx="24">
                  <c:v>113058</c:v>
                </c:pt>
                <c:pt idx="25">
                  <c:v>113175</c:v>
                </c:pt>
                <c:pt idx="26">
                  <c:v>117507</c:v>
                </c:pt>
                <c:pt idx="27">
                  <c:v>119447</c:v>
                </c:pt>
                <c:pt idx="28">
                  <c:v>119292</c:v>
                </c:pt>
                <c:pt idx="29">
                  <c:v>118532</c:v>
                </c:pt>
                <c:pt idx="30">
                  <c:v>118278</c:v>
                </c:pt>
                <c:pt idx="31">
                  <c:v>118383</c:v>
                </c:pt>
                <c:pt idx="32">
                  <c:v>118865</c:v>
                </c:pt>
                <c:pt idx="33">
                  <c:v>118366</c:v>
                </c:pt>
                <c:pt idx="34">
                  <c:v>117672</c:v>
                </c:pt>
                <c:pt idx="35">
                  <c:v>117640</c:v>
                </c:pt>
                <c:pt idx="36">
                  <c:v>117017</c:v>
                </c:pt>
                <c:pt idx="37">
                  <c:v>114626</c:v>
                </c:pt>
                <c:pt idx="38">
                  <c:v>116985</c:v>
                </c:pt>
                <c:pt idx="39">
                  <c:v>117948</c:v>
                </c:pt>
                <c:pt idx="40">
                  <c:v>117205</c:v>
                </c:pt>
                <c:pt idx="41">
                  <c:v>116372</c:v>
                </c:pt>
                <c:pt idx="42">
                  <c:v>115939</c:v>
                </c:pt>
                <c:pt idx="43">
                  <c:v>116390</c:v>
                </c:pt>
                <c:pt idx="44">
                  <c:v>116654</c:v>
                </c:pt>
                <c:pt idx="45">
                  <c:v>116245</c:v>
                </c:pt>
                <c:pt idx="46">
                  <c:v>115601</c:v>
                </c:pt>
                <c:pt idx="47">
                  <c:v>115932</c:v>
                </c:pt>
                <c:pt idx="48">
                  <c:v>116177</c:v>
                </c:pt>
                <c:pt idx="49">
                  <c:v>112535</c:v>
                </c:pt>
                <c:pt idx="50">
                  <c:v>115441</c:v>
                </c:pt>
                <c:pt idx="51">
                  <c:v>116005</c:v>
                </c:pt>
                <c:pt idx="52">
                  <c:v>114779</c:v>
                </c:pt>
                <c:pt idx="53">
                  <c:v>114002</c:v>
                </c:pt>
                <c:pt idx="54">
                  <c:v>113457</c:v>
                </c:pt>
                <c:pt idx="55">
                  <c:v>113807</c:v>
                </c:pt>
                <c:pt idx="56">
                  <c:v>113980</c:v>
                </c:pt>
                <c:pt idx="57">
                  <c:v>114020</c:v>
                </c:pt>
                <c:pt idx="58">
                  <c:v>114018</c:v>
                </c:pt>
                <c:pt idx="59">
                  <c:v>115311</c:v>
                </c:pt>
                <c:pt idx="60">
                  <c:v>115742</c:v>
                </c:pt>
                <c:pt idx="61">
                  <c:v>112602</c:v>
                </c:pt>
                <c:pt idx="62">
                  <c:v>115869</c:v>
                </c:pt>
                <c:pt idx="63">
                  <c:v>117216</c:v>
                </c:pt>
                <c:pt idx="64">
                  <c:v>116960</c:v>
                </c:pt>
                <c:pt idx="65">
                  <c:v>116226</c:v>
                </c:pt>
                <c:pt idx="66">
                  <c:v>116181</c:v>
                </c:pt>
                <c:pt idx="67">
                  <c:v>116633</c:v>
                </c:pt>
                <c:pt idx="68">
                  <c:v>116739</c:v>
                </c:pt>
                <c:pt idx="69">
                  <c:v>116413</c:v>
                </c:pt>
                <c:pt idx="70">
                  <c:v>115487</c:v>
                </c:pt>
                <c:pt idx="71">
                  <c:v>115209</c:v>
                </c:pt>
                <c:pt idx="72">
                  <c:v>114454</c:v>
                </c:pt>
                <c:pt idx="73">
                  <c:v>106864</c:v>
                </c:pt>
                <c:pt idx="74">
                  <c:v>107950</c:v>
                </c:pt>
                <c:pt idx="75">
                  <c:v>107683</c:v>
                </c:pt>
                <c:pt idx="76">
                  <c:v>106062</c:v>
                </c:pt>
                <c:pt idx="77">
                  <c:v>104269</c:v>
                </c:pt>
                <c:pt idx="78">
                  <c:v>101920</c:v>
                </c:pt>
                <c:pt idx="79">
                  <c:v>96697</c:v>
                </c:pt>
                <c:pt idx="80">
                  <c:v>93165</c:v>
                </c:pt>
                <c:pt idx="81">
                  <c:v>90699</c:v>
                </c:pt>
                <c:pt idx="82">
                  <c:v>88493</c:v>
                </c:pt>
                <c:pt idx="83">
                  <c:v>87471</c:v>
                </c:pt>
                <c:pt idx="84">
                  <c:v>86585</c:v>
                </c:pt>
                <c:pt idx="85">
                  <c:v>82516</c:v>
                </c:pt>
                <c:pt idx="86">
                  <c:v>82439</c:v>
                </c:pt>
                <c:pt idx="87">
                  <c:v>81359</c:v>
                </c:pt>
                <c:pt idx="88">
                  <c:v>79043</c:v>
                </c:pt>
                <c:pt idx="89">
                  <c:v>75363</c:v>
                </c:pt>
                <c:pt idx="90">
                  <c:v>72987</c:v>
                </c:pt>
                <c:pt idx="91">
                  <c:v>71051</c:v>
                </c:pt>
                <c:pt idx="92">
                  <c:v>69667</c:v>
                </c:pt>
                <c:pt idx="93">
                  <c:v>68609</c:v>
                </c:pt>
                <c:pt idx="94">
                  <c:v>66288</c:v>
                </c:pt>
                <c:pt idx="95">
                  <c:v>67056</c:v>
                </c:pt>
                <c:pt idx="96">
                  <c:v>66219</c:v>
                </c:pt>
                <c:pt idx="97">
                  <c:v>65239</c:v>
                </c:pt>
                <c:pt idx="98">
                  <c:v>64992</c:v>
                </c:pt>
                <c:pt idx="99">
                  <c:v>63862</c:v>
                </c:pt>
                <c:pt idx="100">
                  <c:v>62140</c:v>
                </c:pt>
                <c:pt idx="101">
                  <c:v>60518</c:v>
                </c:pt>
                <c:pt idx="102">
                  <c:v>58961</c:v>
                </c:pt>
                <c:pt idx="103">
                  <c:v>57474</c:v>
                </c:pt>
                <c:pt idx="104">
                  <c:v>56754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71D-49ED-B1A1-BED86619213D}"/>
            </c:ext>
          </c:extLst>
        </c:ser>
        <c:ser>
          <c:idx val="1"/>
          <c:order val="1"/>
          <c:tx>
            <c:strRef>
              <c:f>'G74'!$A$3</c:f>
              <c:strCache>
                <c:ptCount val="1"/>
                <c:pt idx="0">
                  <c:v>jednotlivec s 1 – 4 deťmi</c:v>
                </c:pt>
              </c:strCache>
            </c:strRef>
          </c:tx>
          <c:spPr>
            <a:ln w="28575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cat>
            <c:numRef>
              <c:f>'G74'!$B$1:$DB$1</c:f>
              <c:numCache>
                <c:formatCode>mmm\-yy</c:formatCode>
                <c:ptCount val="105"/>
                <c:pt idx="0">
                  <c:v>39448</c:v>
                </c:pt>
                <c:pt idx="1">
                  <c:v>39479</c:v>
                </c:pt>
                <c:pt idx="2">
                  <c:v>39508</c:v>
                </c:pt>
                <c:pt idx="3">
                  <c:v>39539</c:v>
                </c:pt>
                <c:pt idx="4">
                  <c:v>39569</c:v>
                </c:pt>
                <c:pt idx="5">
                  <c:v>39600</c:v>
                </c:pt>
                <c:pt idx="6">
                  <c:v>39630</c:v>
                </c:pt>
                <c:pt idx="7">
                  <c:v>39661</c:v>
                </c:pt>
                <c:pt idx="8">
                  <c:v>39692</c:v>
                </c:pt>
                <c:pt idx="9">
                  <c:v>39722</c:v>
                </c:pt>
                <c:pt idx="10">
                  <c:v>39753</c:v>
                </c:pt>
                <c:pt idx="11">
                  <c:v>39783</c:v>
                </c:pt>
                <c:pt idx="12">
                  <c:v>39814</c:v>
                </c:pt>
                <c:pt idx="13">
                  <c:v>39845</c:v>
                </c:pt>
                <c:pt idx="14">
                  <c:v>39873</c:v>
                </c:pt>
                <c:pt idx="15">
                  <c:v>39904</c:v>
                </c:pt>
                <c:pt idx="16">
                  <c:v>39934</c:v>
                </c:pt>
                <c:pt idx="17">
                  <c:v>39965</c:v>
                </c:pt>
                <c:pt idx="18">
                  <c:v>39995</c:v>
                </c:pt>
                <c:pt idx="19">
                  <c:v>40026</c:v>
                </c:pt>
                <c:pt idx="20">
                  <c:v>40057</c:v>
                </c:pt>
                <c:pt idx="21">
                  <c:v>40087</c:v>
                </c:pt>
                <c:pt idx="22">
                  <c:v>40118</c:v>
                </c:pt>
                <c:pt idx="23">
                  <c:v>40148</c:v>
                </c:pt>
                <c:pt idx="24">
                  <c:v>40179</c:v>
                </c:pt>
                <c:pt idx="25">
                  <c:v>40210</c:v>
                </c:pt>
                <c:pt idx="26">
                  <c:v>40238</c:v>
                </c:pt>
                <c:pt idx="27">
                  <c:v>40269</c:v>
                </c:pt>
                <c:pt idx="28">
                  <c:v>40299</c:v>
                </c:pt>
                <c:pt idx="29">
                  <c:v>40330</c:v>
                </c:pt>
                <c:pt idx="30">
                  <c:v>40360</c:v>
                </c:pt>
                <c:pt idx="31">
                  <c:v>40391</c:v>
                </c:pt>
                <c:pt idx="32">
                  <c:v>40422</c:v>
                </c:pt>
                <c:pt idx="33">
                  <c:v>40452</c:v>
                </c:pt>
                <c:pt idx="34">
                  <c:v>40483</c:v>
                </c:pt>
                <c:pt idx="35">
                  <c:v>40513</c:v>
                </c:pt>
                <c:pt idx="36">
                  <c:v>40544</c:v>
                </c:pt>
                <c:pt idx="37">
                  <c:v>40575</c:v>
                </c:pt>
                <c:pt idx="38">
                  <c:v>40603</c:v>
                </c:pt>
                <c:pt idx="39">
                  <c:v>40634</c:v>
                </c:pt>
                <c:pt idx="40">
                  <c:v>40664</c:v>
                </c:pt>
                <c:pt idx="41">
                  <c:v>40695</c:v>
                </c:pt>
                <c:pt idx="42">
                  <c:v>40725</c:v>
                </c:pt>
                <c:pt idx="43">
                  <c:v>40756</c:v>
                </c:pt>
                <c:pt idx="44">
                  <c:v>40787</c:v>
                </c:pt>
                <c:pt idx="45">
                  <c:v>40817</c:v>
                </c:pt>
                <c:pt idx="46">
                  <c:v>40848</c:v>
                </c:pt>
                <c:pt idx="47">
                  <c:v>40878</c:v>
                </c:pt>
                <c:pt idx="48">
                  <c:v>40909</c:v>
                </c:pt>
                <c:pt idx="49">
                  <c:v>40940</c:v>
                </c:pt>
                <c:pt idx="50">
                  <c:v>40969</c:v>
                </c:pt>
                <c:pt idx="51">
                  <c:v>41000</c:v>
                </c:pt>
                <c:pt idx="52">
                  <c:v>41030</c:v>
                </c:pt>
                <c:pt idx="53">
                  <c:v>41061</c:v>
                </c:pt>
                <c:pt idx="54">
                  <c:v>41091</c:v>
                </c:pt>
                <c:pt idx="55">
                  <c:v>41122</c:v>
                </c:pt>
                <c:pt idx="56">
                  <c:v>41153</c:v>
                </c:pt>
                <c:pt idx="57">
                  <c:v>41183</c:v>
                </c:pt>
                <c:pt idx="58">
                  <c:v>41214</c:v>
                </c:pt>
                <c:pt idx="59">
                  <c:v>41244</c:v>
                </c:pt>
                <c:pt idx="60">
                  <c:v>41275</c:v>
                </c:pt>
                <c:pt idx="61">
                  <c:v>41306</c:v>
                </c:pt>
                <c:pt idx="62">
                  <c:v>41334</c:v>
                </c:pt>
                <c:pt idx="63">
                  <c:v>41365</c:v>
                </c:pt>
                <c:pt idx="64">
                  <c:v>41395</c:v>
                </c:pt>
                <c:pt idx="65">
                  <c:v>41426</c:v>
                </c:pt>
                <c:pt idx="66">
                  <c:v>41456</c:v>
                </c:pt>
                <c:pt idx="67">
                  <c:v>41487</c:v>
                </c:pt>
                <c:pt idx="68">
                  <c:v>41518</c:v>
                </c:pt>
                <c:pt idx="69">
                  <c:v>41548</c:v>
                </c:pt>
                <c:pt idx="70">
                  <c:v>41579</c:v>
                </c:pt>
                <c:pt idx="71">
                  <c:v>41609</c:v>
                </c:pt>
                <c:pt idx="72">
                  <c:v>41640</c:v>
                </c:pt>
                <c:pt idx="73">
                  <c:v>41671</c:v>
                </c:pt>
                <c:pt idx="74">
                  <c:v>41699</c:v>
                </c:pt>
                <c:pt idx="75">
                  <c:v>41730</c:v>
                </c:pt>
                <c:pt idx="76">
                  <c:v>41760</c:v>
                </c:pt>
                <c:pt idx="77">
                  <c:v>41791</c:v>
                </c:pt>
                <c:pt idx="78">
                  <c:v>41821</c:v>
                </c:pt>
                <c:pt idx="79">
                  <c:v>41852</c:v>
                </c:pt>
                <c:pt idx="80">
                  <c:v>41883</c:v>
                </c:pt>
                <c:pt idx="81">
                  <c:v>41913</c:v>
                </c:pt>
                <c:pt idx="82">
                  <c:v>41944</c:v>
                </c:pt>
                <c:pt idx="83">
                  <c:v>41974</c:v>
                </c:pt>
                <c:pt idx="84">
                  <c:v>42005</c:v>
                </c:pt>
                <c:pt idx="85">
                  <c:v>42036</c:v>
                </c:pt>
                <c:pt idx="86">
                  <c:v>42064</c:v>
                </c:pt>
                <c:pt idx="87">
                  <c:v>42095</c:v>
                </c:pt>
                <c:pt idx="88">
                  <c:v>42125</c:v>
                </c:pt>
                <c:pt idx="89">
                  <c:v>42156</c:v>
                </c:pt>
                <c:pt idx="90">
                  <c:v>42186</c:v>
                </c:pt>
                <c:pt idx="91">
                  <c:v>42217</c:v>
                </c:pt>
                <c:pt idx="92">
                  <c:v>42248</c:v>
                </c:pt>
                <c:pt idx="93">
                  <c:v>42278</c:v>
                </c:pt>
                <c:pt idx="94">
                  <c:v>42309</c:v>
                </c:pt>
                <c:pt idx="95">
                  <c:v>42339</c:v>
                </c:pt>
                <c:pt idx="96">
                  <c:v>42370</c:v>
                </c:pt>
                <c:pt idx="97">
                  <c:v>42401</c:v>
                </c:pt>
                <c:pt idx="98">
                  <c:v>42430</c:v>
                </c:pt>
                <c:pt idx="99">
                  <c:v>42461</c:v>
                </c:pt>
                <c:pt idx="100">
                  <c:v>42491</c:v>
                </c:pt>
                <c:pt idx="101">
                  <c:v>42522</c:v>
                </c:pt>
                <c:pt idx="102">
                  <c:v>42552</c:v>
                </c:pt>
                <c:pt idx="103">
                  <c:v>42583</c:v>
                </c:pt>
                <c:pt idx="104">
                  <c:v>42614</c:v>
                </c:pt>
              </c:numCache>
            </c:numRef>
          </c:cat>
          <c:val>
            <c:numRef>
              <c:f>'G74'!$B$3:$DB$3</c:f>
              <c:numCache>
                <c:formatCode>#,##0</c:formatCode>
                <c:ptCount val="105"/>
                <c:pt idx="0">
                  <c:v>17449</c:v>
                </c:pt>
                <c:pt idx="1">
                  <c:v>17311</c:v>
                </c:pt>
                <c:pt idx="2">
                  <c:v>17140</c:v>
                </c:pt>
                <c:pt idx="3">
                  <c:v>16902</c:v>
                </c:pt>
                <c:pt idx="4">
                  <c:v>16692</c:v>
                </c:pt>
                <c:pt idx="5">
                  <c:v>16321</c:v>
                </c:pt>
                <c:pt idx="6">
                  <c:v>15804</c:v>
                </c:pt>
                <c:pt idx="7">
                  <c:v>15189</c:v>
                </c:pt>
                <c:pt idx="8">
                  <c:v>14966</c:v>
                </c:pt>
                <c:pt idx="9">
                  <c:v>14834</c:v>
                </c:pt>
                <c:pt idx="10">
                  <c:v>14825</c:v>
                </c:pt>
                <c:pt idx="11">
                  <c:v>14957</c:v>
                </c:pt>
                <c:pt idx="12">
                  <c:v>15330</c:v>
                </c:pt>
                <c:pt idx="13">
                  <c:v>15722</c:v>
                </c:pt>
                <c:pt idx="14">
                  <c:v>16316</c:v>
                </c:pt>
                <c:pt idx="15">
                  <c:v>16778</c:v>
                </c:pt>
                <c:pt idx="16">
                  <c:v>17123</c:v>
                </c:pt>
                <c:pt idx="17">
                  <c:v>17442</c:v>
                </c:pt>
                <c:pt idx="18">
                  <c:v>17607</c:v>
                </c:pt>
                <c:pt idx="19">
                  <c:v>17781</c:v>
                </c:pt>
                <c:pt idx="20">
                  <c:v>18124</c:v>
                </c:pt>
                <c:pt idx="21">
                  <c:v>18293</c:v>
                </c:pt>
                <c:pt idx="22">
                  <c:v>18559</c:v>
                </c:pt>
                <c:pt idx="23">
                  <c:v>19051</c:v>
                </c:pt>
                <c:pt idx="24">
                  <c:v>19145</c:v>
                </c:pt>
                <c:pt idx="25">
                  <c:v>19462</c:v>
                </c:pt>
                <c:pt idx="26">
                  <c:v>19915</c:v>
                </c:pt>
                <c:pt idx="27">
                  <c:v>20244</c:v>
                </c:pt>
                <c:pt idx="28">
                  <c:v>20324</c:v>
                </c:pt>
                <c:pt idx="29">
                  <c:v>20234</c:v>
                </c:pt>
                <c:pt idx="30">
                  <c:v>20147</c:v>
                </c:pt>
                <c:pt idx="31">
                  <c:v>19989</c:v>
                </c:pt>
                <c:pt idx="32">
                  <c:v>20110</c:v>
                </c:pt>
                <c:pt idx="33">
                  <c:v>20189</c:v>
                </c:pt>
                <c:pt idx="34">
                  <c:v>20177</c:v>
                </c:pt>
                <c:pt idx="35">
                  <c:v>20216</c:v>
                </c:pt>
                <c:pt idx="36">
                  <c:v>20063</c:v>
                </c:pt>
                <c:pt idx="37">
                  <c:v>20129</c:v>
                </c:pt>
                <c:pt idx="38">
                  <c:v>20244</c:v>
                </c:pt>
                <c:pt idx="39">
                  <c:v>20382</c:v>
                </c:pt>
                <c:pt idx="40">
                  <c:v>20243</c:v>
                </c:pt>
                <c:pt idx="41">
                  <c:v>20168</c:v>
                </c:pt>
                <c:pt idx="42">
                  <c:v>20047</c:v>
                </c:pt>
                <c:pt idx="43">
                  <c:v>20009</c:v>
                </c:pt>
                <c:pt idx="44">
                  <c:v>20060</c:v>
                </c:pt>
                <c:pt idx="45">
                  <c:v>19997</c:v>
                </c:pt>
                <c:pt idx="46">
                  <c:v>19952</c:v>
                </c:pt>
                <c:pt idx="47">
                  <c:v>20101</c:v>
                </c:pt>
                <c:pt idx="48">
                  <c:v>19992</c:v>
                </c:pt>
                <c:pt idx="49">
                  <c:v>20057</c:v>
                </c:pt>
                <c:pt idx="50">
                  <c:v>20279</c:v>
                </c:pt>
                <c:pt idx="51">
                  <c:v>20271</c:v>
                </c:pt>
                <c:pt idx="52">
                  <c:v>20116</c:v>
                </c:pt>
                <c:pt idx="53">
                  <c:v>20015</c:v>
                </c:pt>
                <c:pt idx="54">
                  <c:v>19826</c:v>
                </c:pt>
                <c:pt idx="55">
                  <c:v>19735</c:v>
                </c:pt>
                <c:pt idx="56">
                  <c:v>19719</c:v>
                </c:pt>
                <c:pt idx="57">
                  <c:v>19738</c:v>
                </c:pt>
                <c:pt idx="58">
                  <c:v>19770</c:v>
                </c:pt>
                <c:pt idx="59">
                  <c:v>19945</c:v>
                </c:pt>
                <c:pt idx="60">
                  <c:v>19895</c:v>
                </c:pt>
                <c:pt idx="61">
                  <c:v>19960</c:v>
                </c:pt>
                <c:pt idx="62">
                  <c:v>20204</c:v>
                </c:pt>
                <c:pt idx="63">
                  <c:v>20455</c:v>
                </c:pt>
                <c:pt idx="64">
                  <c:v>20477</c:v>
                </c:pt>
                <c:pt idx="65">
                  <c:v>20511</c:v>
                </c:pt>
                <c:pt idx="66">
                  <c:v>20440</c:v>
                </c:pt>
                <c:pt idx="67">
                  <c:v>20380</c:v>
                </c:pt>
                <c:pt idx="68">
                  <c:v>20400</c:v>
                </c:pt>
                <c:pt idx="69">
                  <c:v>20270</c:v>
                </c:pt>
                <c:pt idx="70">
                  <c:v>20175</c:v>
                </c:pt>
                <c:pt idx="71">
                  <c:v>20231</c:v>
                </c:pt>
                <c:pt idx="72">
                  <c:v>20112</c:v>
                </c:pt>
                <c:pt idx="73">
                  <c:v>19751</c:v>
                </c:pt>
                <c:pt idx="74">
                  <c:v>19821</c:v>
                </c:pt>
                <c:pt idx="75">
                  <c:v>19702</c:v>
                </c:pt>
                <c:pt idx="76">
                  <c:v>19414</c:v>
                </c:pt>
                <c:pt idx="77">
                  <c:v>19153</c:v>
                </c:pt>
                <c:pt idx="78">
                  <c:v>18791</c:v>
                </c:pt>
                <c:pt idx="79">
                  <c:v>18107</c:v>
                </c:pt>
                <c:pt idx="80">
                  <c:v>17723</c:v>
                </c:pt>
                <c:pt idx="81">
                  <c:v>17468</c:v>
                </c:pt>
                <c:pt idx="82">
                  <c:v>17144</c:v>
                </c:pt>
                <c:pt idx="83">
                  <c:v>17074</c:v>
                </c:pt>
                <c:pt idx="84">
                  <c:v>16878</c:v>
                </c:pt>
                <c:pt idx="85">
                  <c:v>16750</c:v>
                </c:pt>
                <c:pt idx="86">
                  <c:v>16729</c:v>
                </c:pt>
                <c:pt idx="87">
                  <c:v>16571</c:v>
                </c:pt>
                <c:pt idx="88">
                  <c:v>16238</c:v>
                </c:pt>
                <c:pt idx="89">
                  <c:v>15835</c:v>
                </c:pt>
                <c:pt idx="90">
                  <c:v>15451</c:v>
                </c:pt>
                <c:pt idx="91">
                  <c:v>15210</c:v>
                </c:pt>
                <c:pt idx="92">
                  <c:v>15045</c:v>
                </c:pt>
                <c:pt idx="93">
                  <c:v>14836</c:v>
                </c:pt>
                <c:pt idx="94">
                  <c:v>14554</c:v>
                </c:pt>
                <c:pt idx="95">
                  <c:v>14607</c:v>
                </c:pt>
                <c:pt idx="96">
                  <c:v>14344</c:v>
                </c:pt>
                <c:pt idx="97">
                  <c:v>14110</c:v>
                </c:pt>
                <c:pt idx="98">
                  <c:v>14105</c:v>
                </c:pt>
                <c:pt idx="99">
                  <c:v>13934</c:v>
                </c:pt>
                <c:pt idx="100">
                  <c:v>13687</c:v>
                </c:pt>
                <c:pt idx="101">
                  <c:v>13492</c:v>
                </c:pt>
                <c:pt idx="102">
                  <c:v>13196</c:v>
                </c:pt>
                <c:pt idx="103">
                  <c:v>12909</c:v>
                </c:pt>
                <c:pt idx="104">
                  <c:v>12734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71D-49ED-B1A1-BED86619213D}"/>
            </c:ext>
          </c:extLst>
        </c:ser>
        <c:ser>
          <c:idx val="2"/>
          <c:order val="2"/>
          <c:tx>
            <c:strRef>
              <c:f>'G74'!$A$4</c:f>
              <c:strCache>
                <c:ptCount val="1"/>
                <c:pt idx="0">
                  <c:v>jednotlivec s viac ako 4 deťmi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'G74'!$B$1:$DB$1</c:f>
              <c:numCache>
                <c:formatCode>mmm\-yy</c:formatCode>
                <c:ptCount val="105"/>
                <c:pt idx="0">
                  <c:v>39448</c:v>
                </c:pt>
                <c:pt idx="1">
                  <c:v>39479</c:v>
                </c:pt>
                <c:pt idx="2">
                  <c:v>39508</c:v>
                </c:pt>
                <c:pt idx="3">
                  <c:v>39539</c:v>
                </c:pt>
                <c:pt idx="4">
                  <c:v>39569</c:v>
                </c:pt>
                <c:pt idx="5">
                  <c:v>39600</c:v>
                </c:pt>
                <c:pt idx="6">
                  <c:v>39630</c:v>
                </c:pt>
                <c:pt idx="7">
                  <c:v>39661</c:v>
                </c:pt>
                <c:pt idx="8">
                  <c:v>39692</c:v>
                </c:pt>
                <c:pt idx="9">
                  <c:v>39722</c:v>
                </c:pt>
                <c:pt idx="10">
                  <c:v>39753</c:v>
                </c:pt>
                <c:pt idx="11">
                  <c:v>39783</c:v>
                </c:pt>
                <c:pt idx="12">
                  <c:v>39814</c:v>
                </c:pt>
                <c:pt idx="13">
                  <c:v>39845</c:v>
                </c:pt>
                <c:pt idx="14">
                  <c:v>39873</c:v>
                </c:pt>
                <c:pt idx="15">
                  <c:v>39904</c:v>
                </c:pt>
                <c:pt idx="16">
                  <c:v>39934</c:v>
                </c:pt>
                <c:pt idx="17">
                  <c:v>39965</c:v>
                </c:pt>
                <c:pt idx="18">
                  <c:v>39995</c:v>
                </c:pt>
                <c:pt idx="19">
                  <c:v>40026</c:v>
                </c:pt>
                <c:pt idx="20">
                  <c:v>40057</c:v>
                </c:pt>
                <c:pt idx="21">
                  <c:v>40087</c:v>
                </c:pt>
                <c:pt idx="22">
                  <c:v>40118</c:v>
                </c:pt>
                <c:pt idx="23">
                  <c:v>40148</c:v>
                </c:pt>
                <c:pt idx="24">
                  <c:v>40179</c:v>
                </c:pt>
                <c:pt idx="25">
                  <c:v>40210</c:v>
                </c:pt>
                <c:pt idx="26">
                  <c:v>40238</c:v>
                </c:pt>
                <c:pt idx="27">
                  <c:v>40269</c:v>
                </c:pt>
                <c:pt idx="28">
                  <c:v>40299</c:v>
                </c:pt>
                <c:pt idx="29">
                  <c:v>40330</c:v>
                </c:pt>
                <c:pt idx="30">
                  <c:v>40360</c:v>
                </c:pt>
                <c:pt idx="31">
                  <c:v>40391</c:v>
                </c:pt>
                <c:pt idx="32">
                  <c:v>40422</c:v>
                </c:pt>
                <c:pt idx="33">
                  <c:v>40452</c:v>
                </c:pt>
                <c:pt idx="34">
                  <c:v>40483</c:v>
                </c:pt>
                <c:pt idx="35">
                  <c:v>40513</c:v>
                </c:pt>
                <c:pt idx="36">
                  <c:v>40544</c:v>
                </c:pt>
                <c:pt idx="37">
                  <c:v>40575</c:v>
                </c:pt>
                <c:pt idx="38">
                  <c:v>40603</c:v>
                </c:pt>
                <c:pt idx="39">
                  <c:v>40634</c:v>
                </c:pt>
                <c:pt idx="40">
                  <c:v>40664</c:v>
                </c:pt>
                <c:pt idx="41">
                  <c:v>40695</c:v>
                </c:pt>
                <c:pt idx="42">
                  <c:v>40725</c:v>
                </c:pt>
                <c:pt idx="43">
                  <c:v>40756</c:v>
                </c:pt>
                <c:pt idx="44">
                  <c:v>40787</c:v>
                </c:pt>
                <c:pt idx="45">
                  <c:v>40817</c:v>
                </c:pt>
                <c:pt idx="46">
                  <c:v>40848</c:v>
                </c:pt>
                <c:pt idx="47">
                  <c:v>40878</c:v>
                </c:pt>
                <c:pt idx="48">
                  <c:v>40909</c:v>
                </c:pt>
                <c:pt idx="49">
                  <c:v>40940</c:v>
                </c:pt>
                <c:pt idx="50">
                  <c:v>40969</c:v>
                </c:pt>
                <c:pt idx="51">
                  <c:v>41000</c:v>
                </c:pt>
                <c:pt idx="52">
                  <c:v>41030</c:v>
                </c:pt>
                <c:pt idx="53">
                  <c:v>41061</c:v>
                </c:pt>
                <c:pt idx="54">
                  <c:v>41091</c:v>
                </c:pt>
                <c:pt idx="55">
                  <c:v>41122</c:v>
                </c:pt>
                <c:pt idx="56">
                  <c:v>41153</c:v>
                </c:pt>
                <c:pt idx="57">
                  <c:v>41183</c:v>
                </c:pt>
                <c:pt idx="58">
                  <c:v>41214</c:v>
                </c:pt>
                <c:pt idx="59">
                  <c:v>41244</c:v>
                </c:pt>
                <c:pt idx="60">
                  <c:v>41275</c:v>
                </c:pt>
                <c:pt idx="61">
                  <c:v>41306</c:v>
                </c:pt>
                <c:pt idx="62">
                  <c:v>41334</c:v>
                </c:pt>
                <c:pt idx="63">
                  <c:v>41365</c:v>
                </c:pt>
                <c:pt idx="64">
                  <c:v>41395</c:v>
                </c:pt>
                <c:pt idx="65">
                  <c:v>41426</c:v>
                </c:pt>
                <c:pt idx="66">
                  <c:v>41456</c:v>
                </c:pt>
                <c:pt idx="67">
                  <c:v>41487</c:v>
                </c:pt>
                <c:pt idx="68">
                  <c:v>41518</c:v>
                </c:pt>
                <c:pt idx="69">
                  <c:v>41548</c:v>
                </c:pt>
                <c:pt idx="70">
                  <c:v>41579</c:v>
                </c:pt>
                <c:pt idx="71">
                  <c:v>41609</c:v>
                </c:pt>
                <c:pt idx="72">
                  <c:v>41640</c:v>
                </c:pt>
                <c:pt idx="73">
                  <c:v>41671</c:v>
                </c:pt>
                <c:pt idx="74">
                  <c:v>41699</c:v>
                </c:pt>
                <c:pt idx="75">
                  <c:v>41730</c:v>
                </c:pt>
                <c:pt idx="76">
                  <c:v>41760</c:v>
                </c:pt>
                <c:pt idx="77">
                  <c:v>41791</c:v>
                </c:pt>
                <c:pt idx="78">
                  <c:v>41821</c:v>
                </c:pt>
                <c:pt idx="79">
                  <c:v>41852</c:v>
                </c:pt>
                <c:pt idx="80">
                  <c:v>41883</c:v>
                </c:pt>
                <c:pt idx="81">
                  <c:v>41913</c:v>
                </c:pt>
                <c:pt idx="82">
                  <c:v>41944</c:v>
                </c:pt>
                <c:pt idx="83">
                  <c:v>41974</c:v>
                </c:pt>
                <c:pt idx="84">
                  <c:v>42005</c:v>
                </c:pt>
                <c:pt idx="85">
                  <c:v>42036</c:v>
                </c:pt>
                <c:pt idx="86">
                  <c:v>42064</c:v>
                </c:pt>
                <c:pt idx="87">
                  <c:v>42095</c:v>
                </c:pt>
                <c:pt idx="88">
                  <c:v>42125</c:v>
                </c:pt>
                <c:pt idx="89">
                  <c:v>42156</c:v>
                </c:pt>
                <c:pt idx="90">
                  <c:v>42186</c:v>
                </c:pt>
                <c:pt idx="91">
                  <c:v>42217</c:v>
                </c:pt>
                <c:pt idx="92">
                  <c:v>42248</c:v>
                </c:pt>
                <c:pt idx="93">
                  <c:v>42278</c:v>
                </c:pt>
                <c:pt idx="94">
                  <c:v>42309</c:v>
                </c:pt>
                <c:pt idx="95">
                  <c:v>42339</c:v>
                </c:pt>
                <c:pt idx="96">
                  <c:v>42370</c:v>
                </c:pt>
                <c:pt idx="97">
                  <c:v>42401</c:v>
                </c:pt>
                <c:pt idx="98">
                  <c:v>42430</c:v>
                </c:pt>
                <c:pt idx="99">
                  <c:v>42461</c:v>
                </c:pt>
                <c:pt idx="100">
                  <c:v>42491</c:v>
                </c:pt>
                <c:pt idx="101">
                  <c:v>42522</c:v>
                </c:pt>
                <c:pt idx="102">
                  <c:v>42552</c:v>
                </c:pt>
                <c:pt idx="103">
                  <c:v>42583</c:v>
                </c:pt>
                <c:pt idx="104">
                  <c:v>42614</c:v>
                </c:pt>
              </c:numCache>
            </c:numRef>
          </c:cat>
          <c:val>
            <c:numRef>
              <c:f>'G74'!$B$4:$DB$4</c:f>
              <c:numCache>
                <c:formatCode>#,##0</c:formatCode>
                <c:ptCount val="105"/>
                <c:pt idx="0">
                  <c:v>371</c:v>
                </c:pt>
                <c:pt idx="1">
                  <c:v>377</c:v>
                </c:pt>
                <c:pt idx="2">
                  <c:v>381</c:v>
                </c:pt>
                <c:pt idx="3">
                  <c:v>369</c:v>
                </c:pt>
                <c:pt idx="4">
                  <c:v>364</c:v>
                </c:pt>
                <c:pt idx="5">
                  <c:v>351</c:v>
                </c:pt>
                <c:pt idx="6">
                  <c:v>344</c:v>
                </c:pt>
                <c:pt idx="7">
                  <c:v>327</c:v>
                </c:pt>
                <c:pt idx="8">
                  <c:v>305</c:v>
                </c:pt>
                <c:pt idx="9">
                  <c:v>297</c:v>
                </c:pt>
                <c:pt idx="10">
                  <c:v>303</c:v>
                </c:pt>
                <c:pt idx="11">
                  <c:v>314</c:v>
                </c:pt>
                <c:pt idx="12">
                  <c:v>314</c:v>
                </c:pt>
                <c:pt idx="13">
                  <c:v>312</c:v>
                </c:pt>
                <c:pt idx="14">
                  <c:v>344</c:v>
                </c:pt>
                <c:pt idx="15">
                  <c:v>359</c:v>
                </c:pt>
                <c:pt idx="16">
                  <c:v>380</c:v>
                </c:pt>
                <c:pt idx="17">
                  <c:v>398</c:v>
                </c:pt>
                <c:pt idx="18">
                  <c:v>388</c:v>
                </c:pt>
                <c:pt idx="19">
                  <c:v>389</c:v>
                </c:pt>
                <c:pt idx="20">
                  <c:v>386</c:v>
                </c:pt>
                <c:pt idx="21">
                  <c:v>397</c:v>
                </c:pt>
                <c:pt idx="22">
                  <c:v>403</c:v>
                </c:pt>
                <c:pt idx="23">
                  <c:v>417</c:v>
                </c:pt>
                <c:pt idx="24">
                  <c:v>433</c:v>
                </c:pt>
                <c:pt idx="25">
                  <c:v>432</c:v>
                </c:pt>
                <c:pt idx="26">
                  <c:v>447</c:v>
                </c:pt>
                <c:pt idx="27">
                  <c:v>444</c:v>
                </c:pt>
                <c:pt idx="28">
                  <c:v>448</c:v>
                </c:pt>
                <c:pt idx="29">
                  <c:v>445</c:v>
                </c:pt>
                <c:pt idx="30">
                  <c:v>443</c:v>
                </c:pt>
                <c:pt idx="31">
                  <c:v>436</c:v>
                </c:pt>
                <c:pt idx="32">
                  <c:v>449</c:v>
                </c:pt>
                <c:pt idx="33">
                  <c:v>459</c:v>
                </c:pt>
                <c:pt idx="34">
                  <c:v>438</c:v>
                </c:pt>
                <c:pt idx="35">
                  <c:v>464</c:v>
                </c:pt>
                <c:pt idx="36">
                  <c:v>461</c:v>
                </c:pt>
                <c:pt idx="37">
                  <c:v>442</c:v>
                </c:pt>
                <c:pt idx="38">
                  <c:v>409</c:v>
                </c:pt>
                <c:pt idx="39">
                  <c:v>414</c:v>
                </c:pt>
                <c:pt idx="40">
                  <c:v>402</c:v>
                </c:pt>
                <c:pt idx="41">
                  <c:v>402</c:v>
                </c:pt>
                <c:pt idx="42">
                  <c:v>405</c:v>
                </c:pt>
                <c:pt idx="43">
                  <c:v>399</c:v>
                </c:pt>
                <c:pt idx="44">
                  <c:v>417</c:v>
                </c:pt>
                <c:pt idx="45">
                  <c:v>410</c:v>
                </c:pt>
                <c:pt idx="46">
                  <c:v>400</c:v>
                </c:pt>
                <c:pt idx="47">
                  <c:v>412</c:v>
                </c:pt>
                <c:pt idx="48">
                  <c:v>402</c:v>
                </c:pt>
                <c:pt idx="49">
                  <c:v>383</c:v>
                </c:pt>
                <c:pt idx="50">
                  <c:v>397</c:v>
                </c:pt>
                <c:pt idx="51">
                  <c:v>393</c:v>
                </c:pt>
                <c:pt idx="52">
                  <c:v>384</c:v>
                </c:pt>
                <c:pt idx="53">
                  <c:v>385</c:v>
                </c:pt>
                <c:pt idx="54">
                  <c:v>387</c:v>
                </c:pt>
                <c:pt idx="55">
                  <c:v>389</c:v>
                </c:pt>
                <c:pt idx="56">
                  <c:v>378</c:v>
                </c:pt>
                <c:pt idx="57">
                  <c:v>371</c:v>
                </c:pt>
                <c:pt idx="58">
                  <c:v>374</c:v>
                </c:pt>
                <c:pt idx="59">
                  <c:v>384</c:v>
                </c:pt>
                <c:pt idx="60">
                  <c:v>379</c:v>
                </c:pt>
                <c:pt idx="61">
                  <c:v>381</c:v>
                </c:pt>
                <c:pt idx="62">
                  <c:v>384</c:v>
                </c:pt>
                <c:pt idx="63">
                  <c:v>396</c:v>
                </c:pt>
                <c:pt idx="64">
                  <c:v>410</c:v>
                </c:pt>
                <c:pt idx="65">
                  <c:v>409</c:v>
                </c:pt>
                <c:pt idx="66">
                  <c:v>420</c:v>
                </c:pt>
                <c:pt idx="67">
                  <c:v>429</c:v>
                </c:pt>
                <c:pt idx="68">
                  <c:v>426</c:v>
                </c:pt>
                <c:pt idx="69">
                  <c:v>422</c:v>
                </c:pt>
                <c:pt idx="70">
                  <c:v>431</c:v>
                </c:pt>
                <c:pt idx="71">
                  <c:v>446</c:v>
                </c:pt>
                <c:pt idx="72">
                  <c:v>443</c:v>
                </c:pt>
                <c:pt idx="73">
                  <c:v>427</c:v>
                </c:pt>
                <c:pt idx="74">
                  <c:v>442</c:v>
                </c:pt>
                <c:pt idx="75">
                  <c:v>446</c:v>
                </c:pt>
                <c:pt idx="76">
                  <c:v>444</c:v>
                </c:pt>
                <c:pt idx="77">
                  <c:v>438</c:v>
                </c:pt>
                <c:pt idx="78">
                  <c:v>423</c:v>
                </c:pt>
                <c:pt idx="79">
                  <c:v>422</c:v>
                </c:pt>
                <c:pt idx="80">
                  <c:v>430</c:v>
                </c:pt>
                <c:pt idx="81">
                  <c:v>420</c:v>
                </c:pt>
                <c:pt idx="82">
                  <c:v>415</c:v>
                </c:pt>
                <c:pt idx="83">
                  <c:v>423</c:v>
                </c:pt>
                <c:pt idx="84">
                  <c:v>419</c:v>
                </c:pt>
                <c:pt idx="85">
                  <c:v>419</c:v>
                </c:pt>
                <c:pt idx="86">
                  <c:v>425</c:v>
                </c:pt>
                <c:pt idx="87">
                  <c:v>409</c:v>
                </c:pt>
                <c:pt idx="88">
                  <c:v>407</c:v>
                </c:pt>
                <c:pt idx="89">
                  <c:v>417</c:v>
                </c:pt>
                <c:pt idx="90">
                  <c:v>416</c:v>
                </c:pt>
                <c:pt idx="91">
                  <c:v>411</c:v>
                </c:pt>
                <c:pt idx="92">
                  <c:v>407</c:v>
                </c:pt>
                <c:pt idx="93">
                  <c:v>398</c:v>
                </c:pt>
                <c:pt idx="94">
                  <c:v>383</c:v>
                </c:pt>
                <c:pt idx="95">
                  <c:v>383</c:v>
                </c:pt>
                <c:pt idx="96">
                  <c:v>380</c:v>
                </c:pt>
                <c:pt idx="97">
                  <c:v>366</c:v>
                </c:pt>
                <c:pt idx="98">
                  <c:v>383</c:v>
                </c:pt>
                <c:pt idx="99">
                  <c:v>377</c:v>
                </c:pt>
                <c:pt idx="100">
                  <c:v>374</c:v>
                </c:pt>
                <c:pt idx="101">
                  <c:v>372</c:v>
                </c:pt>
                <c:pt idx="102">
                  <c:v>369</c:v>
                </c:pt>
                <c:pt idx="103">
                  <c:v>379</c:v>
                </c:pt>
                <c:pt idx="104">
                  <c:v>367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71D-49ED-B1A1-BED86619213D}"/>
            </c:ext>
          </c:extLst>
        </c:ser>
        <c:ser>
          <c:idx val="3"/>
          <c:order val="3"/>
          <c:tx>
            <c:strRef>
              <c:f>'G74'!$A$5</c:f>
              <c:strCache>
                <c:ptCount val="1"/>
                <c:pt idx="0">
                  <c:v>dvojica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'G74'!$B$1:$DB$1</c:f>
              <c:numCache>
                <c:formatCode>mmm\-yy</c:formatCode>
                <c:ptCount val="105"/>
                <c:pt idx="0">
                  <c:v>39448</c:v>
                </c:pt>
                <c:pt idx="1">
                  <c:v>39479</c:v>
                </c:pt>
                <c:pt idx="2">
                  <c:v>39508</c:v>
                </c:pt>
                <c:pt idx="3">
                  <c:v>39539</c:v>
                </c:pt>
                <c:pt idx="4">
                  <c:v>39569</c:v>
                </c:pt>
                <c:pt idx="5">
                  <c:v>39600</c:v>
                </c:pt>
                <c:pt idx="6">
                  <c:v>39630</c:v>
                </c:pt>
                <c:pt idx="7">
                  <c:v>39661</c:v>
                </c:pt>
                <c:pt idx="8">
                  <c:v>39692</c:v>
                </c:pt>
                <c:pt idx="9">
                  <c:v>39722</c:v>
                </c:pt>
                <c:pt idx="10">
                  <c:v>39753</c:v>
                </c:pt>
                <c:pt idx="11">
                  <c:v>39783</c:v>
                </c:pt>
                <c:pt idx="12">
                  <c:v>39814</c:v>
                </c:pt>
                <c:pt idx="13">
                  <c:v>39845</c:v>
                </c:pt>
                <c:pt idx="14">
                  <c:v>39873</c:v>
                </c:pt>
                <c:pt idx="15">
                  <c:v>39904</c:v>
                </c:pt>
                <c:pt idx="16">
                  <c:v>39934</c:v>
                </c:pt>
                <c:pt idx="17">
                  <c:v>39965</c:v>
                </c:pt>
                <c:pt idx="18">
                  <c:v>39995</c:v>
                </c:pt>
                <c:pt idx="19">
                  <c:v>40026</c:v>
                </c:pt>
                <c:pt idx="20">
                  <c:v>40057</c:v>
                </c:pt>
                <c:pt idx="21">
                  <c:v>40087</c:v>
                </c:pt>
                <c:pt idx="22">
                  <c:v>40118</c:v>
                </c:pt>
                <c:pt idx="23">
                  <c:v>40148</c:v>
                </c:pt>
                <c:pt idx="24">
                  <c:v>40179</c:v>
                </c:pt>
                <c:pt idx="25">
                  <c:v>40210</c:v>
                </c:pt>
                <c:pt idx="26">
                  <c:v>40238</c:v>
                </c:pt>
                <c:pt idx="27">
                  <c:v>40269</c:v>
                </c:pt>
                <c:pt idx="28">
                  <c:v>40299</c:v>
                </c:pt>
                <c:pt idx="29">
                  <c:v>40330</c:v>
                </c:pt>
                <c:pt idx="30">
                  <c:v>40360</c:v>
                </c:pt>
                <c:pt idx="31">
                  <c:v>40391</c:v>
                </c:pt>
                <c:pt idx="32">
                  <c:v>40422</c:v>
                </c:pt>
                <c:pt idx="33">
                  <c:v>40452</c:v>
                </c:pt>
                <c:pt idx="34">
                  <c:v>40483</c:v>
                </c:pt>
                <c:pt idx="35">
                  <c:v>40513</c:v>
                </c:pt>
                <c:pt idx="36">
                  <c:v>40544</c:v>
                </c:pt>
                <c:pt idx="37">
                  <c:v>40575</c:v>
                </c:pt>
                <c:pt idx="38">
                  <c:v>40603</c:v>
                </c:pt>
                <c:pt idx="39">
                  <c:v>40634</c:v>
                </c:pt>
                <c:pt idx="40">
                  <c:v>40664</c:v>
                </c:pt>
                <c:pt idx="41">
                  <c:v>40695</c:v>
                </c:pt>
                <c:pt idx="42">
                  <c:v>40725</c:v>
                </c:pt>
                <c:pt idx="43">
                  <c:v>40756</c:v>
                </c:pt>
                <c:pt idx="44">
                  <c:v>40787</c:v>
                </c:pt>
                <c:pt idx="45">
                  <c:v>40817</c:v>
                </c:pt>
                <c:pt idx="46">
                  <c:v>40848</c:v>
                </c:pt>
                <c:pt idx="47">
                  <c:v>40878</c:v>
                </c:pt>
                <c:pt idx="48">
                  <c:v>40909</c:v>
                </c:pt>
                <c:pt idx="49">
                  <c:v>40940</c:v>
                </c:pt>
                <c:pt idx="50">
                  <c:v>40969</c:v>
                </c:pt>
                <c:pt idx="51">
                  <c:v>41000</c:v>
                </c:pt>
                <c:pt idx="52">
                  <c:v>41030</c:v>
                </c:pt>
                <c:pt idx="53">
                  <c:v>41061</c:v>
                </c:pt>
                <c:pt idx="54">
                  <c:v>41091</c:v>
                </c:pt>
                <c:pt idx="55">
                  <c:v>41122</c:v>
                </c:pt>
                <c:pt idx="56">
                  <c:v>41153</c:v>
                </c:pt>
                <c:pt idx="57">
                  <c:v>41183</c:v>
                </c:pt>
                <c:pt idx="58">
                  <c:v>41214</c:v>
                </c:pt>
                <c:pt idx="59">
                  <c:v>41244</c:v>
                </c:pt>
                <c:pt idx="60">
                  <c:v>41275</c:v>
                </c:pt>
                <c:pt idx="61">
                  <c:v>41306</c:v>
                </c:pt>
                <c:pt idx="62">
                  <c:v>41334</c:v>
                </c:pt>
                <c:pt idx="63">
                  <c:v>41365</c:v>
                </c:pt>
                <c:pt idx="64">
                  <c:v>41395</c:v>
                </c:pt>
                <c:pt idx="65">
                  <c:v>41426</c:v>
                </c:pt>
                <c:pt idx="66">
                  <c:v>41456</c:v>
                </c:pt>
                <c:pt idx="67">
                  <c:v>41487</c:v>
                </c:pt>
                <c:pt idx="68">
                  <c:v>41518</c:v>
                </c:pt>
                <c:pt idx="69">
                  <c:v>41548</c:v>
                </c:pt>
                <c:pt idx="70">
                  <c:v>41579</c:v>
                </c:pt>
                <c:pt idx="71">
                  <c:v>41609</c:v>
                </c:pt>
                <c:pt idx="72">
                  <c:v>41640</c:v>
                </c:pt>
                <c:pt idx="73">
                  <c:v>41671</c:v>
                </c:pt>
                <c:pt idx="74">
                  <c:v>41699</c:v>
                </c:pt>
                <c:pt idx="75">
                  <c:v>41730</c:v>
                </c:pt>
                <c:pt idx="76">
                  <c:v>41760</c:v>
                </c:pt>
                <c:pt idx="77">
                  <c:v>41791</c:v>
                </c:pt>
                <c:pt idx="78">
                  <c:v>41821</c:v>
                </c:pt>
                <c:pt idx="79">
                  <c:v>41852</c:v>
                </c:pt>
                <c:pt idx="80">
                  <c:v>41883</c:v>
                </c:pt>
                <c:pt idx="81">
                  <c:v>41913</c:v>
                </c:pt>
                <c:pt idx="82">
                  <c:v>41944</c:v>
                </c:pt>
                <c:pt idx="83">
                  <c:v>41974</c:v>
                </c:pt>
                <c:pt idx="84">
                  <c:v>42005</c:v>
                </c:pt>
                <c:pt idx="85">
                  <c:v>42036</c:v>
                </c:pt>
                <c:pt idx="86">
                  <c:v>42064</c:v>
                </c:pt>
                <c:pt idx="87">
                  <c:v>42095</c:v>
                </c:pt>
                <c:pt idx="88">
                  <c:v>42125</c:v>
                </c:pt>
                <c:pt idx="89">
                  <c:v>42156</c:v>
                </c:pt>
                <c:pt idx="90">
                  <c:v>42186</c:v>
                </c:pt>
                <c:pt idx="91">
                  <c:v>42217</c:v>
                </c:pt>
                <c:pt idx="92">
                  <c:v>42248</c:v>
                </c:pt>
                <c:pt idx="93">
                  <c:v>42278</c:v>
                </c:pt>
                <c:pt idx="94">
                  <c:v>42309</c:v>
                </c:pt>
                <c:pt idx="95">
                  <c:v>42339</c:v>
                </c:pt>
                <c:pt idx="96">
                  <c:v>42370</c:v>
                </c:pt>
                <c:pt idx="97">
                  <c:v>42401</c:v>
                </c:pt>
                <c:pt idx="98">
                  <c:v>42430</c:v>
                </c:pt>
                <c:pt idx="99">
                  <c:v>42461</c:v>
                </c:pt>
                <c:pt idx="100">
                  <c:v>42491</c:v>
                </c:pt>
                <c:pt idx="101">
                  <c:v>42522</c:v>
                </c:pt>
                <c:pt idx="102">
                  <c:v>42552</c:v>
                </c:pt>
                <c:pt idx="103">
                  <c:v>42583</c:v>
                </c:pt>
                <c:pt idx="104">
                  <c:v>42614</c:v>
                </c:pt>
              </c:numCache>
            </c:numRef>
          </c:cat>
          <c:val>
            <c:numRef>
              <c:f>'G74'!$B$5:$DB$5</c:f>
              <c:numCache>
                <c:formatCode>#,##0</c:formatCode>
                <c:ptCount val="105"/>
                <c:pt idx="0">
                  <c:v>17284</c:v>
                </c:pt>
                <c:pt idx="1">
                  <c:v>17183</c:v>
                </c:pt>
                <c:pt idx="2">
                  <c:v>17049</c:v>
                </c:pt>
                <c:pt idx="3">
                  <c:v>16903</c:v>
                </c:pt>
                <c:pt idx="4">
                  <c:v>16731</c:v>
                </c:pt>
                <c:pt idx="5">
                  <c:v>16486</c:v>
                </c:pt>
                <c:pt idx="6">
                  <c:v>16196</c:v>
                </c:pt>
                <c:pt idx="7">
                  <c:v>14670</c:v>
                </c:pt>
                <c:pt idx="8">
                  <c:v>14995</c:v>
                </c:pt>
                <c:pt idx="9">
                  <c:v>15049</c:v>
                </c:pt>
                <c:pt idx="10">
                  <c:v>15126</c:v>
                </c:pt>
                <c:pt idx="11">
                  <c:v>15070</c:v>
                </c:pt>
                <c:pt idx="12">
                  <c:v>15220</c:v>
                </c:pt>
                <c:pt idx="13">
                  <c:v>12427</c:v>
                </c:pt>
                <c:pt idx="14">
                  <c:v>13226</c:v>
                </c:pt>
                <c:pt idx="15">
                  <c:v>13550</c:v>
                </c:pt>
                <c:pt idx="16">
                  <c:v>13638</c:v>
                </c:pt>
                <c:pt idx="17">
                  <c:v>13704</c:v>
                </c:pt>
                <c:pt idx="18">
                  <c:v>13777</c:v>
                </c:pt>
                <c:pt idx="19">
                  <c:v>13923</c:v>
                </c:pt>
                <c:pt idx="20">
                  <c:v>14116</c:v>
                </c:pt>
                <c:pt idx="21">
                  <c:v>14159</c:v>
                </c:pt>
                <c:pt idx="22">
                  <c:v>14388</c:v>
                </c:pt>
                <c:pt idx="23">
                  <c:v>14644</c:v>
                </c:pt>
                <c:pt idx="24">
                  <c:v>14758</c:v>
                </c:pt>
                <c:pt idx="25">
                  <c:v>14621</c:v>
                </c:pt>
                <c:pt idx="26">
                  <c:v>15215</c:v>
                </c:pt>
                <c:pt idx="27">
                  <c:v>15377</c:v>
                </c:pt>
                <c:pt idx="28">
                  <c:v>15318</c:v>
                </c:pt>
                <c:pt idx="29">
                  <c:v>15248</c:v>
                </c:pt>
                <c:pt idx="30">
                  <c:v>15250</c:v>
                </c:pt>
                <c:pt idx="31">
                  <c:v>15083</c:v>
                </c:pt>
                <c:pt idx="32">
                  <c:v>15067</c:v>
                </c:pt>
                <c:pt idx="33">
                  <c:v>15100</c:v>
                </c:pt>
                <c:pt idx="34">
                  <c:v>15142</c:v>
                </c:pt>
                <c:pt idx="35">
                  <c:v>15081</c:v>
                </c:pt>
                <c:pt idx="36">
                  <c:v>14890</c:v>
                </c:pt>
                <c:pt idx="37">
                  <c:v>14439</c:v>
                </c:pt>
                <c:pt idx="38">
                  <c:v>14764</c:v>
                </c:pt>
                <c:pt idx="39">
                  <c:v>14780</c:v>
                </c:pt>
                <c:pt idx="40">
                  <c:v>14685</c:v>
                </c:pt>
                <c:pt idx="41">
                  <c:v>14544</c:v>
                </c:pt>
                <c:pt idx="42">
                  <c:v>14421</c:v>
                </c:pt>
                <c:pt idx="43">
                  <c:v>14414</c:v>
                </c:pt>
                <c:pt idx="44">
                  <c:v>14393</c:v>
                </c:pt>
                <c:pt idx="45">
                  <c:v>14380</c:v>
                </c:pt>
                <c:pt idx="46">
                  <c:v>14266</c:v>
                </c:pt>
                <c:pt idx="47">
                  <c:v>14268</c:v>
                </c:pt>
                <c:pt idx="48">
                  <c:v>14276</c:v>
                </c:pt>
                <c:pt idx="49">
                  <c:v>13961</c:v>
                </c:pt>
                <c:pt idx="50">
                  <c:v>14235</c:v>
                </c:pt>
                <c:pt idx="51">
                  <c:v>14286</c:v>
                </c:pt>
                <c:pt idx="52">
                  <c:v>14162</c:v>
                </c:pt>
                <c:pt idx="53">
                  <c:v>14062</c:v>
                </c:pt>
                <c:pt idx="54">
                  <c:v>13919</c:v>
                </c:pt>
                <c:pt idx="55">
                  <c:v>13810</c:v>
                </c:pt>
                <c:pt idx="56">
                  <c:v>13777</c:v>
                </c:pt>
                <c:pt idx="57">
                  <c:v>13807</c:v>
                </c:pt>
                <c:pt idx="58">
                  <c:v>13825</c:v>
                </c:pt>
                <c:pt idx="59">
                  <c:v>13947</c:v>
                </c:pt>
                <c:pt idx="60">
                  <c:v>13950</c:v>
                </c:pt>
                <c:pt idx="61">
                  <c:v>13348</c:v>
                </c:pt>
                <c:pt idx="62">
                  <c:v>13645</c:v>
                </c:pt>
                <c:pt idx="63">
                  <c:v>13765</c:v>
                </c:pt>
                <c:pt idx="64">
                  <c:v>13687</c:v>
                </c:pt>
                <c:pt idx="65">
                  <c:v>13615</c:v>
                </c:pt>
                <c:pt idx="66">
                  <c:v>13521</c:v>
                </c:pt>
                <c:pt idx="67">
                  <c:v>13484</c:v>
                </c:pt>
                <c:pt idx="68">
                  <c:v>13420</c:v>
                </c:pt>
                <c:pt idx="69">
                  <c:v>13454</c:v>
                </c:pt>
                <c:pt idx="70">
                  <c:v>13410</c:v>
                </c:pt>
                <c:pt idx="71">
                  <c:v>13391</c:v>
                </c:pt>
                <c:pt idx="72">
                  <c:v>13307</c:v>
                </c:pt>
                <c:pt idx="73">
                  <c:v>12265</c:v>
                </c:pt>
                <c:pt idx="74">
                  <c:v>12385</c:v>
                </c:pt>
                <c:pt idx="75">
                  <c:v>12311</c:v>
                </c:pt>
                <c:pt idx="76">
                  <c:v>12130</c:v>
                </c:pt>
                <c:pt idx="77">
                  <c:v>11893</c:v>
                </c:pt>
                <c:pt idx="78">
                  <c:v>11642</c:v>
                </c:pt>
                <c:pt idx="79">
                  <c:v>11242</c:v>
                </c:pt>
                <c:pt idx="80">
                  <c:v>11077</c:v>
                </c:pt>
                <c:pt idx="81">
                  <c:v>10960</c:v>
                </c:pt>
                <c:pt idx="82">
                  <c:v>10824</c:v>
                </c:pt>
                <c:pt idx="83">
                  <c:v>10766</c:v>
                </c:pt>
                <c:pt idx="84">
                  <c:v>10665</c:v>
                </c:pt>
                <c:pt idx="85">
                  <c:v>10398</c:v>
                </c:pt>
                <c:pt idx="86">
                  <c:v>10431</c:v>
                </c:pt>
                <c:pt idx="87">
                  <c:v>10406</c:v>
                </c:pt>
                <c:pt idx="88">
                  <c:v>10194</c:v>
                </c:pt>
                <c:pt idx="89">
                  <c:v>9808</c:v>
                </c:pt>
                <c:pt idx="90">
                  <c:v>9591</c:v>
                </c:pt>
                <c:pt idx="91">
                  <c:v>9394</c:v>
                </c:pt>
                <c:pt idx="92">
                  <c:v>9288</c:v>
                </c:pt>
                <c:pt idx="93">
                  <c:v>9236</c:v>
                </c:pt>
                <c:pt idx="94">
                  <c:v>9110</c:v>
                </c:pt>
                <c:pt idx="95">
                  <c:v>9260</c:v>
                </c:pt>
                <c:pt idx="96">
                  <c:v>9081</c:v>
                </c:pt>
                <c:pt idx="97">
                  <c:v>8767</c:v>
                </c:pt>
                <c:pt idx="98">
                  <c:v>8824</c:v>
                </c:pt>
                <c:pt idx="99">
                  <c:v>8718</c:v>
                </c:pt>
                <c:pt idx="100">
                  <c:v>8528</c:v>
                </c:pt>
                <c:pt idx="101">
                  <c:v>8304</c:v>
                </c:pt>
                <c:pt idx="102">
                  <c:v>8104</c:v>
                </c:pt>
                <c:pt idx="103">
                  <c:v>7994</c:v>
                </c:pt>
                <c:pt idx="104">
                  <c:v>7933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71D-49ED-B1A1-BED86619213D}"/>
            </c:ext>
          </c:extLst>
        </c:ser>
        <c:ser>
          <c:idx val="4"/>
          <c:order val="4"/>
          <c:tx>
            <c:strRef>
              <c:f>'G74'!$A$6</c:f>
              <c:strCache>
                <c:ptCount val="1"/>
                <c:pt idx="0">
                  <c:v>dvojica s 1 – 4 deťmi</c:v>
                </c:pt>
              </c:strCache>
            </c:strRef>
          </c:tx>
          <c:spPr>
            <a:ln w="28575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cat>
            <c:numRef>
              <c:f>'G74'!$B$1:$DB$1</c:f>
              <c:numCache>
                <c:formatCode>mmm\-yy</c:formatCode>
                <c:ptCount val="105"/>
                <c:pt idx="0">
                  <c:v>39448</c:v>
                </c:pt>
                <c:pt idx="1">
                  <c:v>39479</c:v>
                </c:pt>
                <c:pt idx="2">
                  <c:v>39508</c:v>
                </c:pt>
                <c:pt idx="3">
                  <c:v>39539</c:v>
                </c:pt>
                <c:pt idx="4">
                  <c:v>39569</c:v>
                </c:pt>
                <c:pt idx="5">
                  <c:v>39600</c:v>
                </c:pt>
                <c:pt idx="6">
                  <c:v>39630</c:v>
                </c:pt>
                <c:pt idx="7">
                  <c:v>39661</c:v>
                </c:pt>
                <c:pt idx="8">
                  <c:v>39692</c:v>
                </c:pt>
                <c:pt idx="9">
                  <c:v>39722</c:v>
                </c:pt>
                <c:pt idx="10">
                  <c:v>39753</c:v>
                </c:pt>
                <c:pt idx="11">
                  <c:v>39783</c:v>
                </c:pt>
                <c:pt idx="12">
                  <c:v>39814</c:v>
                </c:pt>
                <c:pt idx="13">
                  <c:v>39845</c:v>
                </c:pt>
                <c:pt idx="14">
                  <c:v>39873</c:v>
                </c:pt>
                <c:pt idx="15">
                  <c:v>39904</c:v>
                </c:pt>
                <c:pt idx="16">
                  <c:v>39934</c:v>
                </c:pt>
                <c:pt idx="17">
                  <c:v>39965</c:v>
                </c:pt>
                <c:pt idx="18">
                  <c:v>39995</c:v>
                </c:pt>
                <c:pt idx="19">
                  <c:v>40026</c:v>
                </c:pt>
                <c:pt idx="20">
                  <c:v>40057</c:v>
                </c:pt>
                <c:pt idx="21">
                  <c:v>40087</c:v>
                </c:pt>
                <c:pt idx="22">
                  <c:v>40118</c:v>
                </c:pt>
                <c:pt idx="23">
                  <c:v>40148</c:v>
                </c:pt>
                <c:pt idx="24">
                  <c:v>40179</c:v>
                </c:pt>
                <c:pt idx="25">
                  <c:v>40210</c:v>
                </c:pt>
                <c:pt idx="26">
                  <c:v>40238</c:v>
                </c:pt>
                <c:pt idx="27">
                  <c:v>40269</c:v>
                </c:pt>
                <c:pt idx="28">
                  <c:v>40299</c:v>
                </c:pt>
                <c:pt idx="29">
                  <c:v>40330</c:v>
                </c:pt>
                <c:pt idx="30">
                  <c:v>40360</c:v>
                </c:pt>
                <c:pt idx="31">
                  <c:v>40391</c:v>
                </c:pt>
                <c:pt idx="32">
                  <c:v>40422</c:v>
                </c:pt>
                <c:pt idx="33">
                  <c:v>40452</c:v>
                </c:pt>
                <c:pt idx="34">
                  <c:v>40483</c:v>
                </c:pt>
                <c:pt idx="35">
                  <c:v>40513</c:v>
                </c:pt>
                <c:pt idx="36">
                  <c:v>40544</c:v>
                </c:pt>
                <c:pt idx="37">
                  <c:v>40575</c:v>
                </c:pt>
                <c:pt idx="38">
                  <c:v>40603</c:v>
                </c:pt>
                <c:pt idx="39">
                  <c:v>40634</c:v>
                </c:pt>
                <c:pt idx="40">
                  <c:v>40664</c:v>
                </c:pt>
                <c:pt idx="41">
                  <c:v>40695</c:v>
                </c:pt>
                <c:pt idx="42">
                  <c:v>40725</c:v>
                </c:pt>
                <c:pt idx="43">
                  <c:v>40756</c:v>
                </c:pt>
                <c:pt idx="44">
                  <c:v>40787</c:v>
                </c:pt>
                <c:pt idx="45">
                  <c:v>40817</c:v>
                </c:pt>
                <c:pt idx="46">
                  <c:v>40848</c:v>
                </c:pt>
                <c:pt idx="47">
                  <c:v>40878</c:v>
                </c:pt>
                <c:pt idx="48">
                  <c:v>40909</c:v>
                </c:pt>
                <c:pt idx="49">
                  <c:v>40940</c:v>
                </c:pt>
                <c:pt idx="50">
                  <c:v>40969</c:v>
                </c:pt>
                <c:pt idx="51">
                  <c:v>41000</c:v>
                </c:pt>
                <c:pt idx="52">
                  <c:v>41030</c:v>
                </c:pt>
                <c:pt idx="53">
                  <c:v>41061</c:v>
                </c:pt>
                <c:pt idx="54">
                  <c:v>41091</c:v>
                </c:pt>
                <c:pt idx="55">
                  <c:v>41122</c:v>
                </c:pt>
                <c:pt idx="56">
                  <c:v>41153</c:v>
                </c:pt>
                <c:pt idx="57">
                  <c:v>41183</c:v>
                </c:pt>
                <c:pt idx="58">
                  <c:v>41214</c:v>
                </c:pt>
                <c:pt idx="59">
                  <c:v>41244</c:v>
                </c:pt>
                <c:pt idx="60">
                  <c:v>41275</c:v>
                </c:pt>
                <c:pt idx="61">
                  <c:v>41306</c:v>
                </c:pt>
                <c:pt idx="62">
                  <c:v>41334</c:v>
                </c:pt>
                <c:pt idx="63">
                  <c:v>41365</c:v>
                </c:pt>
                <c:pt idx="64">
                  <c:v>41395</c:v>
                </c:pt>
                <c:pt idx="65">
                  <c:v>41426</c:v>
                </c:pt>
                <c:pt idx="66">
                  <c:v>41456</c:v>
                </c:pt>
                <c:pt idx="67">
                  <c:v>41487</c:v>
                </c:pt>
                <c:pt idx="68">
                  <c:v>41518</c:v>
                </c:pt>
                <c:pt idx="69">
                  <c:v>41548</c:v>
                </c:pt>
                <c:pt idx="70">
                  <c:v>41579</c:v>
                </c:pt>
                <c:pt idx="71">
                  <c:v>41609</c:v>
                </c:pt>
                <c:pt idx="72">
                  <c:v>41640</c:v>
                </c:pt>
                <c:pt idx="73">
                  <c:v>41671</c:v>
                </c:pt>
                <c:pt idx="74">
                  <c:v>41699</c:v>
                </c:pt>
                <c:pt idx="75">
                  <c:v>41730</c:v>
                </c:pt>
                <c:pt idx="76">
                  <c:v>41760</c:v>
                </c:pt>
                <c:pt idx="77">
                  <c:v>41791</c:v>
                </c:pt>
                <c:pt idx="78">
                  <c:v>41821</c:v>
                </c:pt>
                <c:pt idx="79">
                  <c:v>41852</c:v>
                </c:pt>
                <c:pt idx="80">
                  <c:v>41883</c:v>
                </c:pt>
                <c:pt idx="81">
                  <c:v>41913</c:v>
                </c:pt>
                <c:pt idx="82">
                  <c:v>41944</c:v>
                </c:pt>
                <c:pt idx="83">
                  <c:v>41974</c:v>
                </c:pt>
                <c:pt idx="84">
                  <c:v>42005</c:v>
                </c:pt>
                <c:pt idx="85">
                  <c:v>42036</c:v>
                </c:pt>
                <c:pt idx="86">
                  <c:v>42064</c:v>
                </c:pt>
                <c:pt idx="87">
                  <c:v>42095</c:v>
                </c:pt>
                <c:pt idx="88">
                  <c:v>42125</c:v>
                </c:pt>
                <c:pt idx="89">
                  <c:v>42156</c:v>
                </c:pt>
                <c:pt idx="90">
                  <c:v>42186</c:v>
                </c:pt>
                <c:pt idx="91">
                  <c:v>42217</c:v>
                </c:pt>
                <c:pt idx="92">
                  <c:v>42248</c:v>
                </c:pt>
                <c:pt idx="93">
                  <c:v>42278</c:v>
                </c:pt>
                <c:pt idx="94">
                  <c:v>42309</c:v>
                </c:pt>
                <c:pt idx="95">
                  <c:v>42339</c:v>
                </c:pt>
                <c:pt idx="96">
                  <c:v>42370</c:v>
                </c:pt>
                <c:pt idx="97">
                  <c:v>42401</c:v>
                </c:pt>
                <c:pt idx="98">
                  <c:v>42430</c:v>
                </c:pt>
                <c:pt idx="99">
                  <c:v>42461</c:v>
                </c:pt>
                <c:pt idx="100">
                  <c:v>42491</c:v>
                </c:pt>
                <c:pt idx="101">
                  <c:v>42522</c:v>
                </c:pt>
                <c:pt idx="102">
                  <c:v>42552</c:v>
                </c:pt>
                <c:pt idx="103">
                  <c:v>42583</c:v>
                </c:pt>
                <c:pt idx="104">
                  <c:v>42614</c:v>
                </c:pt>
              </c:numCache>
            </c:numRef>
          </c:cat>
          <c:val>
            <c:numRef>
              <c:f>'G74'!$B$6:$DB$6</c:f>
              <c:numCache>
                <c:formatCode>#,##0</c:formatCode>
                <c:ptCount val="105"/>
                <c:pt idx="0">
                  <c:v>26789</c:v>
                </c:pt>
                <c:pt idx="1">
                  <c:v>26560</c:v>
                </c:pt>
                <c:pt idx="2">
                  <c:v>26377</c:v>
                </c:pt>
                <c:pt idx="3">
                  <c:v>25834</c:v>
                </c:pt>
                <c:pt idx="4">
                  <c:v>25367</c:v>
                </c:pt>
                <c:pt idx="5">
                  <c:v>23904</c:v>
                </c:pt>
                <c:pt idx="6">
                  <c:v>23236</c:v>
                </c:pt>
                <c:pt idx="7">
                  <c:v>22219</c:v>
                </c:pt>
                <c:pt idx="8">
                  <c:v>21795</c:v>
                </c:pt>
                <c:pt idx="9">
                  <c:v>21555</c:v>
                </c:pt>
                <c:pt idx="10">
                  <c:v>21403</c:v>
                </c:pt>
                <c:pt idx="11">
                  <c:v>21455</c:v>
                </c:pt>
                <c:pt idx="12">
                  <c:v>21930</c:v>
                </c:pt>
                <c:pt idx="13">
                  <c:v>22650</c:v>
                </c:pt>
                <c:pt idx="14">
                  <c:v>23887</c:v>
                </c:pt>
                <c:pt idx="15">
                  <c:v>24883</c:v>
                </c:pt>
                <c:pt idx="16">
                  <c:v>25454</c:v>
                </c:pt>
                <c:pt idx="17">
                  <c:v>25944</c:v>
                </c:pt>
                <c:pt idx="18">
                  <c:v>26471</c:v>
                </c:pt>
                <c:pt idx="19">
                  <c:v>26857</c:v>
                </c:pt>
                <c:pt idx="20">
                  <c:v>27241</c:v>
                </c:pt>
                <c:pt idx="21">
                  <c:v>27511</c:v>
                </c:pt>
                <c:pt idx="22">
                  <c:v>28044</c:v>
                </c:pt>
                <c:pt idx="23">
                  <c:v>29059</c:v>
                </c:pt>
                <c:pt idx="24">
                  <c:v>29479</c:v>
                </c:pt>
                <c:pt idx="25">
                  <c:v>30314</c:v>
                </c:pt>
                <c:pt idx="26">
                  <c:v>31206</c:v>
                </c:pt>
                <c:pt idx="27">
                  <c:v>31754</c:v>
                </c:pt>
                <c:pt idx="28">
                  <c:v>31823</c:v>
                </c:pt>
                <c:pt idx="29">
                  <c:v>31743</c:v>
                </c:pt>
                <c:pt idx="30">
                  <c:v>31491</c:v>
                </c:pt>
                <c:pt idx="31">
                  <c:v>31256</c:v>
                </c:pt>
                <c:pt idx="32">
                  <c:v>31240</c:v>
                </c:pt>
                <c:pt idx="33">
                  <c:v>31176</c:v>
                </c:pt>
                <c:pt idx="34">
                  <c:v>31224</c:v>
                </c:pt>
                <c:pt idx="35">
                  <c:v>31459</c:v>
                </c:pt>
                <c:pt idx="36">
                  <c:v>30730</c:v>
                </c:pt>
                <c:pt idx="37">
                  <c:v>31455</c:v>
                </c:pt>
                <c:pt idx="38">
                  <c:v>30836</c:v>
                </c:pt>
                <c:pt idx="39">
                  <c:v>30897</c:v>
                </c:pt>
                <c:pt idx="40">
                  <c:v>30521</c:v>
                </c:pt>
                <c:pt idx="41">
                  <c:v>30199</c:v>
                </c:pt>
                <c:pt idx="42">
                  <c:v>29910</c:v>
                </c:pt>
                <c:pt idx="43">
                  <c:v>29723</c:v>
                </c:pt>
                <c:pt idx="44">
                  <c:v>29597</c:v>
                </c:pt>
                <c:pt idx="45">
                  <c:v>29402</c:v>
                </c:pt>
                <c:pt idx="46">
                  <c:v>29060</c:v>
                </c:pt>
                <c:pt idx="47">
                  <c:v>29112</c:v>
                </c:pt>
                <c:pt idx="48">
                  <c:v>29031</c:v>
                </c:pt>
                <c:pt idx="49">
                  <c:v>29197</c:v>
                </c:pt>
                <c:pt idx="50">
                  <c:v>29595</c:v>
                </c:pt>
                <c:pt idx="51">
                  <c:v>29606</c:v>
                </c:pt>
                <c:pt idx="52">
                  <c:v>29339</c:v>
                </c:pt>
                <c:pt idx="53">
                  <c:v>29202</c:v>
                </c:pt>
                <c:pt idx="54">
                  <c:v>28928</c:v>
                </c:pt>
                <c:pt idx="55">
                  <c:v>28758</c:v>
                </c:pt>
                <c:pt idx="56">
                  <c:v>28543</c:v>
                </c:pt>
                <c:pt idx="57">
                  <c:v>28345</c:v>
                </c:pt>
                <c:pt idx="58">
                  <c:v>28357</c:v>
                </c:pt>
                <c:pt idx="59">
                  <c:v>28622</c:v>
                </c:pt>
                <c:pt idx="60">
                  <c:v>28785</c:v>
                </c:pt>
                <c:pt idx="61">
                  <c:v>29205</c:v>
                </c:pt>
                <c:pt idx="62">
                  <c:v>29749</c:v>
                </c:pt>
                <c:pt idx="63">
                  <c:v>30053</c:v>
                </c:pt>
                <c:pt idx="64">
                  <c:v>29948</c:v>
                </c:pt>
                <c:pt idx="65">
                  <c:v>29726</c:v>
                </c:pt>
                <c:pt idx="66">
                  <c:v>29510</c:v>
                </c:pt>
                <c:pt idx="67">
                  <c:v>29335</c:v>
                </c:pt>
                <c:pt idx="68">
                  <c:v>29207</c:v>
                </c:pt>
                <c:pt idx="69">
                  <c:v>28980</c:v>
                </c:pt>
                <c:pt idx="70">
                  <c:v>28931</c:v>
                </c:pt>
                <c:pt idx="71">
                  <c:v>28975</c:v>
                </c:pt>
                <c:pt idx="72">
                  <c:v>28824</c:v>
                </c:pt>
                <c:pt idx="73">
                  <c:v>28271</c:v>
                </c:pt>
                <c:pt idx="74">
                  <c:v>28393</c:v>
                </c:pt>
                <c:pt idx="75">
                  <c:v>28355</c:v>
                </c:pt>
                <c:pt idx="76">
                  <c:v>27767</c:v>
                </c:pt>
                <c:pt idx="77">
                  <c:v>27164</c:v>
                </c:pt>
                <c:pt idx="78">
                  <c:v>26338</c:v>
                </c:pt>
                <c:pt idx="79">
                  <c:v>25301</c:v>
                </c:pt>
                <c:pt idx="80">
                  <c:v>24867</c:v>
                </c:pt>
                <c:pt idx="81">
                  <c:v>24574</c:v>
                </c:pt>
                <c:pt idx="82">
                  <c:v>24219</c:v>
                </c:pt>
                <c:pt idx="83">
                  <c:v>24111</c:v>
                </c:pt>
                <c:pt idx="84">
                  <c:v>23868</c:v>
                </c:pt>
                <c:pt idx="85">
                  <c:v>23826</c:v>
                </c:pt>
                <c:pt idx="86">
                  <c:v>24024</c:v>
                </c:pt>
                <c:pt idx="87">
                  <c:v>23811</c:v>
                </c:pt>
                <c:pt idx="88">
                  <c:v>23181</c:v>
                </c:pt>
                <c:pt idx="89">
                  <c:v>22449</c:v>
                </c:pt>
                <c:pt idx="90">
                  <c:v>21821</c:v>
                </c:pt>
                <c:pt idx="91">
                  <c:v>21346</c:v>
                </c:pt>
                <c:pt idx="92">
                  <c:v>20886</c:v>
                </c:pt>
                <c:pt idx="93">
                  <c:v>20727</c:v>
                </c:pt>
                <c:pt idx="94">
                  <c:v>20345</c:v>
                </c:pt>
                <c:pt idx="95">
                  <c:v>20503</c:v>
                </c:pt>
                <c:pt idx="96">
                  <c:v>20159</c:v>
                </c:pt>
                <c:pt idx="97">
                  <c:v>20082</c:v>
                </c:pt>
                <c:pt idx="98">
                  <c:v>20053</c:v>
                </c:pt>
                <c:pt idx="99">
                  <c:v>19809</c:v>
                </c:pt>
                <c:pt idx="100">
                  <c:v>19370</c:v>
                </c:pt>
                <c:pt idx="101">
                  <c:v>19042</c:v>
                </c:pt>
                <c:pt idx="102">
                  <c:v>18534</c:v>
                </c:pt>
                <c:pt idx="103">
                  <c:v>18196</c:v>
                </c:pt>
                <c:pt idx="104">
                  <c:v>17971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71D-49ED-B1A1-BED86619213D}"/>
            </c:ext>
          </c:extLst>
        </c:ser>
        <c:ser>
          <c:idx val="5"/>
          <c:order val="5"/>
          <c:tx>
            <c:strRef>
              <c:f>'G74'!$A$7</c:f>
              <c:strCache>
                <c:ptCount val="1"/>
                <c:pt idx="0">
                  <c:v>dvojica s viac ako 4 deťmi </c:v>
                </c:pt>
              </c:strCache>
            </c:strRef>
          </c:tx>
          <c:spPr>
            <a:ln w="28575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cat>
            <c:numRef>
              <c:f>'G74'!$B$1:$DB$1</c:f>
              <c:numCache>
                <c:formatCode>mmm\-yy</c:formatCode>
                <c:ptCount val="105"/>
                <c:pt idx="0">
                  <c:v>39448</c:v>
                </c:pt>
                <c:pt idx="1">
                  <c:v>39479</c:v>
                </c:pt>
                <c:pt idx="2">
                  <c:v>39508</c:v>
                </c:pt>
                <c:pt idx="3">
                  <c:v>39539</c:v>
                </c:pt>
                <c:pt idx="4">
                  <c:v>39569</c:v>
                </c:pt>
                <c:pt idx="5">
                  <c:v>39600</c:v>
                </c:pt>
                <c:pt idx="6">
                  <c:v>39630</c:v>
                </c:pt>
                <c:pt idx="7">
                  <c:v>39661</c:v>
                </c:pt>
                <c:pt idx="8">
                  <c:v>39692</c:v>
                </c:pt>
                <c:pt idx="9">
                  <c:v>39722</c:v>
                </c:pt>
                <c:pt idx="10">
                  <c:v>39753</c:v>
                </c:pt>
                <c:pt idx="11">
                  <c:v>39783</c:v>
                </c:pt>
                <c:pt idx="12">
                  <c:v>39814</c:v>
                </c:pt>
                <c:pt idx="13">
                  <c:v>39845</c:v>
                </c:pt>
                <c:pt idx="14">
                  <c:v>39873</c:v>
                </c:pt>
                <c:pt idx="15">
                  <c:v>39904</c:v>
                </c:pt>
                <c:pt idx="16">
                  <c:v>39934</c:v>
                </c:pt>
                <c:pt idx="17">
                  <c:v>39965</c:v>
                </c:pt>
                <c:pt idx="18">
                  <c:v>39995</c:v>
                </c:pt>
                <c:pt idx="19">
                  <c:v>40026</c:v>
                </c:pt>
                <c:pt idx="20">
                  <c:v>40057</c:v>
                </c:pt>
                <c:pt idx="21">
                  <c:v>40087</c:v>
                </c:pt>
                <c:pt idx="22">
                  <c:v>40118</c:v>
                </c:pt>
                <c:pt idx="23">
                  <c:v>40148</c:v>
                </c:pt>
                <c:pt idx="24">
                  <c:v>40179</c:v>
                </c:pt>
                <c:pt idx="25">
                  <c:v>40210</c:v>
                </c:pt>
                <c:pt idx="26">
                  <c:v>40238</c:v>
                </c:pt>
                <c:pt idx="27">
                  <c:v>40269</c:v>
                </c:pt>
                <c:pt idx="28">
                  <c:v>40299</c:v>
                </c:pt>
                <c:pt idx="29">
                  <c:v>40330</c:v>
                </c:pt>
                <c:pt idx="30">
                  <c:v>40360</c:v>
                </c:pt>
                <c:pt idx="31">
                  <c:v>40391</c:v>
                </c:pt>
                <c:pt idx="32">
                  <c:v>40422</c:v>
                </c:pt>
                <c:pt idx="33">
                  <c:v>40452</c:v>
                </c:pt>
                <c:pt idx="34">
                  <c:v>40483</c:v>
                </c:pt>
                <c:pt idx="35">
                  <c:v>40513</c:v>
                </c:pt>
                <c:pt idx="36">
                  <c:v>40544</c:v>
                </c:pt>
                <c:pt idx="37">
                  <c:v>40575</c:v>
                </c:pt>
                <c:pt idx="38">
                  <c:v>40603</c:v>
                </c:pt>
                <c:pt idx="39">
                  <c:v>40634</c:v>
                </c:pt>
                <c:pt idx="40">
                  <c:v>40664</c:v>
                </c:pt>
                <c:pt idx="41">
                  <c:v>40695</c:v>
                </c:pt>
                <c:pt idx="42">
                  <c:v>40725</c:v>
                </c:pt>
                <c:pt idx="43">
                  <c:v>40756</c:v>
                </c:pt>
                <c:pt idx="44">
                  <c:v>40787</c:v>
                </c:pt>
                <c:pt idx="45">
                  <c:v>40817</c:v>
                </c:pt>
                <c:pt idx="46">
                  <c:v>40848</c:v>
                </c:pt>
                <c:pt idx="47">
                  <c:v>40878</c:v>
                </c:pt>
                <c:pt idx="48">
                  <c:v>40909</c:v>
                </c:pt>
                <c:pt idx="49">
                  <c:v>40940</c:v>
                </c:pt>
                <c:pt idx="50">
                  <c:v>40969</c:v>
                </c:pt>
                <c:pt idx="51">
                  <c:v>41000</c:v>
                </c:pt>
                <c:pt idx="52">
                  <c:v>41030</c:v>
                </c:pt>
                <c:pt idx="53">
                  <c:v>41061</c:v>
                </c:pt>
                <c:pt idx="54">
                  <c:v>41091</c:v>
                </c:pt>
                <c:pt idx="55">
                  <c:v>41122</c:v>
                </c:pt>
                <c:pt idx="56">
                  <c:v>41153</c:v>
                </c:pt>
                <c:pt idx="57">
                  <c:v>41183</c:v>
                </c:pt>
                <c:pt idx="58">
                  <c:v>41214</c:v>
                </c:pt>
                <c:pt idx="59">
                  <c:v>41244</c:v>
                </c:pt>
                <c:pt idx="60">
                  <c:v>41275</c:v>
                </c:pt>
                <c:pt idx="61">
                  <c:v>41306</c:v>
                </c:pt>
                <c:pt idx="62">
                  <c:v>41334</c:v>
                </c:pt>
                <c:pt idx="63">
                  <c:v>41365</c:v>
                </c:pt>
                <c:pt idx="64">
                  <c:v>41395</c:v>
                </c:pt>
                <c:pt idx="65">
                  <c:v>41426</c:v>
                </c:pt>
                <c:pt idx="66">
                  <c:v>41456</c:v>
                </c:pt>
                <c:pt idx="67">
                  <c:v>41487</c:v>
                </c:pt>
                <c:pt idx="68">
                  <c:v>41518</c:v>
                </c:pt>
                <c:pt idx="69">
                  <c:v>41548</c:v>
                </c:pt>
                <c:pt idx="70">
                  <c:v>41579</c:v>
                </c:pt>
                <c:pt idx="71">
                  <c:v>41609</c:v>
                </c:pt>
                <c:pt idx="72">
                  <c:v>41640</c:v>
                </c:pt>
                <c:pt idx="73">
                  <c:v>41671</c:v>
                </c:pt>
                <c:pt idx="74">
                  <c:v>41699</c:v>
                </c:pt>
                <c:pt idx="75">
                  <c:v>41730</c:v>
                </c:pt>
                <c:pt idx="76">
                  <c:v>41760</c:v>
                </c:pt>
                <c:pt idx="77">
                  <c:v>41791</c:v>
                </c:pt>
                <c:pt idx="78">
                  <c:v>41821</c:v>
                </c:pt>
                <c:pt idx="79">
                  <c:v>41852</c:v>
                </c:pt>
                <c:pt idx="80">
                  <c:v>41883</c:v>
                </c:pt>
                <c:pt idx="81">
                  <c:v>41913</c:v>
                </c:pt>
                <c:pt idx="82">
                  <c:v>41944</c:v>
                </c:pt>
                <c:pt idx="83">
                  <c:v>41974</c:v>
                </c:pt>
                <c:pt idx="84">
                  <c:v>42005</c:v>
                </c:pt>
                <c:pt idx="85">
                  <c:v>42036</c:v>
                </c:pt>
                <c:pt idx="86">
                  <c:v>42064</c:v>
                </c:pt>
                <c:pt idx="87">
                  <c:v>42095</c:v>
                </c:pt>
                <c:pt idx="88">
                  <c:v>42125</c:v>
                </c:pt>
                <c:pt idx="89">
                  <c:v>42156</c:v>
                </c:pt>
                <c:pt idx="90">
                  <c:v>42186</c:v>
                </c:pt>
                <c:pt idx="91">
                  <c:v>42217</c:v>
                </c:pt>
                <c:pt idx="92">
                  <c:v>42248</c:v>
                </c:pt>
                <c:pt idx="93">
                  <c:v>42278</c:v>
                </c:pt>
                <c:pt idx="94">
                  <c:v>42309</c:v>
                </c:pt>
                <c:pt idx="95">
                  <c:v>42339</c:v>
                </c:pt>
                <c:pt idx="96">
                  <c:v>42370</c:v>
                </c:pt>
                <c:pt idx="97">
                  <c:v>42401</c:v>
                </c:pt>
                <c:pt idx="98">
                  <c:v>42430</c:v>
                </c:pt>
                <c:pt idx="99">
                  <c:v>42461</c:v>
                </c:pt>
                <c:pt idx="100">
                  <c:v>42491</c:v>
                </c:pt>
                <c:pt idx="101">
                  <c:v>42522</c:v>
                </c:pt>
                <c:pt idx="102">
                  <c:v>42552</c:v>
                </c:pt>
                <c:pt idx="103">
                  <c:v>42583</c:v>
                </c:pt>
                <c:pt idx="104">
                  <c:v>42614</c:v>
                </c:pt>
              </c:numCache>
            </c:numRef>
          </c:cat>
          <c:val>
            <c:numRef>
              <c:f>'G74'!$B$7:$DB$7</c:f>
              <c:numCache>
                <c:formatCode>#,##0</c:formatCode>
                <c:ptCount val="105"/>
                <c:pt idx="0">
                  <c:v>4784</c:v>
                </c:pt>
                <c:pt idx="1">
                  <c:v>4787</c:v>
                </c:pt>
                <c:pt idx="2">
                  <c:v>4748</c:v>
                </c:pt>
                <c:pt idx="3">
                  <c:v>4675</c:v>
                </c:pt>
                <c:pt idx="4">
                  <c:v>4576</c:v>
                </c:pt>
                <c:pt idx="5">
                  <c:v>4461</c:v>
                </c:pt>
                <c:pt idx="6">
                  <c:v>4350</c:v>
                </c:pt>
                <c:pt idx="7">
                  <c:v>4212</c:v>
                </c:pt>
                <c:pt idx="8">
                  <c:v>4147</c:v>
                </c:pt>
                <c:pt idx="9">
                  <c:v>4069</c:v>
                </c:pt>
                <c:pt idx="10">
                  <c:v>4072</c:v>
                </c:pt>
                <c:pt idx="11">
                  <c:v>4163</c:v>
                </c:pt>
                <c:pt idx="12">
                  <c:v>4251</c:v>
                </c:pt>
                <c:pt idx="13">
                  <c:v>4391</c:v>
                </c:pt>
                <c:pt idx="14">
                  <c:v>4583</c:v>
                </c:pt>
                <c:pt idx="15">
                  <c:v>4711</c:v>
                </c:pt>
                <c:pt idx="16">
                  <c:v>4770</c:v>
                </c:pt>
                <c:pt idx="17">
                  <c:v>4829</c:v>
                </c:pt>
                <c:pt idx="18">
                  <c:v>4855</c:v>
                </c:pt>
                <c:pt idx="19">
                  <c:v>4897</c:v>
                </c:pt>
                <c:pt idx="20">
                  <c:v>4944</c:v>
                </c:pt>
                <c:pt idx="21">
                  <c:v>4950</c:v>
                </c:pt>
                <c:pt idx="22">
                  <c:v>5018</c:v>
                </c:pt>
                <c:pt idx="23">
                  <c:v>5088</c:v>
                </c:pt>
                <c:pt idx="24">
                  <c:v>5117</c:v>
                </c:pt>
                <c:pt idx="25">
                  <c:v>5234</c:v>
                </c:pt>
                <c:pt idx="26">
                  <c:v>5338</c:v>
                </c:pt>
                <c:pt idx="27">
                  <c:v>5376</c:v>
                </c:pt>
                <c:pt idx="28">
                  <c:v>5424</c:v>
                </c:pt>
                <c:pt idx="29">
                  <c:v>5436</c:v>
                </c:pt>
                <c:pt idx="30">
                  <c:v>5441</c:v>
                </c:pt>
                <c:pt idx="31">
                  <c:v>5423</c:v>
                </c:pt>
                <c:pt idx="32">
                  <c:v>5450</c:v>
                </c:pt>
                <c:pt idx="33">
                  <c:v>5472</c:v>
                </c:pt>
                <c:pt idx="34">
                  <c:v>5480</c:v>
                </c:pt>
                <c:pt idx="35">
                  <c:v>5531</c:v>
                </c:pt>
                <c:pt idx="36">
                  <c:v>5518</c:v>
                </c:pt>
                <c:pt idx="37">
                  <c:v>5573</c:v>
                </c:pt>
                <c:pt idx="38">
                  <c:v>5593</c:v>
                </c:pt>
                <c:pt idx="39">
                  <c:v>5594</c:v>
                </c:pt>
                <c:pt idx="40">
                  <c:v>5581</c:v>
                </c:pt>
                <c:pt idx="41">
                  <c:v>5538</c:v>
                </c:pt>
                <c:pt idx="42">
                  <c:v>5502</c:v>
                </c:pt>
                <c:pt idx="43">
                  <c:v>5485</c:v>
                </c:pt>
                <c:pt idx="44">
                  <c:v>5448</c:v>
                </c:pt>
                <c:pt idx="45">
                  <c:v>5407</c:v>
                </c:pt>
                <c:pt idx="46">
                  <c:v>5395</c:v>
                </c:pt>
                <c:pt idx="47">
                  <c:v>5428</c:v>
                </c:pt>
                <c:pt idx="48">
                  <c:v>5445</c:v>
                </c:pt>
                <c:pt idx="49">
                  <c:v>5463</c:v>
                </c:pt>
                <c:pt idx="50">
                  <c:v>5498</c:v>
                </c:pt>
                <c:pt idx="51">
                  <c:v>5496</c:v>
                </c:pt>
                <c:pt idx="52">
                  <c:v>5443</c:v>
                </c:pt>
                <c:pt idx="53">
                  <c:v>5429</c:v>
                </c:pt>
                <c:pt idx="54">
                  <c:v>5353</c:v>
                </c:pt>
                <c:pt idx="55">
                  <c:v>5346</c:v>
                </c:pt>
                <c:pt idx="56">
                  <c:v>5296</c:v>
                </c:pt>
                <c:pt idx="57">
                  <c:v>5231</c:v>
                </c:pt>
                <c:pt idx="58">
                  <c:v>5232</c:v>
                </c:pt>
                <c:pt idx="59">
                  <c:v>5286</c:v>
                </c:pt>
                <c:pt idx="60">
                  <c:v>5288</c:v>
                </c:pt>
                <c:pt idx="61">
                  <c:v>5331</c:v>
                </c:pt>
                <c:pt idx="62">
                  <c:v>5368</c:v>
                </c:pt>
                <c:pt idx="63">
                  <c:v>5397</c:v>
                </c:pt>
                <c:pt idx="64">
                  <c:v>5413</c:v>
                </c:pt>
                <c:pt idx="65">
                  <c:v>5399</c:v>
                </c:pt>
                <c:pt idx="66">
                  <c:v>5365</c:v>
                </c:pt>
                <c:pt idx="67">
                  <c:v>5346</c:v>
                </c:pt>
                <c:pt idx="68">
                  <c:v>5337</c:v>
                </c:pt>
                <c:pt idx="69">
                  <c:v>5241</c:v>
                </c:pt>
                <c:pt idx="70">
                  <c:v>5227</c:v>
                </c:pt>
                <c:pt idx="71">
                  <c:v>5220</c:v>
                </c:pt>
                <c:pt idx="72">
                  <c:v>5205</c:v>
                </c:pt>
                <c:pt idx="73">
                  <c:v>5188</c:v>
                </c:pt>
                <c:pt idx="74">
                  <c:v>5203</c:v>
                </c:pt>
                <c:pt idx="75">
                  <c:v>5200</c:v>
                </c:pt>
                <c:pt idx="76">
                  <c:v>5172</c:v>
                </c:pt>
                <c:pt idx="77">
                  <c:v>5141</c:v>
                </c:pt>
                <c:pt idx="78">
                  <c:v>5084</c:v>
                </c:pt>
                <c:pt idx="79">
                  <c:v>5000</c:v>
                </c:pt>
                <c:pt idx="80">
                  <c:v>4928</c:v>
                </c:pt>
                <c:pt idx="81">
                  <c:v>4867</c:v>
                </c:pt>
                <c:pt idx="82">
                  <c:v>4839</c:v>
                </c:pt>
                <c:pt idx="83">
                  <c:v>4872</c:v>
                </c:pt>
                <c:pt idx="84">
                  <c:v>4833</c:v>
                </c:pt>
                <c:pt idx="85">
                  <c:v>4827</c:v>
                </c:pt>
                <c:pt idx="86">
                  <c:v>4832</c:v>
                </c:pt>
                <c:pt idx="87">
                  <c:v>4809</c:v>
                </c:pt>
                <c:pt idx="88">
                  <c:v>4778</c:v>
                </c:pt>
                <c:pt idx="89">
                  <c:v>4644</c:v>
                </c:pt>
                <c:pt idx="90">
                  <c:v>4548</c:v>
                </c:pt>
                <c:pt idx="91">
                  <c:v>4462</c:v>
                </c:pt>
                <c:pt idx="92">
                  <c:v>4441</c:v>
                </c:pt>
                <c:pt idx="93">
                  <c:v>4398</c:v>
                </c:pt>
                <c:pt idx="94">
                  <c:v>4354</c:v>
                </c:pt>
                <c:pt idx="95">
                  <c:v>4428</c:v>
                </c:pt>
                <c:pt idx="96">
                  <c:v>4392</c:v>
                </c:pt>
                <c:pt idx="97">
                  <c:v>4387</c:v>
                </c:pt>
                <c:pt idx="98">
                  <c:v>4413</c:v>
                </c:pt>
                <c:pt idx="99">
                  <c:v>4419</c:v>
                </c:pt>
                <c:pt idx="100">
                  <c:v>4403</c:v>
                </c:pt>
                <c:pt idx="101">
                  <c:v>4352</c:v>
                </c:pt>
                <c:pt idx="102">
                  <c:v>4258</c:v>
                </c:pt>
                <c:pt idx="103">
                  <c:v>4214</c:v>
                </c:pt>
                <c:pt idx="104">
                  <c:v>4200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71D-49ED-B1A1-BED8661921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78186072"/>
        <c:axId val="478187640"/>
      </c:lineChart>
      <c:dateAx>
        <c:axId val="478186072"/>
        <c:scaling>
          <c:orientation val="minMax"/>
        </c:scaling>
        <c:delete val="0"/>
        <c:axPos val="b"/>
        <c:numFmt formatCode="mmm\-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478187640"/>
        <c:crosses val="autoZero"/>
        <c:auto val="1"/>
        <c:lblOffset val="100"/>
        <c:baseTimeUnit val="months"/>
        <c:majorUnit val="4"/>
        <c:majorTimeUnit val="months"/>
      </c:dateAx>
      <c:valAx>
        <c:axId val="47818764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onstantia" panose="02030602050306030303" pitchFamily="18" charset="0"/>
                    <a:ea typeface="+mn-ea"/>
                    <a:cs typeface="+mn-cs"/>
                  </a:defRPr>
                </a:pPr>
                <a:r>
                  <a:rPr lang="sk-SK" i="1"/>
                  <a:t>počet </a:t>
                </a:r>
              </a:p>
            </c:rich>
          </c:tx>
          <c:layout>
            <c:manualLayout>
              <c:xMode val="edge"/>
              <c:yMode val="edge"/>
              <c:x val="0.11288888888888889"/>
              <c:y val="0.2662229629629629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onstantia" panose="02030602050306030303" pitchFamily="18" charset="0"/>
                  <a:ea typeface="+mn-ea"/>
                  <a:cs typeface="+mn-cs"/>
                </a:defRPr>
              </a:pPr>
              <a:endParaRPr lang="sk-SK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4781860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8.4943518518518515E-2"/>
          <c:y val="0.82827148148148144"/>
          <c:w val="0.90026296296296293"/>
          <c:h val="0.15335812190142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onstantia" panose="02030602050306030303" pitchFamily="18" charset="0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Constantia" panose="02030602050306030303" pitchFamily="18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358705161854769E-2"/>
          <c:y val="5.0925925925925923E-2"/>
          <c:w val="0.90964129483814526"/>
          <c:h val="0.86482283464566934"/>
        </c:manualLayout>
      </c:layout>
      <c:barChart>
        <c:barDir val="col"/>
        <c:grouping val="clustered"/>
        <c:varyColors val="0"/>
        <c:ser>
          <c:idx val="0"/>
          <c:order val="0"/>
          <c:tx>
            <c:v>RRZ</c:v>
          </c:tx>
          <c:spPr>
            <a:solidFill>
              <a:srgbClr val="13B5EA"/>
            </a:solidFill>
            <a:ln>
              <a:solidFill>
                <a:srgbClr val="13B5EA"/>
              </a:solidFill>
            </a:ln>
            <a:effectLst/>
          </c:spPr>
          <c:invertIfNegative val="0"/>
          <c:cat>
            <c:strRef>
              <c:f>'G75'!$A$2:$A$8</c:f>
              <c:strCach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2016O</c:v>
                </c:pt>
                <c:pt idx="4">
                  <c:v>2017N</c:v>
                </c:pt>
                <c:pt idx="5">
                  <c:v>2018N</c:v>
                </c:pt>
                <c:pt idx="6">
                  <c:v>2019N</c:v>
                </c:pt>
              </c:strCache>
            </c:strRef>
          </c:cat>
          <c:val>
            <c:numRef>
              <c:f>'G75'!$B$2:$B$8</c:f>
              <c:numCache>
                <c:formatCode>0.0</c:formatCode>
                <c:ptCount val="7"/>
                <c:pt idx="0">
                  <c:v>273.64387110020544</c:v>
                </c:pt>
                <c:pt idx="1">
                  <c:v>244.45679572894284</c:v>
                </c:pt>
                <c:pt idx="2">
                  <c:v>213.18110151806641</c:v>
                </c:pt>
                <c:pt idx="3">
                  <c:v>184.02288997606999</c:v>
                </c:pt>
                <c:pt idx="4">
                  <c:v>174.79479343048001</c:v>
                </c:pt>
                <c:pt idx="5">
                  <c:v>174.79479343048001</c:v>
                </c:pt>
                <c:pt idx="6">
                  <c:v>174.79479343048001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C7B-4B99-99AC-D9E717856A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00909320"/>
        <c:axId val="400910632"/>
      </c:barChart>
      <c:lineChart>
        <c:grouping val="stacked"/>
        <c:varyColors val="0"/>
        <c:ser>
          <c:idx val="1"/>
          <c:order val="1"/>
          <c:tx>
            <c:v>RVS 2017-2019</c:v>
          </c:tx>
          <c:spPr>
            <a:ln w="28575" cap="rnd">
              <a:solidFill>
                <a:sysClr val="windowText" lastClr="00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ysClr val="windowText" lastClr="000000"/>
                </a:solidFill>
              </a:ln>
              <a:effectLst/>
            </c:spPr>
          </c:marker>
          <c:dPt>
            <c:idx val="0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2-AC7B-4B99-99AC-D9E717856A16}"/>
              </c:ext>
            </c:extLst>
          </c:dPt>
          <c:dPt>
            <c:idx val="1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C7B-4B99-99AC-D9E717856A16}"/>
              </c:ext>
            </c:extLst>
          </c:dPt>
          <c:dPt>
            <c:idx val="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6-AC7B-4B99-99AC-D9E717856A16}"/>
              </c:ext>
            </c:extLst>
          </c:dPt>
          <c:dPt>
            <c:idx val="3"/>
            <c:marker>
              <c:symbol val="circle"/>
              <c:size val="5"/>
              <c:spPr>
                <a:solidFill>
                  <a:schemeClr val="tx1"/>
                </a:solidFill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8-AC7B-4B99-99AC-D9E717856A16}"/>
              </c:ext>
            </c:extLst>
          </c:dPt>
          <c:val>
            <c:numRef>
              <c:f>'G75'!$C$2:$C$8</c:f>
              <c:numCache>
                <c:formatCode>0.0</c:formatCode>
                <c:ptCount val="7"/>
                <c:pt idx="0">
                  <c:v>273.64387110020544</c:v>
                </c:pt>
                <c:pt idx="1">
                  <c:v>244.45679572894284</c:v>
                </c:pt>
                <c:pt idx="2">
                  <c:v>213.18110151806641</c:v>
                </c:pt>
                <c:pt idx="3">
                  <c:v>193.920061</c:v>
                </c:pt>
                <c:pt idx="4">
                  <c:v>197.39037300000001</c:v>
                </c:pt>
                <c:pt idx="5">
                  <c:v>188.61853300000001</c:v>
                </c:pt>
                <c:pt idx="6">
                  <c:v>185.05202299999999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AC7B-4B99-99AC-D9E717856A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0909320"/>
        <c:axId val="400910632"/>
      </c:lineChart>
      <c:catAx>
        <c:axId val="400909320"/>
        <c:scaling>
          <c:orientation val="minMax"/>
        </c:scaling>
        <c:delete val="0"/>
        <c:axPos val="b"/>
        <c:numFmt formatCode="#,##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400910632"/>
        <c:crosses val="autoZero"/>
        <c:auto val="1"/>
        <c:lblAlgn val="ctr"/>
        <c:lblOffset val="100"/>
        <c:noMultiLvlLbl val="0"/>
      </c:catAx>
      <c:valAx>
        <c:axId val="4009106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onstantia" panose="02030602050306030303" pitchFamily="18" charset="0"/>
                    <a:ea typeface="+mn-ea"/>
                    <a:cs typeface="+mn-cs"/>
                  </a:defRPr>
                </a:pPr>
                <a:r>
                  <a:rPr lang="sk-SK"/>
                  <a:t>mil.eur</a:t>
                </a:r>
                <a:endParaRPr lang="en-GB"/>
              </a:p>
            </c:rich>
          </c:tx>
          <c:layout>
            <c:manualLayout>
              <c:xMode val="edge"/>
              <c:yMode val="edge"/>
              <c:x val="0.05"/>
              <c:y val="5.4679935841353132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onstantia" panose="02030602050306030303" pitchFamily="18" charset="0"/>
                  <a:ea typeface="+mn-ea"/>
                  <a:cs typeface="+mn-cs"/>
                </a:defRPr>
              </a:pPr>
              <a:endParaRPr lang="sk-SK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4009093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8769947506561681"/>
          <c:y val="7.002260134149893E-2"/>
          <c:w val="0.4221523148148148"/>
          <c:h val="7.93755555555555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onstantia" panose="02030602050306030303" pitchFamily="18" charset="0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Constantia" panose="02030602050306030303" pitchFamily="18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6.4623096129837701E-2"/>
          <c:y val="2.6098364455039068E-2"/>
          <c:w val="0.94907091168020397"/>
          <c:h val="0.85528008556594626"/>
        </c:manualLayout>
      </c:layout>
      <c:lineChart>
        <c:grouping val="standard"/>
        <c:varyColors val="0"/>
        <c:ser>
          <c:idx val="1"/>
          <c:order val="0"/>
          <c:tx>
            <c:strRef>
              <c:f>'G82'!$B$2</c:f>
              <c:strCache>
                <c:ptCount val="1"/>
                <c:pt idx="0">
                  <c:v>Bezdetné ženy</c:v>
                </c:pt>
              </c:strCache>
            </c:strRef>
          </c:tx>
          <c:spPr>
            <a:ln w="28575" cap="rnd">
              <a:solidFill>
                <a:srgbClr val="FFC1C1"/>
              </a:solidFill>
              <a:round/>
            </a:ln>
            <a:effectLst/>
          </c:spPr>
          <c:marker>
            <c:symbol val="none"/>
          </c:marker>
          <c:cat>
            <c:numRef>
              <c:f>'G82'!$A$3:$A$33</c:f>
              <c:numCache>
                <c:formatCode>@</c:formatCode>
                <c:ptCount val="3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  <c:pt idx="29">
                  <c:v>2029</c:v>
                </c:pt>
                <c:pt idx="30">
                  <c:v>2030</c:v>
                </c:pt>
              </c:numCache>
            </c:numRef>
          </c:cat>
          <c:val>
            <c:numRef>
              <c:f>'G82'!$B$3:$B$33</c:f>
              <c:numCache>
                <c:formatCode>0.0</c:formatCode>
                <c:ptCount val="31"/>
                <c:pt idx="0">
                  <c:v>57</c:v>
                </c:pt>
                <c:pt idx="1">
                  <c:v>57</c:v>
                </c:pt>
                <c:pt idx="2">
                  <c:v>57</c:v>
                </c:pt>
                <c:pt idx="3">
                  <c:v>57</c:v>
                </c:pt>
                <c:pt idx="4">
                  <c:v>57.428571428571431</c:v>
                </c:pt>
                <c:pt idx="5">
                  <c:v>57.857142857142861</c:v>
                </c:pt>
                <c:pt idx="6">
                  <c:v>58.285714285714292</c:v>
                </c:pt>
                <c:pt idx="7">
                  <c:v>58.714285714285722</c:v>
                </c:pt>
                <c:pt idx="8">
                  <c:v>59.142857142857153</c:v>
                </c:pt>
                <c:pt idx="9">
                  <c:v>59.571428571428584</c:v>
                </c:pt>
                <c:pt idx="10">
                  <c:v>60</c:v>
                </c:pt>
                <c:pt idx="11">
                  <c:v>60.428571428571416</c:v>
                </c:pt>
                <c:pt idx="12">
                  <c:v>60.857142857142833</c:v>
                </c:pt>
                <c:pt idx="13">
                  <c:v>61.285714285714249</c:v>
                </c:pt>
                <c:pt idx="14">
                  <c:v>61.714285714285666</c:v>
                </c:pt>
                <c:pt idx="15">
                  <c:v>62</c:v>
                </c:pt>
                <c:pt idx="16">
                  <c:v>62</c:v>
                </c:pt>
                <c:pt idx="17">
                  <c:v>62.194631809322502</c:v>
                </c:pt>
                <c:pt idx="18">
                  <c:v>62.422790738226801</c:v>
                </c:pt>
                <c:pt idx="19">
                  <c:v>62.577027850766697</c:v>
                </c:pt>
                <c:pt idx="20">
                  <c:v>62.750117752357099</c:v>
                </c:pt>
                <c:pt idx="21">
                  <c:v>62.911582584021097</c:v>
                </c:pt>
                <c:pt idx="22">
                  <c:v>63.042079689462703</c:v>
                </c:pt>
                <c:pt idx="23">
                  <c:v>63.169613436610803</c:v>
                </c:pt>
                <c:pt idx="24">
                  <c:v>63.297737179001302</c:v>
                </c:pt>
                <c:pt idx="25">
                  <c:v>63.426534695823598</c:v>
                </c:pt>
                <c:pt idx="26">
                  <c:v>63.5558195254388</c:v>
                </c:pt>
                <c:pt idx="27">
                  <c:v>63.685384176728299</c:v>
                </c:pt>
                <c:pt idx="28">
                  <c:v>63.815208140654001</c:v>
                </c:pt>
                <c:pt idx="29">
                  <c:v>63.945384130370002</c:v>
                </c:pt>
                <c:pt idx="30">
                  <c:v>64.075541794668794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095-4B24-A1C6-917D33DA4C86}"/>
            </c:ext>
          </c:extLst>
        </c:ser>
        <c:ser>
          <c:idx val="2"/>
          <c:order val="1"/>
          <c:tx>
            <c:strRef>
              <c:f>'G82'!$C$2</c:f>
              <c:strCache>
                <c:ptCount val="1"/>
                <c:pt idx="0">
                  <c:v>Ženy s 1 dieťaťom</c:v>
                </c:pt>
              </c:strCache>
            </c:strRef>
          </c:tx>
          <c:spPr>
            <a:ln w="28575" cap="rnd">
              <a:solidFill>
                <a:srgbClr val="FF7979"/>
              </a:solidFill>
              <a:round/>
            </a:ln>
            <a:effectLst/>
          </c:spPr>
          <c:marker>
            <c:symbol val="none"/>
          </c:marker>
          <c:cat>
            <c:numRef>
              <c:f>'G82'!$A$3:$A$33</c:f>
              <c:numCache>
                <c:formatCode>@</c:formatCode>
                <c:ptCount val="3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  <c:pt idx="29">
                  <c:v>2029</c:v>
                </c:pt>
                <c:pt idx="30">
                  <c:v>2030</c:v>
                </c:pt>
              </c:numCache>
            </c:numRef>
          </c:cat>
          <c:val>
            <c:numRef>
              <c:f>'G82'!$C$3:$C$33</c:f>
              <c:numCache>
                <c:formatCode>0.0</c:formatCode>
                <c:ptCount val="31"/>
                <c:pt idx="0">
                  <c:v>56</c:v>
                </c:pt>
                <c:pt idx="1">
                  <c:v>56</c:v>
                </c:pt>
                <c:pt idx="2">
                  <c:v>56</c:v>
                </c:pt>
                <c:pt idx="3">
                  <c:v>56</c:v>
                </c:pt>
                <c:pt idx="4">
                  <c:v>56.428571428571431</c:v>
                </c:pt>
                <c:pt idx="5">
                  <c:v>56.857142857142861</c:v>
                </c:pt>
                <c:pt idx="6">
                  <c:v>57.285714285714292</c:v>
                </c:pt>
                <c:pt idx="7">
                  <c:v>57.714285714285722</c:v>
                </c:pt>
                <c:pt idx="8">
                  <c:v>58.142857142857153</c:v>
                </c:pt>
                <c:pt idx="9">
                  <c:v>58.571428571428584</c:v>
                </c:pt>
                <c:pt idx="10">
                  <c:v>59</c:v>
                </c:pt>
                <c:pt idx="11">
                  <c:v>59.428571428571431</c:v>
                </c:pt>
                <c:pt idx="12">
                  <c:v>59.857142857142861</c:v>
                </c:pt>
                <c:pt idx="13">
                  <c:v>60.285714285714292</c:v>
                </c:pt>
                <c:pt idx="14">
                  <c:v>60.714285714285722</c:v>
                </c:pt>
                <c:pt idx="15">
                  <c:v>61.142857142857153</c:v>
                </c:pt>
                <c:pt idx="16">
                  <c:v>61.571428571428598</c:v>
                </c:pt>
                <c:pt idx="17">
                  <c:v>62.194631809322502</c:v>
                </c:pt>
                <c:pt idx="18">
                  <c:v>62.422790738226801</c:v>
                </c:pt>
                <c:pt idx="19">
                  <c:v>62.577027850766697</c:v>
                </c:pt>
                <c:pt idx="20">
                  <c:v>62.750117752357099</c:v>
                </c:pt>
                <c:pt idx="21">
                  <c:v>62.911582584021097</c:v>
                </c:pt>
                <c:pt idx="22">
                  <c:v>63.042079689462703</c:v>
                </c:pt>
                <c:pt idx="23">
                  <c:v>63.169613436610803</c:v>
                </c:pt>
                <c:pt idx="24">
                  <c:v>63.297737179001302</c:v>
                </c:pt>
                <c:pt idx="25">
                  <c:v>63.426534695823598</c:v>
                </c:pt>
                <c:pt idx="26">
                  <c:v>63.5558195254388</c:v>
                </c:pt>
                <c:pt idx="27">
                  <c:v>63.685384176728299</c:v>
                </c:pt>
                <c:pt idx="28">
                  <c:v>63.815208140654001</c:v>
                </c:pt>
                <c:pt idx="29">
                  <c:v>63.945384130370002</c:v>
                </c:pt>
                <c:pt idx="30">
                  <c:v>64.075541794668794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095-4B24-A1C6-917D33DA4C86}"/>
            </c:ext>
          </c:extLst>
        </c:ser>
        <c:ser>
          <c:idx val="3"/>
          <c:order val="2"/>
          <c:tx>
            <c:strRef>
              <c:f>'G82'!$D$2</c:f>
              <c:strCache>
                <c:ptCount val="1"/>
                <c:pt idx="0">
                  <c:v>Ženy s 2 deťmi</c:v>
                </c:pt>
              </c:strCache>
            </c:strRef>
          </c:tx>
          <c:spPr>
            <a:ln w="28575" cap="rnd">
              <a:solidFill>
                <a:srgbClr val="FF5353"/>
              </a:solidFill>
              <a:round/>
            </a:ln>
            <a:effectLst/>
          </c:spPr>
          <c:marker>
            <c:symbol val="none"/>
          </c:marker>
          <c:cat>
            <c:numRef>
              <c:f>'G82'!$A$3:$A$33</c:f>
              <c:numCache>
                <c:formatCode>@</c:formatCode>
                <c:ptCount val="3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  <c:pt idx="29">
                  <c:v>2029</c:v>
                </c:pt>
                <c:pt idx="30">
                  <c:v>2030</c:v>
                </c:pt>
              </c:numCache>
            </c:numRef>
          </c:cat>
          <c:val>
            <c:numRef>
              <c:f>'G82'!$D$3:$D$33</c:f>
              <c:numCache>
                <c:formatCode>0.0</c:formatCode>
                <c:ptCount val="31"/>
                <c:pt idx="0">
                  <c:v>55</c:v>
                </c:pt>
                <c:pt idx="1">
                  <c:v>55</c:v>
                </c:pt>
                <c:pt idx="2">
                  <c:v>55</c:v>
                </c:pt>
                <c:pt idx="3">
                  <c:v>55</c:v>
                </c:pt>
                <c:pt idx="4">
                  <c:v>55.428571428571431</c:v>
                </c:pt>
                <c:pt idx="5">
                  <c:v>55.857142857142861</c:v>
                </c:pt>
                <c:pt idx="6">
                  <c:v>56.285714285714292</c:v>
                </c:pt>
                <c:pt idx="7">
                  <c:v>56.714285714285722</c:v>
                </c:pt>
                <c:pt idx="8">
                  <c:v>57.142857142857153</c:v>
                </c:pt>
                <c:pt idx="9">
                  <c:v>57.571428571428584</c:v>
                </c:pt>
                <c:pt idx="10">
                  <c:v>58</c:v>
                </c:pt>
                <c:pt idx="11">
                  <c:v>58.428571428571431</c:v>
                </c:pt>
                <c:pt idx="12">
                  <c:v>58.857142857142861</c:v>
                </c:pt>
                <c:pt idx="13">
                  <c:v>59.285714285714292</c:v>
                </c:pt>
                <c:pt idx="14">
                  <c:v>59.714285714285722</c:v>
                </c:pt>
                <c:pt idx="15">
                  <c:v>60.142857142857153</c:v>
                </c:pt>
                <c:pt idx="16">
                  <c:v>60.571428571428584</c:v>
                </c:pt>
                <c:pt idx="17">
                  <c:v>61</c:v>
                </c:pt>
                <c:pt idx="18">
                  <c:v>61.428571428571416</c:v>
                </c:pt>
                <c:pt idx="19">
                  <c:v>61.857142857142833</c:v>
                </c:pt>
                <c:pt idx="20">
                  <c:v>62.750117752357099</c:v>
                </c:pt>
                <c:pt idx="21">
                  <c:v>62.911582584021097</c:v>
                </c:pt>
                <c:pt idx="22">
                  <c:v>63.042079689462703</c:v>
                </c:pt>
                <c:pt idx="23">
                  <c:v>63.169613436610803</c:v>
                </c:pt>
                <c:pt idx="24">
                  <c:v>63.297737179001302</c:v>
                </c:pt>
                <c:pt idx="25">
                  <c:v>63.426534695823598</c:v>
                </c:pt>
                <c:pt idx="26">
                  <c:v>63.5558195254388</c:v>
                </c:pt>
                <c:pt idx="27">
                  <c:v>63.685384176728299</c:v>
                </c:pt>
                <c:pt idx="28">
                  <c:v>63.815208140654001</c:v>
                </c:pt>
                <c:pt idx="29">
                  <c:v>63.945384130370002</c:v>
                </c:pt>
                <c:pt idx="30">
                  <c:v>64.075541794668794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095-4B24-A1C6-917D33DA4C86}"/>
            </c:ext>
          </c:extLst>
        </c:ser>
        <c:ser>
          <c:idx val="4"/>
          <c:order val="3"/>
          <c:tx>
            <c:strRef>
              <c:f>'G82'!$E$2</c:f>
              <c:strCache>
                <c:ptCount val="1"/>
                <c:pt idx="0">
                  <c:v>Ženy 3-4 deťmi</c:v>
                </c:pt>
              </c:strCache>
            </c:strRef>
          </c:tx>
          <c:spPr>
            <a:ln w="28575" cap="rnd">
              <a:solidFill>
                <a:srgbClr val="FF0D0D"/>
              </a:solidFill>
              <a:round/>
            </a:ln>
            <a:effectLst/>
          </c:spPr>
          <c:marker>
            <c:symbol val="none"/>
          </c:marker>
          <c:cat>
            <c:numRef>
              <c:f>'G82'!$A$3:$A$33</c:f>
              <c:numCache>
                <c:formatCode>@</c:formatCode>
                <c:ptCount val="3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  <c:pt idx="29">
                  <c:v>2029</c:v>
                </c:pt>
                <c:pt idx="30">
                  <c:v>2030</c:v>
                </c:pt>
              </c:numCache>
            </c:numRef>
          </c:cat>
          <c:val>
            <c:numRef>
              <c:f>'G82'!$E$3:$E$33</c:f>
              <c:numCache>
                <c:formatCode>0.0</c:formatCode>
                <c:ptCount val="31"/>
                <c:pt idx="0">
                  <c:v>54</c:v>
                </c:pt>
                <c:pt idx="1">
                  <c:v>54</c:v>
                </c:pt>
                <c:pt idx="2">
                  <c:v>54</c:v>
                </c:pt>
                <c:pt idx="3">
                  <c:v>54</c:v>
                </c:pt>
                <c:pt idx="4">
                  <c:v>54.428571428571431</c:v>
                </c:pt>
                <c:pt idx="5">
                  <c:v>54.857142857142861</c:v>
                </c:pt>
                <c:pt idx="6">
                  <c:v>55.285714285714292</c:v>
                </c:pt>
                <c:pt idx="7">
                  <c:v>55.714285714285722</c:v>
                </c:pt>
                <c:pt idx="8">
                  <c:v>56.142857142857153</c:v>
                </c:pt>
                <c:pt idx="9">
                  <c:v>56.571428571428584</c:v>
                </c:pt>
                <c:pt idx="10">
                  <c:v>57</c:v>
                </c:pt>
                <c:pt idx="11">
                  <c:v>57.428571428571431</c:v>
                </c:pt>
                <c:pt idx="12">
                  <c:v>57.857142857142861</c:v>
                </c:pt>
                <c:pt idx="13">
                  <c:v>58.285714285714292</c:v>
                </c:pt>
                <c:pt idx="14">
                  <c:v>58.714285714285722</c:v>
                </c:pt>
                <c:pt idx="15">
                  <c:v>59.142857142857153</c:v>
                </c:pt>
                <c:pt idx="16">
                  <c:v>59.571428571428584</c:v>
                </c:pt>
                <c:pt idx="17">
                  <c:v>60</c:v>
                </c:pt>
                <c:pt idx="18">
                  <c:v>60.428571428571416</c:v>
                </c:pt>
                <c:pt idx="19">
                  <c:v>60.857142857142833</c:v>
                </c:pt>
                <c:pt idx="20">
                  <c:v>61.285714285714249</c:v>
                </c:pt>
                <c:pt idx="21">
                  <c:v>61.714285714285666</c:v>
                </c:pt>
                <c:pt idx="22">
                  <c:v>63.042079689462703</c:v>
                </c:pt>
                <c:pt idx="23">
                  <c:v>63.169613436610803</c:v>
                </c:pt>
                <c:pt idx="24">
                  <c:v>63.297737179001302</c:v>
                </c:pt>
                <c:pt idx="25">
                  <c:v>63.426534695823598</c:v>
                </c:pt>
                <c:pt idx="26">
                  <c:v>63.5558195254388</c:v>
                </c:pt>
                <c:pt idx="27">
                  <c:v>63.685384176728299</c:v>
                </c:pt>
                <c:pt idx="28">
                  <c:v>63.815208140654001</c:v>
                </c:pt>
                <c:pt idx="29">
                  <c:v>63.945384130370002</c:v>
                </c:pt>
                <c:pt idx="30">
                  <c:v>64.075541794668794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095-4B24-A1C6-917D33DA4C86}"/>
            </c:ext>
          </c:extLst>
        </c:ser>
        <c:ser>
          <c:idx val="5"/>
          <c:order val="4"/>
          <c:tx>
            <c:v>Ženy 5 a viac deťmi</c:v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'G82'!$A$3:$A$33</c:f>
              <c:numCache>
                <c:formatCode>@</c:formatCode>
                <c:ptCount val="3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  <c:pt idx="29">
                  <c:v>2029</c:v>
                </c:pt>
                <c:pt idx="30">
                  <c:v>2030</c:v>
                </c:pt>
              </c:numCache>
            </c:numRef>
          </c:cat>
          <c:val>
            <c:numLit>
              <c:formatCode>General</c:formatCode>
              <c:ptCount val="31"/>
              <c:pt idx="0">
                <c:v>53</c:v>
              </c:pt>
              <c:pt idx="1">
                <c:v>53</c:v>
              </c:pt>
              <c:pt idx="2">
                <c:v>53</c:v>
              </c:pt>
              <c:pt idx="3">
                <c:v>53</c:v>
              </c:pt>
              <c:pt idx="4">
                <c:v>53.428571428571431</c:v>
              </c:pt>
              <c:pt idx="5">
                <c:v>53.857142857142861</c:v>
              </c:pt>
              <c:pt idx="6">
                <c:v>54.285714285714292</c:v>
              </c:pt>
              <c:pt idx="7">
                <c:v>54.714285714285722</c:v>
              </c:pt>
              <c:pt idx="8">
                <c:v>55.142857142857153</c:v>
              </c:pt>
              <c:pt idx="9">
                <c:v>55.571428571428584</c:v>
              </c:pt>
              <c:pt idx="10">
                <c:v>56</c:v>
              </c:pt>
              <c:pt idx="11">
                <c:v>56.428571428571431</c:v>
              </c:pt>
              <c:pt idx="12">
                <c:v>56.857142857142861</c:v>
              </c:pt>
              <c:pt idx="13">
                <c:v>57.285714285714292</c:v>
              </c:pt>
              <c:pt idx="14">
                <c:v>57.714285714285722</c:v>
              </c:pt>
              <c:pt idx="15">
                <c:v>58.142857142857153</c:v>
              </c:pt>
              <c:pt idx="16">
                <c:v>58.571428571428584</c:v>
              </c:pt>
              <c:pt idx="17">
                <c:v>59</c:v>
              </c:pt>
              <c:pt idx="18">
                <c:v>59.428571428571431</c:v>
              </c:pt>
              <c:pt idx="19">
                <c:v>59.857142857142861</c:v>
              </c:pt>
              <c:pt idx="20">
                <c:v>60.285714285714292</c:v>
              </c:pt>
              <c:pt idx="21">
                <c:v>60.714285714285722</c:v>
              </c:pt>
              <c:pt idx="22">
                <c:v>61.142857142857153</c:v>
              </c:pt>
              <c:pt idx="23">
                <c:v>61.571428571428584</c:v>
              </c:pt>
              <c:pt idx="24">
                <c:v>63.297737179001302</c:v>
              </c:pt>
              <c:pt idx="25">
                <c:v>63.426534695823598</c:v>
              </c:pt>
              <c:pt idx="26">
                <c:v>63.5558195254388</c:v>
              </c:pt>
              <c:pt idx="27">
                <c:v>63.685384176728299</c:v>
              </c:pt>
              <c:pt idx="28">
                <c:v>63.815208140654001</c:v>
              </c:pt>
              <c:pt idx="29">
                <c:v>63.945384130370002</c:v>
              </c:pt>
              <c:pt idx="30">
                <c:v>64.075541794668794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4-B095-4B24-A1C6-917D33DA4C86}"/>
            </c:ext>
          </c:extLst>
        </c:ser>
        <c:ser>
          <c:idx val="6"/>
          <c:order val="5"/>
          <c:tx>
            <c:strRef>
              <c:f>'G82'!$G$2</c:f>
              <c:strCache>
                <c:ptCount val="1"/>
                <c:pt idx="0">
                  <c:v>Muži</c:v>
                </c:pt>
              </c:strCache>
            </c:strRef>
          </c:tx>
          <c:spPr>
            <a:ln w="28575" cap="rnd">
              <a:solidFill>
                <a:srgbClr val="13B5EA"/>
              </a:solidFill>
              <a:round/>
            </a:ln>
            <a:effectLst/>
          </c:spPr>
          <c:marker>
            <c:symbol val="none"/>
          </c:marker>
          <c:cat>
            <c:numRef>
              <c:f>'G82'!$A$3:$A$33</c:f>
              <c:numCache>
                <c:formatCode>@</c:formatCode>
                <c:ptCount val="3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  <c:pt idx="29">
                  <c:v>2029</c:v>
                </c:pt>
                <c:pt idx="30">
                  <c:v>2030</c:v>
                </c:pt>
              </c:numCache>
            </c:numRef>
          </c:cat>
          <c:val>
            <c:numRef>
              <c:f>'G82'!$G$3:$G$33</c:f>
              <c:numCache>
                <c:formatCode>0.0</c:formatCode>
                <c:ptCount val="31"/>
                <c:pt idx="0">
                  <c:v>60</c:v>
                </c:pt>
                <c:pt idx="1">
                  <c:v>60</c:v>
                </c:pt>
                <c:pt idx="2">
                  <c:v>60</c:v>
                </c:pt>
                <c:pt idx="3">
                  <c:v>60</c:v>
                </c:pt>
                <c:pt idx="4">
                  <c:v>60.428571428571431</c:v>
                </c:pt>
                <c:pt idx="5">
                  <c:v>60.857142857142861</c:v>
                </c:pt>
                <c:pt idx="6">
                  <c:v>61.285714285714292</c:v>
                </c:pt>
                <c:pt idx="7">
                  <c:v>61.714285714285722</c:v>
                </c:pt>
                <c:pt idx="8">
                  <c:v>62</c:v>
                </c:pt>
                <c:pt idx="9">
                  <c:v>62</c:v>
                </c:pt>
                <c:pt idx="10">
                  <c:v>62</c:v>
                </c:pt>
                <c:pt idx="11">
                  <c:v>62</c:v>
                </c:pt>
                <c:pt idx="12">
                  <c:v>62</c:v>
                </c:pt>
                <c:pt idx="13">
                  <c:v>62</c:v>
                </c:pt>
                <c:pt idx="14">
                  <c:v>62</c:v>
                </c:pt>
                <c:pt idx="15">
                  <c:v>62</c:v>
                </c:pt>
                <c:pt idx="16">
                  <c:v>62</c:v>
                </c:pt>
                <c:pt idx="17">
                  <c:v>62.194631809322502</c:v>
                </c:pt>
                <c:pt idx="18">
                  <c:v>62.422790738226801</c:v>
                </c:pt>
                <c:pt idx="19">
                  <c:v>62.577027850766697</c:v>
                </c:pt>
                <c:pt idx="20">
                  <c:v>62.750117752357099</c:v>
                </c:pt>
                <c:pt idx="21">
                  <c:v>62.911582584021097</c:v>
                </c:pt>
                <c:pt idx="22">
                  <c:v>63.042079689462703</c:v>
                </c:pt>
                <c:pt idx="23">
                  <c:v>63.169613436610803</c:v>
                </c:pt>
                <c:pt idx="24">
                  <c:v>63.297737179001302</c:v>
                </c:pt>
                <c:pt idx="25">
                  <c:v>63.426534695823598</c:v>
                </c:pt>
                <c:pt idx="26">
                  <c:v>63.5558195254388</c:v>
                </c:pt>
                <c:pt idx="27">
                  <c:v>63.685384176728299</c:v>
                </c:pt>
                <c:pt idx="28">
                  <c:v>63.815208140654001</c:v>
                </c:pt>
                <c:pt idx="29">
                  <c:v>63.945384130370002</c:v>
                </c:pt>
                <c:pt idx="30">
                  <c:v>64.075541794668794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095-4B24-A1C6-917D33DA4C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71439368"/>
        <c:axId val="671439760"/>
      </c:lineChart>
      <c:catAx>
        <c:axId val="67143936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onstantia" panose="02030602050306030303" pitchFamily="18" charset="0"/>
                    <a:ea typeface="+mn-ea"/>
                    <a:cs typeface="+mn-cs"/>
                  </a:defRPr>
                </a:pPr>
                <a:r>
                  <a:rPr lang="en-US" i="1"/>
                  <a:t>rok</a:t>
                </a:r>
              </a:p>
            </c:rich>
          </c:tx>
          <c:layout>
            <c:manualLayout>
              <c:xMode val="edge"/>
              <c:yMode val="edge"/>
              <c:x val="0.94637353308364547"/>
              <c:y val="0.8348216330786455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onstantia" panose="02030602050306030303" pitchFamily="18" charset="0"/>
                  <a:ea typeface="+mn-ea"/>
                  <a:cs typeface="+mn-cs"/>
                </a:defRPr>
              </a:pPr>
              <a:endParaRPr lang="sk-SK"/>
            </a:p>
          </c:txPr>
        </c:title>
        <c:numFmt formatCode="@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671439760"/>
        <c:crosses val="autoZero"/>
        <c:auto val="1"/>
        <c:lblAlgn val="ctr"/>
        <c:lblOffset val="100"/>
        <c:tickLblSkip val="2"/>
        <c:tickMarkSkip val="3"/>
        <c:noMultiLvlLbl val="0"/>
      </c:catAx>
      <c:valAx>
        <c:axId val="671439760"/>
        <c:scaling>
          <c:orientation val="minMax"/>
          <c:min val="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onstantia" panose="02030602050306030303" pitchFamily="18" charset="0"/>
                    <a:ea typeface="+mn-ea"/>
                    <a:cs typeface="+mn-cs"/>
                  </a:defRPr>
                </a:pPr>
                <a:r>
                  <a:rPr lang="sk-SK" i="1"/>
                  <a:t>dôchodkový vek</a:t>
                </a:r>
              </a:p>
            </c:rich>
          </c:tx>
          <c:layout>
            <c:manualLayout>
              <c:xMode val="edge"/>
              <c:yMode val="edge"/>
              <c:x val="5.2576235541535225E-2"/>
              <c:y val="3.34492439041797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onstantia" panose="02030602050306030303" pitchFamily="18" charset="0"/>
                  <a:ea typeface="+mn-ea"/>
                  <a:cs typeface="+mn-cs"/>
                </a:defRPr>
              </a:pPr>
              <a:endParaRPr lang="sk-SK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6714393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5800312109862669"/>
          <c:y val="0.4571110883202571"/>
          <c:w val="0.29565344411555172"/>
          <c:h val="0.391075377911432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onstantia" panose="02030602050306030303" pitchFamily="18" charset="0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latin typeface="Constantia" panose="02030602050306030303" pitchFamily="18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r>
              <a:rPr lang="en-US" b="1"/>
              <a:t>20</a:t>
            </a:r>
            <a:r>
              <a:rPr lang="sk-SK" b="1"/>
              <a:t>18</a:t>
            </a:r>
            <a:endParaRPr lang="en-US" b="1"/>
          </a:p>
        </c:rich>
      </c:tx>
      <c:layout>
        <c:manualLayout>
          <c:xMode val="edge"/>
          <c:yMode val="edge"/>
          <c:x val="0.4857144440058449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onstantia" panose="02030602050306030303" pitchFamily="18" charset="0"/>
              <a:ea typeface="+mn-ea"/>
              <a:cs typeface="+mn-cs"/>
            </a:defRPr>
          </a:pPr>
          <a:endParaRPr lang="sk-SK"/>
        </a:p>
      </c:txPr>
    </c:title>
    <c:autoTitleDeleted val="0"/>
    <c:plotArea>
      <c:layout>
        <c:manualLayout>
          <c:layoutTarget val="inner"/>
          <c:xMode val="edge"/>
          <c:yMode val="edge"/>
          <c:x val="8.5495605925248769E-2"/>
          <c:y val="9.2311679790026246E-2"/>
          <c:w val="0.8413751152727531"/>
          <c:h val="0.83186220472440942"/>
        </c:manualLayout>
      </c:layout>
      <c:barChart>
        <c:barDir val="bar"/>
        <c:grouping val="stacked"/>
        <c:varyColors val="0"/>
        <c:ser>
          <c:idx val="0"/>
          <c:order val="0"/>
          <c:spPr>
            <a:solidFill>
              <a:srgbClr val="B2E4F8"/>
            </a:solidFill>
            <a:ln w="9525">
              <a:solidFill>
                <a:srgbClr val="13B5EA"/>
              </a:solidFill>
            </a:ln>
            <a:effectLst/>
          </c:spPr>
          <c:invertIfNegative val="0"/>
          <c:dLbls>
            <c:dLbl>
              <c:idx val="0"/>
              <c:layout>
                <c:manualLayout>
                  <c:x val="2.3682648040792335E-2"/>
                  <c:y val="4.16666666666666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CAD-4E59-8996-51BD9BFE3FE3}"/>
                </c:ext>
              </c:extLst>
            </c:dLbl>
            <c:dLbl>
              <c:idx val="1"/>
              <c:layout>
                <c:manualLayout>
                  <c:x val="4.7365296081584669E-3"/>
                  <c:y val="0.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CAD-4E59-8996-51BD9BFE3FE3}"/>
                </c:ext>
              </c:extLst>
            </c:dLbl>
            <c:dLbl>
              <c:idx val="2"/>
              <c:layout>
                <c:manualLayout>
                  <c:x val="-4.7365296081585536E-3"/>
                  <c:y val="-5.41666666666666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CAD-4E59-8996-51BD9BFE3FE3}"/>
                </c:ext>
              </c:extLst>
            </c:dLbl>
            <c:dLbl>
              <c:idx val="3"/>
              <c:layout>
                <c:manualLayout>
                  <c:x val="-1.6577853628554722E-2"/>
                  <c:y val="-6.2499999999999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CAD-4E59-8996-51BD9BFE3FE3}"/>
                </c:ext>
              </c:extLst>
            </c:dLbl>
            <c:dLbl>
              <c:idx val="4"/>
              <c:layout>
                <c:manualLayout>
                  <c:x val="-1.6577853628554635E-2"/>
                  <c:y val="-6.24993438320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CAD-4E59-8996-51BD9BFE3FE3}"/>
                </c:ext>
              </c:extLst>
            </c:dLbl>
            <c:dLbl>
              <c:idx val="5"/>
              <c:layout>
                <c:manualLayout>
                  <c:x val="-6.1574884906060071E-2"/>
                  <c:y val="-6.24996719160104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CAD-4E59-8996-51BD9BFE3FE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13B5EA"/>
                    </a:solidFill>
                    <a:latin typeface="Constantia" panose="02030602050306030303" pitchFamily="18" charset="0"/>
                    <a:ea typeface="+mn-ea"/>
                    <a:cs typeface="+mn-cs"/>
                  </a:defRPr>
                </a:pPr>
                <a:endParaRPr lang="sk-SK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'G07'!$A$2:$A$7</c:f>
              <c:strCache>
                <c:ptCount val="6"/>
                <c:pt idx="0">
                  <c:v>Daňové opatrenia</c:v>
                </c:pt>
                <c:pt idx="1">
                  <c:v>Nedaňové a iné príjmy</c:v>
                </c:pt>
                <c:pt idx="2">
                  <c:v>Mzdy</c:v>
                </c:pt>
                <c:pt idx="3">
                  <c:v>Výdavky na tovary a služby</c:v>
                </c:pt>
                <c:pt idx="4">
                  <c:v>Bežné transfery</c:v>
                </c:pt>
                <c:pt idx="5">
                  <c:v>Investície</c:v>
                </c:pt>
              </c:strCache>
            </c:strRef>
          </c:cat>
          <c:val>
            <c:numRef>
              <c:f>'G07'!$E$2:$E$7</c:f>
              <c:numCache>
                <c:formatCode>0.00</c:formatCode>
                <c:ptCount val="6"/>
                <c:pt idx="0">
                  <c:v>0.31645776139122894</c:v>
                </c:pt>
                <c:pt idx="1">
                  <c:v>0</c:v>
                </c:pt>
                <c:pt idx="2">
                  <c:v>-0.11014299871171102</c:v>
                </c:pt>
                <c:pt idx="3">
                  <c:v>-0.26229091766368018</c:v>
                </c:pt>
                <c:pt idx="4">
                  <c:v>-0.2301432923902248</c:v>
                </c:pt>
                <c:pt idx="5">
                  <c:v>-0.38340481840825469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CAD-4E59-8996-51BD9BFE3FE3}"/>
            </c:ext>
          </c:extLst>
        </c:ser>
        <c:ser>
          <c:idx val="1"/>
          <c:order val="1"/>
          <c:spPr>
            <a:solidFill>
              <a:schemeClr val="bg1">
                <a:lumMod val="75000"/>
              </a:schemeClr>
            </a:solidFill>
            <a:ln w="9525">
              <a:solidFill>
                <a:schemeClr val="bg1">
                  <a:lumMod val="75000"/>
                </a:schemeClr>
              </a:solidFill>
            </a:ln>
            <a:effectLst/>
          </c:spPr>
          <c:invertIfNegative val="0"/>
          <c:dLbls>
            <c:dLbl>
              <c:idx val="0"/>
              <c:layout>
                <c:manualLayout>
                  <c:x val="-0.17563085616936405"/>
                  <c:y val="4.21948818897636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CAD-4E59-8996-51BD9BFE3FE3}"/>
                </c:ext>
              </c:extLst>
            </c:dLbl>
            <c:dLbl>
              <c:idx val="1"/>
              <c:layout>
                <c:manualLayout>
                  <c:x val="2.6050912844871568E-2"/>
                  <c:y val="5.83333333333333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CAD-4E59-8996-51BD9BFE3FE3}"/>
                </c:ext>
              </c:extLst>
            </c:dLbl>
            <c:dLbl>
              <c:idx val="2"/>
              <c:layout>
                <c:manualLayout>
                  <c:x val="1.4371451332344755E-2"/>
                  <c:y val="5.78051181102362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CAD-4E59-8996-51BD9BFE3FE3}"/>
                </c:ext>
              </c:extLst>
            </c:dLbl>
            <c:dLbl>
              <c:idx val="3"/>
              <c:layout>
                <c:manualLayout>
                  <c:x val="-4.7365296081585536E-3"/>
                  <c:y val="-6.24990157480314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CAD-4E59-8996-51BD9BFE3FE3}"/>
                </c:ext>
              </c:extLst>
            </c:dLbl>
            <c:dLbl>
              <c:idx val="4"/>
              <c:layout>
                <c:manualLayout>
                  <c:x val="3.235385381950764E-4"/>
                  <c:y val="-6.19704724409448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CAD-4E59-8996-51BD9BFE3FE3}"/>
                </c:ext>
              </c:extLst>
            </c:dLbl>
            <c:dLbl>
              <c:idx val="5"/>
              <c:layout>
                <c:manualLayout>
                  <c:x val="1.4371451332344755E-2"/>
                  <c:y val="5.83333333333333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CAD-4E59-8996-51BD9BFE3FE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Constantia" panose="02030602050306030303" pitchFamily="18" charset="0"/>
                    <a:ea typeface="+mn-ea"/>
                    <a:cs typeface="+mn-cs"/>
                  </a:defRPr>
                </a:pPr>
                <a:endParaRPr lang="sk-SK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'G07'!$A$2:$A$7</c:f>
              <c:strCache>
                <c:ptCount val="6"/>
                <c:pt idx="0">
                  <c:v>Daňové opatrenia</c:v>
                </c:pt>
                <c:pt idx="1">
                  <c:v>Nedaňové a iné príjmy</c:v>
                </c:pt>
                <c:pt idx="2">
                  <c:v>Mzdy</c:v>
                </c:pt>
                <c:pt idx="3">
                  <c:v>Výdavky na tovary a služby</c:v>
                </c:pt>
                <c:pt idx="4">
                  <c:v>Bežné transfery</c:v>
                </c:pt>
                <c:pt idx="5">
                  <c:v>Investície</c:v>
                </c:pt>
              </c:strCache>
            </c:strRef>
          </c:cat>
          <c:val>
            <c:numRef>
              <c:f>'G07'!$F$2:$F$7</c:f>
              <c:numCache>
                <c:formatCode>0.00</c:formatCode>
                <c:ptCount val="6"/>
                <c:pt idx="0">
                  <c:v>0</c:v>
                </c:pt>
                <c:pt idx="1">
                  <c:v>0.11728468709114173</c:v>
                </c:pt>
                <c:pt idx="2">
                  <c:v>0.1851073845955265</c:v>
                </c:pt>
                <c:pt idx="3">
                  <c:v>-6.594847208671889E-2</c:v>
                </c:pt>
                <c:pt idx="4">
                  <c:v>-0.23830327170006455</c:v>
                </c:pt>
                <c:pt idx="5">
                  <c:v>0.2699595573548319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3CAD-4E59-8996-51BD9BFE3F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75"/>
        <c:overlap val="100"/>
        <c:axId val="382809200"/>
        <c:axId val="382809592"/>
      </c:barChart>
      <c:barChart>
        <c:barDir val="bar"/>
        <c:grouping val="stacked"/>
        <c:varyColors val="0"/>
        <c:ser>
          <c:idx val="2"/>
          <c:order val="2"/>
          <c:spPr>
            <a:noFill/>
            <a:ln w="19050">
              <a:solidFill>
                <a:schemeClr val="tx1"/>
              </a:solidFill>
            </a:ln>
            <a:effectLst/>
          </c:spPr>
          <c:invertIfNegative val="0"/>
          <c:dLbls>
            <c:dLbl>
              <c:idx val="0"/>
              <c:layout>
                <c:manualLayout>
                  <c:x val="0.19099184364936467"/>
                  <c:y val="-1.25000000000001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CAD-4E59-8996-51BD9BFE3FE3}"/>
                </c:ext>
              </c:extLst>
            </c:dLbl>
            <c:dLbl>
              <c:idx val="1"/>
              <c:layout>
                <c:manualLayout>
                  <c:x val="8.9119176725600463E-2"/>
                  <c:y val="-4.166666666666590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CAD-4E59-8996-51BD9BFE3FE3}"/>
                </c:ext>
              </c:extLst>
            </c:dLbl>
            <c:dLbl>
              <c:idx val="2"/>
              <c:layout>
                <c:manualLayout>
                  <c:x val="7.5353430425418463E-2"/>
                  <c:y val="-4.16633858267724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CAD-4E59-8996-51BD9BFE3FE3}"/>
                </c:ext>
              </c:extLst>
            </c:dLbl>
            <c:dLbl>
              <c:idx val="3"/>
              <c:layout>
                <c:manualLayout>
                  <c:x val="-0.18472465471818017"/>
                  <c:y val="-4.166010498687664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CAD-4E59-8996-51BD9BFE3FE3}"/>
                </c:ext>
              </c:extLst>
            </c:dLbl>
            <c:dLbl>
              <c:idx val="4"/>
              <c:layout>
                <c:manualLayout>
                  <c:x val="-0.24959906906125104"/>
                  <c:y val="1.9805804090900977E-6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Constantia" panose="02030602050306030303" pitchFamily="18" charset="0"/>
                      <a:ea typeface="+mn-ea"/>
                      <a:cs typeface="+mn-cs"/>
                    </a:defRPr>
                  </a:pPr>
                  <a:endParaRPr lang="sk-SK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1385208706163233"/>
                      <c:h val="5.0244024011236496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2-3CAD-4E59-8996-51BD9BFE3FE3}"/>
                </c:ext>
              </c:extLst>
            </c:dLbl>
            <c:dLbl>
              <c:idx val="5"/>
              <c:layout>
                <c:manualLayout>
                  <c:x val="-0.10858581493892806"/>
                  <c:y val="4.167801374192726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CAD-4E59-8996-51BD9BFE3FE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Constantia" panose="02030602050306030303" pitchFamily="18" charset="0"/>
                    <a:ea typeface="+mn-ea"/>
                    <a:cs typeface="+mn-cs"/>
                  </a:defRPr>
                </a:pPr>
                <a:endParaRPr lang="sk-SK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'G07'!$A$2:$A$7</c:f>
              <c:strCache>
                <c:ptCount val="6"/>
                <c:pt idx="0">
                  <c:v>Daňové opatrenia</c:v>
                </c:pt>
                <c:pt idx="1">
                  <c:v>Nedaňové a iné príjmy</c:v>
                </c:pt>
                <c:pt idx="2">
                  <c:v>Mzdy</c:v>
                </c:pt>
                <c:pt idx="3">
                  <c:v>Výdavky na tovary a služby</c:v>
                </c:pt>
                <c:pt idx="4">
                  <c:v>Bežné transfery</c:v>
                </c:pt>
                <c:pt idx="5">
                  <c:v>Investície</c:v>
                </c:pt>
              </c:strCache>
            </c:strRef>
          </c:cat>
          <c:val>
            <c:numRef>
              <c:f>'G07'!$G$2:$G$7</c:f>
              <c:numCache>
                <c:formatCode>0.00</c:formatCode>
                <c:ptCount val="6"/>
                <c:pt idx="0">
                  <c:v>0.31645776139122894</c:v>
                </c:pt>
                <c:pt idx="1">
                  <c:v>0.11728468709114173</c:v>
                </c:pt>
                <c:pt idx="2">
                  <c:v>7.4964385883815488E-2</c:v>
                </c:pt>
                <c:pt idx="3">
                  <c:v>-0.32823938975039907</c:v>
                </c:pt>
                <c:pt idx="4">
                  <c:v>-0.4684465640902894</c:v>
                </c:pt>
                <c:pt idx="5">
                  <c:v>-0.11344526105342281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3CAD-4E59-8996-51BD9BFE3F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40"/>
        <c:overlap val="46"/>
        <c:axId val="382810376"/>
        <c:axId val="382809984"/>
      </c:barChart>
      <c:catAx>
        <c:axId val="382809200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low"/>
        <c:crossAx val="382809592"/>
        <c:crosses val="autoZero"/>
        <c:auto val="1"/>
        <c:lblAlgn val="ctr"/>
        <c:lblOffset val="100"/>
        <c:noMultiLvlLbl val="0"/>
      </c:catAx>
      <c:valAx>
        <c:axId val="382809592"/>
        <c:scaling>
          <c:orientation val="minMax"/>
          <c:max val="0.5"/>
          <c:min val="-0.5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20000"/>
                  <a:lumOff val="80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382809200"/>
        <c:crosses val="autoZero"/>
        <c:crossBetween val="between"/>
        <c:majorUnit val="0.2"/>
      </c:valAx>
      <c:valAx>
        <c:axId val="382809984"/>
        <c:scaling>
          <c:orientation val="minMax"/>
        </c:scaling>
        <c:delete val="1"/>
        <c:axPos val="t"/>
        <c:numFmt formatCode="0.00" sourceLinked="1"/>
        <c:majorTickMark val="out"/>
        <c:minorTickMark val="none"/>
        <c:tickLblPos val="nextTo"/>
        <c:crossAx val="382810376"/>
        <c:crosses val="max"/>
        <c:crossBetween val="between"/>
      </c:valAx>
      <c:catAx>
        <c:axId val="382810376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382809984"/>
        <c:crosses val="autoZero"/>
        <c:auto val="1"/>
        <c:lblAlgn val="ctr"/>
        <c:lblOffset val="100"/>
        <c:noMultiLvlLbl val="0"/>
      </c:catAx>
      <c:spPr>
        <a:solidFill>
          <a:schemeClr val="accent1">
            <a:lumMod val="20000"/>
            <a:lumOff val="80000"/>
          </a:schemeClr>
        </a:solidFill>
        <a:ln>
          <a:solidFill>
            <a:schemeClr val="accent1">
              <a:lumMod val="20000"/>
              <a:lumOff val="80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Constantia" panose="02030602050306030303" pitchFamily="18" charset="0"/>
        </a:defRPr>
      </a:pPr>
      <a:endParaRPr lang="sk-SK"/>
    </a:p>
  </c:txPr>
  <c:printSettings>
    <c:headerFooter/>
    <c:pageMargins b="0.75" l="0.7" r="0.7" t="0.75" header="0.3" footer="0.3"/>
    <c:pageSetup paperSize="9" orientation="landscape"/>
  </c:printSettings>
  <c:userShapes r:id="rId3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r>
              <a:rPr lang="en-US" b="1"/>
              <a:t>20</a:t>
            </a:r>
            <a:r>
              <a:rPr lang="sk-SK" b="1"/>
              <a:t>19</a:t>
            </a:r>
            <a:endParaRPr lang="en-US" b="1"/>
          </a:p>
        </c:rich>
      </c:tx>
      <c:layout>
        <c:manualLayout>
          <c:xMode val="edge"/>
          <c:yMode val="edge"/>
          <c:x val="0.56742277688826503"/>
          <c:y val="8.5197018104366355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onstantia" panose="02030602050306030303" pitchFamily="18" charset="0"/>
              <a:ea typeface="+mn-ea"/>
              <a:cs typeface="+mn-cs"/>
            </a:defRPr>
          </a:pPr>
          <a:endParaRPr lang="sk-SK"/>
        </a:p>
      </c:txPr>
    </c:title>
    <c:autoTitleDeleted val="0"/>
    <c:plotArea>
      <c:layout>
        <c:manualLayout>
          <c:layoutTarget val="inner"/>
          <c:xMode val="edge"/>
          <c:yMode val="edge"/>
          <c:x val="8.5137935805348855E-2"/>
          <c:y val="9.1050010757510166E-2"/>
          <c:w val="0.85021765037030539"/>
          <c:h val="0.8190827903700536"/>
        </c:manualLayout>
      </c:layout>
      <c:barChart>
        <c:barDir val="bar"/>
        <c:grouping val="stacked"/>
        <c:varyColors val="0"/>
        <c:ser>
          <c:idx val="0"/>
          <c:order val="0"/>
          <c:spPr>
            <a:solidFill>
              <a:srgbClr val="B2E4F8"/>
            </a:solidFill>
            <a:ln w="9525">
              <a:solidFill>
                <a:srgbClr val="13B5EA"/>
              </a:solidFill>
            </a:ln>
            <a:effectLst/>
          </c:spPr>
          <c:invertIfNegative val="0"/>
          <c:dLbls>
            <c:dLbl>
              <c:idx val="0"/>
              <c:layout>
                <c:manualLayout>
                  <c:x val="2.3682648040792335E-2"/>
                  <c:y val="4.16666666666666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A62-4E61-9E3E-E5866418FC44}"/>
                </c:ext>
              </c:extLst>
            </c:dLbl>
            <c:dLbl>
              <c:idx val="1"/>
              <c:layout>
                <c:manualLayout>
                  <c:x val="-3.7479760940172718E-2"/>
                  <c:y val="0.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A62-4E61-9E3E-E5866418FC44}"/>
                </c:ext>
              </c:extLst>
            </c:dLbl>
            <c:dLbl>
              <c:idx val="2"/>
              <c:layout>
                <c:manualLayout>
                  <c:x val="-4.7365296081585536E-3"/>
                  <c:y val="-5.41666666666666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A62-4E61-9E3E-E5866418FC44}"/>
                </c:ext>
              </c:extLst>
            </c:dLbl>
            <c:dLbl>
              <c:idx val="3"/>
              <c:layout>
                <c:manualLayout>
                  <c:x val="-1.6577853628554722E-2"/>
                  <c:y val="-6.2499999999999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A62-4E61-9E3E-E5866418FC44}"/>
                </c:ext>
              </c:extLst>
            </c:dLbl>
            <c:dLbl>
              <c:idx val="4"/>
              <c:layout>
                <c:manualLayout>
                  <c:x val="-1.6577853628554635E-2"/>
                  <c:y val="-6.24993438320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A62-4E61-9E3E-E5866418FC44}"/>
                </c:ext>
              </c:extLst>
            </c:dLbl>
            <c:dLbl>
              <c:idx val="5"/>
              <c:layout>
                <c:manualLayout>
                  <c:x val="-6.1574884906060071E-2"/>
                  <c:y val="-6.24996719160104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A62-4E61-9E3E-E5866418FC4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13B5EA"/>
                    </a:solidFill>
                    <a:latin typeface="Constantia" panose="02030602050306030303" pitchFamily="18" charset="0"/>
                    <a:ea typeface="+mn-ea"/>
                    <a:cs typeface="+mn-cs"/>
                  </a:defRPr>
                </a:pPr>
                <a:endParaRPr lang="sk-SK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'G07'!$A$2:$A$7</c:f>
              <c:strCache>
                <c:ptCount val="6"/>
                <c:pt idx="0">
                  <c:v>Daňové opatrenia</c:v>
                </c:pt>
                <c:pt idx="1">
                  <c:v>Nedaňové a iné príjmy</c:v>
                </c:pt>
                <c:pt idx="2">
                  <c:v>Mzdy</c:v>
                </c:pt>
                <c:pt idx="3">
                  <c:v>Výdavky na tovary a služby</c:v>
                </c:pt>
                <c:pt idx="4">
                  <c:v>Bežné transfery</c:v>
                </c:pt>
                <c:pt idx="5">
                  <c:v>Investície</c:v>
                </c:pt>
              </c:strCache>
            </c:strRef>
          </c:cat>
          <c:val>
            <c:numRef>
              <c:f>'G07'!$H$2:$H$7</c:f>
              <c:numCache>
                <c:formatCode>0.00</c:formatCode>
                <c:ptCount val="6"/>
                <c:pt idx="0">
                  <c:v>0.28534084012636735</c:v>
                </c:pt>
                <c:pt idx="1">
                  <c:v>0</c:v>
                </c:pt>
                <c:pt idx="2">
                  <c:v>-0.10348712663131668</c:v>
                </c:pt>
                <c:pt idx="3">
                  <c:v>-0.24431802975964975</c:v>
                </c:pt>
                <c:pt idx="4">
                  <c:v>-0.21596112697777248</c:v>
                </c:pt>
                <c:pt idx="5">
                  <c:v>-2.3693305182968583E-2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A62-4E61-9E3E-E5866418FC44}"/>
            </c:ext>
          </c:extLst>
        </c:ser>
        <c:ser>
          <c:idx val="1"/>
          <c:order val="1"/>
          <c:spPr>
            <a:solidFill>
              <a:schemeClr val="bg1">
                <a:lumMod val="75000"/>
              </a:schemeClr>
            </a:solidFill>
            <a:ln w="9525">
              <a:solidFill>
                <a:schemeClr val="bg1">
                  <a:lumMod val="75000"/>
                </a:schemeClr>
              </a:solidFill>
            </a:ln>
            <a:effectLst/>
          </c:spPr>
          <c:invertIfNegative val="0"/>
          <c:dLbls>
            <c:dLbl>
              <c:idx val="0"/>
              <c:layout>
                <c:manualLayout>
                  <c:x val="-0.17563085616936405"/>
                  <c:y val="4.21948818897636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A62-4E61-9E3E-E5866418FC44}"/>
                </c:ext>
              </c:extLst>
            </c:dLbl>
            <c:dLbl>
              <c:idx val="1"/>
              <c:layout>
                <c:manualLayout>
                  <c:x val="2.6050872928482755E-2"/>
                  <c:y val="4.583333333333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A62-4E61-9E3E-E5866418FC44}"/>
                </c:ext>
              </c:extLst>
            </c:dLbl>
            <c:dLbl>
              <c:idx val="2"/>
              <c:layout>
                <c:manualLayout>
                  <c:x val="1.4371451332344755E-2"/>
                  <c:y val="5.78051181102362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A62-4E61-9E3E-E5866418FC44}"/>
                </c:ext>
              </c:extLst>
            </c:dLbl>
            <c:dLbl>
              <c:idx val="3"/>
              <c:layout>
                <c:manualLayout>
                  <c:x val="-4.7365296081585536E-3"/>
                  <c:y val="-6.24990157480314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A62-4E61-9E3E-E5866418FC44}"/>
                </c:ext>
              </c:extLst>
            </c:dLbl>
            <c:dLbl>
              <c:idx val="4"/>
              <c:layout>
                <c:manualLayout>
                  <c:x val="3.235385381950764E-4"/>
                  <c:y val="-6.19704724409448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A62-4E61-9E3E-E5866418FC44}"/>
                </c:ext>
              </c:extLst>
            </c:dLbl>
            <c:dLbl>
              <c:idx val="5"/>
              <c:layout>
                <c:manualLayout>
                  <c:x val="1.4371451332344755E-2"/>
                  <c:y val="5.83333333333333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A62-4E61-9E3E-E5866418FC4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Constantia" panose="02030602050306030303" pitchFamily="18" charset="0"/>
                    <a:ea typeface="+mn-ea"/>
                    <a:cs typeface="+mn-cs"/>
                  </a:defRPr>
                </a:pPr>
                <a:endParaRPr lang="sk-SK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'G07'!$A$2:$A$7</c:f>
              <c:strCache>
                <c:ptCount val="6"/>
                <c:pt idx="0">
                  <c:v>Daňové opatrenia</c:v>
                </c:pt>
                <c:pt idx="1">
                  <c:v>Nedaňové a iné príjmy</c:v>
                </c:pt>
                <c:pt idx="2">
                  <c:v>Mzdy</c:v>
                </c:pt>
                <c:pt idx="3">
                  <c:v>Výdavky na tovary a služby</c:v>
                </c:pt>
                <c:pt idx="4">
                  <c:v>Bežné transfery</c:v>
                </c:pt>
                <c:pt idx="5">
                  <c:v>Investície</c:v>
                </c:pt>
              </c:strCache>
            </c:strRef>
          </c:cat>
          <c:val>
            <c:numRef>
              <c:f>'G07'!$I$2:$I$7</c:f>
              <c:numCache>
                <c:formatCode>0.00</c:formatCode>
                <c:ptCount val="6"/>
                <c:pt idx="0">
                  <c:v>0</c:v>
                </c:pt>
                <c:pt idx="1">
                  <c:v>4.6029570426448285E-2</c:v>
                </c:pt>
                <c:pt idx="2">
                  <c:v>0.26211432212861896</c:v>
                </c:pt>
                <c:pt idx="3">
                  <c:v>-3.9119984068618524E-2</c:v>
                </c:pt>
                <c:pt idx="4">
                  <c:v>-0.53134152889500386</c:v>
                </c:pt>
                <c:pt idx="5">
                  <c:v>0.17769654546931885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0A62-4E61-9E3E-E5866418FC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75"/>
        <c:overlap val="100"/>
        <c:axId val="382811160"/>
        <c:axId val="382811552"/>
      </c:barChart>
      <c:barChart>
        <c:barDir val="bar"/>
        <c:grouping val="stacked"/>
        <c:varyColors val="0"/>
        <c:ser>
          <c:idx val="2"/>
          <c:order val="2"/>
          <c:spPr>
            <a:noFill/>
            <a:ln w="19050">
              <a:solidFill>
                <a:schemeClr val="tx1"/>
              </a:solidFill>
            </a:ln>
            <a:effectLst/>
          </c:spPr>
          <c:invertIfNegative val="0"/>
          <c:dLbls>
            <c:dLbl>
              <c:idx val="0"/>
              <c:layout>
                <c:manualLayout>
                  <c:x val="0.14763841854860477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A62-4E61-9E3E-E5866418FC44}"/>
                </c:ext>
              </c:extLst>
            </c:dLbl>
            <c:dLbl>
              <c:idx val="1"/>
              <c:layout>
                <c:manualLayout>
                  <c:x val="8.9119176725600463E-2"/>
                  <c:y val="-4.166666666666590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A62-4E61-9E3E-E5866418FC44}"/>
                </c:ext>
              </c:extLst>
            </c:dLbl>
            <c:dLbl>
              <c:idx val="2"/>
              <c:layout>
                <c:manualLayout>
                  <c:x val="0.10701569955470605"/>
                  <c:y val="-4.16633858267724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A62-4E61-9E3E-E5866418FC44}"/>
                </c:ext>
              </c:extLst>
            </c:dLbl>
            <c:dLbl>
              <c:idx val="3"/>
              <c:layout>
                <c:manualLayout>
                  <c:x val="-0.15306227882464565"/>
                  <c:y val="9.8425196850393705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A62-4E61-9E3E-E5866418FC44}"/>
                </c:ext>
              </c:extLst>
            </c:dLbl>
            <c:dLbl>
              <c:idx val="4"/>
              <c:layout>
                <c:manualLayout>
                  <c:x val="-0.32625184384933414"/>
                  <c:y val="9.8425196850393705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A62-4E61-9E3E-E5866418FC44}"/>
                </c:ext>
              </c:extLst>
            </c:dLbl>
            <c:dLbl>
              <c:idx val="5"/>
              <c:layout>
                <c:manualLayout>
                  <c:x val="8.8394517967575817E-2"/>
                  <c:y val="6.561679790026247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A62-4E61-9E3E-E5866418FC4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Constantia" panose="02030602050306030303" pitchFamily="18" charset="0"/>
                    <a:ea typeface="+mn-ea"/>
                    <a:cs typeface="+mn-cs"/>
                  </a:defRPr>
                </a:pPr>
                <a:endParaRPr lang="sk-SK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'G07'!$A$2:$A$7</c:f>
              <c:strCache>
                <c:ptCount val="6"/>
                <c:pt idx="0">
                  <c:v>Daňové opatrenia</c:v>
                </c:pt>
                <c:pt idx="1">
                  <c:v>Nedaňové a iné príjmy</c:v>
                </c:pt>
                <c:pt idx="2">
                  <c:v>Mzdy</c:v>
                </c:pt>
                <c:pt idx="3">
                  <c:v>Výdavky na tovary a služby</c:v>
                </c:pt>
                <c:pt idx="4">
                  <c:v>Bežné transfery</c:v>
                </c:pt>
                <c:pt idx="5">
                  <c:v>Investície</c:v>
                </c:pt>
              </c:strCache>
            </c:strRef>
          </c:cat>
          <c:val>
            <c:numRef>
              <c:f>'G07'!$J$2:$J$7</c:f>
              <c:numCache>
                <c:formatCode>#,##0.00</c:formatCode>
                <c:ptCount val="6"/>
                <c:pt idx="0">
                  <c:v>0.28534084012636735</c:v>
                </c:pt>
                <c:pt idx="1">
                  <c:v>4.6029570426448285E-2</c:v>
                </c:pt>
                <c:pt idx="2">
                  <c:v>0.15862719549730225</c:v>
                </c:pt>
                <c:pt idx="3">
                  <c:v>-0.28343801382826828</c:v>
                </c:pt>
                <c:pt idx="4">
                  <c:v>-0.74730265587277622</c:v>
                </c:pt>
                <c:pt idx="5">
                  <c:v>0.15400324028635026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0A62-4E61-9E3E-E5866418FC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40"/>
        <c:overlap val="46"/>
        <c:axId val="382812336"/>
        <c:axId val="382811944"/>
      </c:barChart>
      <c:catAx>
        <c:axId val="382811160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low"/>
        <c:crossAx val="382811552"/>
        <c:crosses val="autoZero"/>
        <c:auto val="1"/>
        <c:lblAlgn val="ctr"/>
        <c:lblOffset val="100"/>
        <c:noMultiLvlLbl val="0"/>
      </c:catAx>
      <c:valAx>
        <c:axId val="382811552"/>
        <c:scaling>
          <c:orientation val="minMax"/>
          <c:max val="0.4"/>
          <c:min val="-0.8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20000"/>
                  <a:lumOff val="80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382811160"/>
        <c:crosses val="autoZero"/>
        <c:crossBetween val="between"/>
        <c:majorUnit val="0.2"/>
      </c:valAx>
      <c:valAx>
        <c:axId val="382811944"/>
        <c:scaling>
          <c:orientation val="minMax"/>
        </c:scaling>
        <c:delete val="1"/>
        <c:axPos val="t"/>
        <c:numFmt formatCode="#,##0.00" sourceLinked="1"/>
        <c:majorTickMark val="out"/>
        <c:minorTickMark val="none"/>
        <c:tickLblPos val="nextTo"/>
        <c:crossAx val="382812336"/>
        <c:crosses val="max"/>
        <c:crossBetween val="between"/>
      </c:valAx>
      <c:catAx>
        <c:axId val="382812336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382811944"/>
        <c:crosses val="autoZero"/>
        <c:auto val="1"/>
        <c:lblAlgn val="ctr"/>
        <c:lblOffset val="100"/>
        <c:noMultiLvlLbl val="0"/>
      </c:catAx>
      <c:spPr>
        <a:solidFill>
          <a:schemeClr val="accent1">
            <a:lumMod val="20000"/>
            <a:lumOff val="80000"/>
          </a:schemeClr>
        </a:solidFill>
        <a:ln>
          <a:solidFill>
            <a:schemeClr val="accent1">
              <a:lumMod val="20000"/>
              <a:lumOff val="80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Constantia" panose="02030602050306030303" pitchFamily="18" charset="0"/>
        </a:defRPr>
      </a:pPr>
      <a:endParaRPr lang="sk-SK"/>
    </a:p>
  </c:txPr>
  <c:printSettings>
    <c:headerFooter/>
    <c:pageMargins b="0.75" l="0.7" r="0.7" t="0.75" header="0.3" footer="0.3"/>
    <c:pageSetup paperSize="9" orientation="landscape"/>
  </c:printSettings>
  <c:userShapes r:id="rId3"/>
</c:chartSpace>
</file>

<file path=xl/charts/chartEx1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_xlchart.v2.0</cx:f>
      </cx:strDim>
      <cx:numDim type="size">
        <cx:f>_xlchart.v2.1</cx:f>
      </cx:numDim>
    </cx:data>
  </cx:chartData>
  <cx:chart>
    <cx:plotArea>
      <cx:plotAreaRegion>
        <cx:series layoutId="sunburst" uniqueId="{8B01B924-21C3-4ED9-9FD4-250E990C0AD0}">
          <cx:dataPt idx="0">
            <cx:spPr>
              <a:solidFill>
                <a:srgbClr val="13B5EA"/>
              </a:solidFill>
              <a:ln>
                <a:solidFill>
                  <a:sysClr val="window" lastClr="FFFFFF">
                    <a:lumMod val="95000"/>
                  </a:sysClr>
                </a:solidFill>
              </a:ln>
            </cx:spPr>
          </cx:dataPt>
          <cx:dataPt idx="3">
            <cx:spPr>
              <a:solidFill>
                <a:srgbClr val="DCB47B"/>
              </a:solidFill>
              <a:ln>
                <a:solidFill>
                  <a:sysClr val="window" lastClr="FFFFFF"/>
                </a:solidFill>
              </a:ln>
            </cx:spPr>
          </cx:dataPt>
          <cx:dataPt idx="7">
            <cx:spPr>
              <a:solidFill>
                <a:sysClr val="window" lastClr="FFFFFF">
                  <a:lumMod val="75000"/>
                </a:sysClr>
              </a:solidFill>
              <a:ln>
                <a:solidFill>
                  <a:sysClr val="window" lastClr="FFFFFF">
                    <a:lumMod val="95000"/>
                  </a:sysClr>
                </a:solidFill>
              </a:ln>
            </cx:spPr>
          </cx:dataPt>
          <cx:dataId val="0"/>
          <cx:layoutPr/>
        </cx:series>
      </cx:plotAreaRegion>
    </cx:plotArea>
  </cx:chart>
  <cx:spPr>
    <a:ln>
      <a:noFill/>
    </a:ln>
  </cx:spPr>
</cx:chartSpace>
</file>

<file path=xl/charts/chartEx2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_xlchart.v2.2</cx:f>
      </cx:strDim>
      <cx:numDim type="size">
        <cx:f>_xlchart.v2.3</cx:f>
      </cx:numDim>
    </cx:data>
  </cx:chartData>
  <cx:chart>
    <cx:plotArea>
      <cx:plotAreaRegion>
        <cx:plotSurface>
          <cx:spPr>
            <a:ln>
              <a:noFill/>
            </a:ln>
          </cx:spPr>
        </cx:plotSurface>
        <cx:series layoutId="sunburst" uniqueId="{E5B55949-44A4-418F-A828-BB601BB42ABD}">
          <cx:dataPt idx="0">
            <cx:spPr>
              <a:solidFill>
                <a:sysClr val="window" lastClr="FFFFFF">
                  <a:lumMod val="75000"/>
                </a:sysClr>
              </a:solidFill>
              <a:ln>
                <a:solidFill>
                  <a:sysClr val="window" lastClr="FFFFFF">
                    <a:lumMod val="85000"/>
                  </a:sysClr>
                </a:solidFill>
              </a:ln>
            </cx:spPr>
          </cx:dataPt>
          <cx:dataPt idx="7">
            <cx:spPr>
              <a:solidFill>
                <a:srgbClr val="13B5EA"/>
              </a:solidFill>
              <a:ln>
                <a:solidFill>
                  <a:srgbClr val="B1E8F9"/>
                </a:solidFill>
              </a:ln>
            </cx:spPr>
          </cx:dataPt>
          <cx:dataPt idx="13">
            <cx:spPr>
              <a:solidFill>
                <a:srgbClr val="DCB47B"/>
              </a:solidFill>
              <a:ln>
                <a:solidFill>
                  <a:sysClr val="window" lastClr="FFFFFF"/>
                </a:solidFill>
              </a:ln>
            </cx:spPr>
          </cx:dataPt>
          <cx:dataId val="0"/>
        </cx:series>
      </cx:plotAreaRegion>
    </cx:plotArea>
  </cx:chart>
  <cx:spPr>
    <a:ln>
      <a:noFill/>
    </a:ln>
  </cx:spPr>
  <cx:printSettings>
    <cx:headerFooter alignWithMargins="1" differentOddEven="0" differentFirst="0"/>
    <cx:pageMargins l="0.69999999999999996" r="0.69999999999999996" t="0.75" b="0.75" header="0.29999999999999999" footer="0.29999999999999999"/>
    <cx:pageSetup paperSize="1" firstPageNumber="1" orientation="default" blackAndWhite="0" draft="0" useFirstPageNumber="0" horizontalDpi="600" verticalDpi="600" copies="1"/>
  </cx:printSettings>
</cx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withinLinearReversed" id="23">
  <a:schemeClr val="accent3"/>
</cs:colorStyle>
</file>

<file path=xl/charts/colors29.xml><?xml version="1.0" encoding="utf-8"?>
<cs:colorStyle xmlns:cs="http://schemas.microsoft.com/office/drawing/2012/chartStyle" xmlns:a="http://schemas.openxmlformats.org/drawingml/2006/main" meth="withinLinearReversed" id="21">
  <a:schemeClr val="accent1"/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withinLinearReversed" id="24">
  <a:schemeClr val="accent4"/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382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/>
    <cs:bodyPr lIns="38100" tIns="19050" rIns="38100" bIns="19050">
      <a:spAutoFit/>
    </cs:bodyPr>
  </cs:dataLabel>
  <cs:dataLabelCallout>
    <cs:lnRef idx="0"/>
    <cs:fillRef idx="0"/>
    <cs:effectRef idx="0"/>
    <cs:fontRef idx="minor">
      <a:schemeClr val="dk1">
        <a:lumMod val="50000"/>
        <a:lumOff val="50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ltUpDiag">
        <a:fgClr>
          <a:schemeClr val="phClr"/>
        </a:fgClr>
        <a:bgClr>
          <a:schemeClr val="phClr">
            <a:lumMod val="20000"/>
            <a:lumOff val="80000"/>
          </a:schemeClr>
        </a:bgClr>
      </a:pattFill>
      <a:ln w="9525">
        <a:solidFill>
          <a:schemeClr val="lt1"/>
        </a:solidFill>
      </a:ln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  <a:lumOff val="10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dk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cap="all" spc="15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/>
  </cs:valueAxis>
  <cs:wall>
    <cs:lnRef idx="0"/>
    <cs:fillRef idx="0"/>
    <cs:effectRef idx="0"/>
    <cs:fontRef idx="minor">
      <a:schemeClr val="dk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38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lt1"/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hyperlink" Target="#obsah!A1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obsah!A1"/></Relationships>
</file>

<file path=xl/drawings/_rels/drawing10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obsah!A1"/><Relationship Id="rId1" Type="http://schemas.microsoft.com/office/2014/relationships/chartEx" Target="../charts/chartEx1.xml"/></Relationships>
</file>

<file path=xl/drawings/_rels/drawing10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obsah!A1"/><Relationship Id="rId1" Type="http://schemas.openxmlformats.org/officeDocument/2006/relationships/chart" Target="../charts/chart43.xml"/></Relationships>
</file>

<file path=xl/drawings/_rels/drawing105.xml.rels><?xml version="1.0" encoding="UTF-8" standalone="yes"?>
<Relationships xmlns="http://schemas.openxmlformats.org/package/2006/relationships"><Relationship Id="rId3" Type="http://schemas.openxmlformats.org/officeDocument/2006/relationships/hyperlink" Target="#obsah!A1"/><Relationship Id="rId2" Type="http://schemas.openxmlformats.org/officeDocument/2006/relationships/chart" Target="../charts/chart45.xml"/><Relationship Id="rId1" Type="http://schemas.openxmlformats.org/officeDocument/2006/relationships/chart" Target="../charts/chart44.xml"/><Relationship Id="rId4" Type="http://schemas.openxmlformats.org/officeDocument/2006/relationships/image" Target="../media/image1.png"/></Relationships>
</file>

<file path=xl/drawings/_rels/drawing10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obsah!A1"/><Relationship Id="rId1" Type="http://schemas.openxmlformats.org/officeDocument/2006/relationships/chart" Target="../charts/chart46.xml"/></Relationships>
</file>

<file path=xl/drawings/_rels/drawing10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obsah!A1"/><Relationship Id="rId1" Type="http://schemas.openxmlformats.org/officeDocument/2006/relationships/chart" Target="../charts/chart47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obsah!A1"/></Relationships>
</file>

<file path=xl/drawings/_rels/drawing110.xml.rels><?xml version="1.0" encoding="UTF-8" standalone="yes"?>
<Relationships xmlns="http://schemas.openxmlformats.org/package/2006/relationships"><Relationship Id="rId3" Type="http://schemas.openxmlformats.org/officeDocument/2006/relationships/hyperlink" Target="#obsah!A1"/><Relationship Id="rId2" Type="http://schemas.openxmlformats.org/officeDocument/2006/relationships/chart" Target="../charts/chart49.xml"/><Relationship Id="rId1" Type="http://schemas.openxmlformats.org/officeDocument/2006/relationships/chart" Target="../charts/chart48.xml"/><Relationship Id="rId4" Type="http://schemas.openxmlformats.org/officeDocument/2006/relationships/image" Target="../media/image1.png"/></Relationships>
</file>

<file path=xl/drawings/_rels/drawing111.xml.rels><?xml version="1.0" encoding="UTF-8" standalone="yes"?>
<Relationships xmlns="http://schemas.openxmlformats.org/package/2006/relationships"><Relationship Id="rId3" Type="http://schemas.openxmlformats.org/officeDocument/2006/relationships/hyperlink" Target="#obsah!A1"/><Relationship Id="rId2" Type="http://schemas.openxmlformats.org/officeDocument/2006/relationships/chart" Target="../charts/chart51.xml"/><Relationship Id="rId1" Type="http://schemas.openxmlformats.org/officeDocument/2006/relationships/chart" Target="../charts/chart50.xml"/><Relationship Id="rId4" Type="http://schemas.openxmlformats.org/officeDocument/2006/relationships/image" Target="../media/image1.png"/></Relationships>
</file>

<file path=xl/drawings/_rels/drawing1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obsah!A1"/><Relationship Id="rId1" Type="http://schemas.microsoft.com/office/2014/relationships/chartEx" Target="../charts/chartEx2.xml"/></Relationships>
</file>

<file path=xl/drawings/_rels/drawing1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obsah!A1"/><Relationship Id="rId1" Type="http://schemas.openxmlformats.org/officeDocument/2006/relationships/chart" Target="../charts/chart52.xml"/></Relationships>
</file>

<file path=xl/drawings/_rels/drawing11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png"/><Relationship Id="rId3" Type="http://schemas.openxmlformats.org/officeDocument/2006/relationships/chart" Target="../charts/chart55.xml"/><Relationship Id="rId7" Type="http://schemas.openxmlformats.org/officeDocument/2006/relationships/hyperlink" Target="#obsah!A1"/><Relationship Id="rId2" Type="http://schemas.openxmlformats.org/officeDocument/2006/relationships/chart" Target="../charts/chart54.xml"/><Relationship Id="rId1" Type="http://schemas.openxmlformats.org/officeDocument/2006/relationships/chart" Target="../charts/chart53.xml"/><Relationship Id="rId6" Type="http://schemas.openxmlformats.org/officeDocument/2006/relationships/chart" Target="../charts/chart58.xml"/><Relationship Id="rId5" Type="http://schemas.openxmlformats.org/officeDocument/2006/relationships/chart" Target="../charts/chart57.xml"/><Relationship Id="rId4" Type="http://schemas.openxmlformats.org/officeDocument/2006/relationships/chart" Target="../charts/chart5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obsah!A1"/></Relationships>
</file>

<file path=xl/drawings/_rels/drawing1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obsah!A1"/><Relationship Id="rId1" Type="http://schemas.openxmlformats.org/officeDocument/2006/relationships/chart" Target="../charts/chart59.xml"/></Relationships>
</file>

<file path=xl/drawings/_rels/drawing1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obsah!A1"/><Relationship Id="rId1" Type="http://schemas.openxmlformats.org/officeDocument/2006/relationships/chart" Target="../charts/chart60.xml"/></Relationships>
</file>

<file path=xl/drawings/_rels/drawing1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obsah!A1"/><Relationship Id="rId1" Type="http://schemas.openxmlformats.org/officeDocument/2006/relationships/chart" Target="../charts/chart61.xml"/></Relationships>
</file>

<file path=xl/drawings/_rels/drawing1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obsah!A1"/><Relationship Id="rId1" Type="http://schemas.openxmlformats.org/officeDocument/2006/relationships/chart" Target="../charts/chart62.xml"/></Relationships>
</file>

<file path=xl/drawings/_rels/drawing1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obsah!A1"/><Relationship Id="rId1" Type="http://schemas.openxmlformats.org/officeDocument/2006/relationships/chart" Target="../charts/chart63.xml"/></Relationships>
</file>

<file path=xl/drawings/_rels/drawing1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obsah!A1"/><Relationship Id="rId1" Type="http://schemas.openxmlformats.org/officeDocument/2006/relationships/chart" Target="../charts/chart64.xml"/></Relationships>
</file>

<file path=xl/drawings/_rels/drawing129.xml.rels><?xml version="1.0" encoding="UTF-8" standalone="yes"?>
<Relationships xmlns="http://schemas.openxmlformats.org/package/2006/relationships"><Relationship Id="rId3" Type="http://schemas.openxmlformats.org/officeDocument/2006/relationships/hyperlink" Target="#obsah!A1"/><Relationship Id="rId2" Type="http://schemas.openxmlformats.org/officeDocument/2006/relationships/chart" Target="../charts/chart66.xml"/><Relationship Id="rId1" Type="http://schemas.openxmlformats.org/officeDocument/2006/relationships/chart" Target="../charts/chart65.xml"/><Relationship Id="rId4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obsah!A1"/></Relationships>
</file>

<file path=xl/drawings/_rels/drawing1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obsah!A1"/><Relationship Id="rId1" Type="http://schemas.openxmlformats.org/officeDocument/2006/relationships/chart" Target="../charts/chart67.xml"/></Relationships>
</file>

<file path=xl/drawings/_rels/drawing13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obsah!A1"/><Relationship Id="rId1" Type="http://schemas.openxmlformats.org/officeDocument/2006/relationships/chart" Target="../charts/chart68.xml"/></Relationships>
</file>

<file path=xl/drawings/_rels/drawing1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obsah!A1"/><Relationship Id="rId1" Type="http://schemas.openxmlformats.org/officeDocument/2006/relationships/chart" Target="../charts/chart69.xml"/></Relationships>
</file>

<file path=xl/drawings/_rels/drawing1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obsah!A1"/><Relationship Id="rId1" Type="http://schemas.openxmlformats.org/officeDocument/2006/relationships/chart" Target="../charts/chart70.xml"/></Relationships>
</file>

<file path=xl/drawings/_rels/drawing1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obsah!A1"/><Relationship Id="rId1" Type="http://schemas.openxmlformats.org/officeDocument/2006/relationships/chart" Target="../charts/chart71.xml"/></Relationships>
</file>

<file path=xl/drawings/_rels/drawing1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obsah!A1"/><Relationship Id="rId1" Type="http://schemas.openxmlformats.org/officeDocument/2006/relationships/chart" Target="../charts/chart72.xml"/></Relationships>
</file>

<file path=xl/drawings/_rels/drawing1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obsah!A1"/><Relationship Id="rId1" Type="http://schemas.openxmlformats.org/officeDocument/2006/relationships/chart" Target="../charts/chart73.xml"/></Relationships>
</file>

<file path=xl/drawings/_rels/drawing1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obsah!A1"/><Relationship Id="rId1" Type="http://schemas.openxmlformats.org/officeDocument/2006/relationships/chart" Target="../charts/chart74.xml"/></Relationships>
</file>

<file path=xl/drawings/_rels/drawing1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obsah!A1"/><Relationship Id="rId1" Type="http://schemas.openxmlformats.org/officeDocument/2006/relationships/chart" Target="../charts/chart75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obsah!A1"/></Relationships>
</file>

<file path=xl/drawings/_rels/drawing140.xml.rels><?xml version="1.0" encoding="UTF-8" standalone="yes"?>
<Relationships xmlns="http://schemas.openxmlformats.org/package/2006/relationships"><Relationship Id="rId3" Type="http://schemas.openxmlformats.org/officeDocument/2006/relationships/hyperlink" Target="#obsah!A1"/><Relationship Id="rId2" Type="http://schemas.openxmlformats.org/officeDocument/2006/relationships/image" Target="../media/image9.emf"/><Relationship Id="rId1" Type="http://schemas.openxmlformats.org/officeDocument/2006/relationships/image" Target="../media/image8.emf"/><Relationship Id="rId4" Type="http://schemas.openxmlformats.org/officeDocument/2006/relationships/image" Target="../media/image1.png"/></Relationships>
</file>

<file path=xl/drawings/_rels/drawing141.xml.rels><?xml version="1.0" encoding="UTF-8" standalone="yes"?>
<Relationships xmlns="http://schemas.openxmlformats.org/package/2006/relationships"><Relationship Id="rId3" Type="http://schemas.openxmlformats.org/officeDocument/2006/relationships/hyperlink" Target="#obsah!A1"/><Relationship Id="rId2" Type="http://schemas.openxmlformats.org/officeDocument/2006/relationships/image" Target="../media/image11.emf"/><Relationship Id="rId1" Type="http://schemas.openxmlformats.org/officeDocument/2006/relationships/image" Target="../media/image10.emf"/><Relationship Id="rId4" Type="http://schemas.openxmlformats.org/officeDocument/2006/relationships/image" Target="../media/image1.png"/></Relationships>
</file>

<file path=xl/drawings/_rels/drawing142.xml.rels><?xml version="1.0" encoding="UTF-8" standalone="yes"?>
<Relationships xmlns="http://schemas.openxmlformats.org/package/2006/relationships"><Relationship Id="rId3" Type="http://schemas.openxmlformats.org/officeDocument/2006/relationships/hyperlink" Target="#obsah!A1"/><Relationship Id="rId2" Type="http://schemas.openxmlformats.org/officeDocument/2006/relationships/image" Target="../media/image13.emf"/><Relationship Id="rId1" Type="http://schemas.openxmlformats.org/officeDocument/2006/relationships/image" Target="../media/image12.emf"/><Relationship Id="rId4" Type="http://schemas.openxmlformats.org/officeDocument/2006/relationships/image" Target="../media/image1.png"/></Relationships>
</file>

<file path=xl/drawings/_rels/drawing1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obsah!A1"/><Relationship Id="rId1" Type="http://schemas.openxmlformats.org/officeDocument/2006/relationships/chart" Target="../charts/chart76.xml"/></Relationships>
</file>

<file path=xl/drawings/_rels/drawing14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obsah!A1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obsah!A1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obsah!A1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obsah!A1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obsah!A1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obsah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obsah!A1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obsah!A1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obsah!A1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obsah!A1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obsah!A1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obsah!A1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obsah!A1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obsah!A1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obsah!A1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obsah!A1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obsah!A1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obsah!A1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obsah!A1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obsah!A1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obsah!A1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obsah!A1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obsah!A1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obsah!A1"/></Relationships>
</file>

<file path=xl/drawings/_rels/drawing3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obsah!A1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obsah!A1"/></Relationships>
</file>

<file path=xl/drawings/_rels/drawing3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obsah!A1"/></Relationships>
</file>

<file path=xl/drawings/_rels/drawing3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obsah!A1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obsah!A1"/></Relationships>
</file>

<file path=xl/drawings/_rels/drawing4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obsah!A1"/></Relationships>
</file>

<file path=xl/drawings/_rels/drawing4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obsah!A1"/></Relationships>
</file>

<file path=xl/drawings/_rels/drawing4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obsah!A1"/></Relationships>
</file>

<file path=xl/drawings/_rels/drawing4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obsah!A1"/></Relationships>
</file>

<file path=xl/drawings/_rels/drawing4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obsah!A1"/></Relationships>
</file>

<file path=xl/drawings/_rels/drawing4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obsah!A1"/></Relationships>
</file>

<file path=xl/drawings/_rels/drawing4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obsah!A1"/></Relationships>
</file>

<file path=xl/drawings/_rels/drawing4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obsah!A1"/></Relationships>
</file>

<file path=xl/drawings/_rels/drawing4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obsah!A1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obsah!A1"/><Relationship Id="rId1" Type="http://schemas.openxmlformats.org/officeDocument/2006/relationships/chart" Target="../charts/chart1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obsah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obsah!A1"/><Relationship Id="rId1" Type="http://schemas.openxmlformats.org/officeDocument/2006/relationships/chart" Target="../charts/chart2.xml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obsah!A1"/><Relationship Id="rId1" Type="http://schemas.openxmlformats.org/officeDocument/2006/relationships/chart" Target="../charts/chart3.xml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obsah!A1"/><Relationship Id="rId1" Type="http://schemas.openxmlformats.org/officeDocument/2006/relationships/chart" Target="../charts/chart4.xml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obsah!A1"/><Relationship Id="rId1" Type="http://schemas.openxmlformats.org/officeDocument/2006/relationships/chart" Target="../charts/chart5.xml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obsah!A1"/><Relationship Id="rId1" Type="http://schemas.openxmlformats.org/officeDocument/2006/relationships/chart" Target="../charts/chart6.xml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2" Type="http://schemas.openxmlformats.org/officeDocument/2006/relationships/chart" Target="../charts/chart8.xml"/><Relationship Id="rId1" Type="http://schemas.openxmlformats.org/officeDocument/2006/relationships/chart" Target="../charts/chart7.xml"/><Relationship Id="rId5" Type="http://schemas.openxmlformats.org/officeDocument/2006/relationships/image" Target="../media/image1.png"/><Relationship Id="rId4" Type="http://schemas.openxmlformats.org/officeDocument/2006/relationships/hyperlink" Target="#obsah!A1"/></Relationships>
</file>

<file path=xl/drawings/_rels/drawing5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obsah!A1"/><Relationship Id="rId1" Type="http://schemas.openxmlformats.org/officeDocument/2006/relationships/chart" Target="../charts/chart10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obsah!A1"/></Relationships>
</file>

<file path=xl/drawings/_rels/drawing6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obsah!A1"/><Relationship Id="rId1" Type="http://schemas.openxmlformats.org/officeDocument/2006/relationships/chart" Target="../charts/chart11.xml"/></Relationships>
</file>

<file path=xl/drawings/_rels/drawing62.xml.rels><?xml version="1.0" encoding="UTF-8" standalone="yes"?>
<Relationships xmlns="http://schemas.openxmlformats.org/package/2006/relationships"><Relationship Id="rId3" Type="http://schemas.openxmlformats.org/officeDocument/2006/relationships/hyperlink" Target="#obsah!A1"/><Relationship Id="rId2" Type="http://schemas.openxmlformats.org/officeDocument/2006/relationships/chart" Target="../charts/chart13.xml"/><Relationship Id="rId1" Type="http://schemas.openxmlformats.org/officeDocument/2006/relationships/chart" Target="../charts/chart12.xml"/><Relationship Id="rId4" Type="http://schemas.openxmlformats.org/officeDocument/2006/relationships/image" Target="../media/image1.png"/></Relationships>
</file>

<file path=xl/drawings/_rels/drawing6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obsah!A1"/><Relationship Id="rId1" Type="http://schemas.openxmlformats.org/officeDocument/2006/relationships/chart" Target="../charts/chart14.xml"/></Relationships>
</file>

<file path=xl/drawings/_rels/drawing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obsah!A1"/><Relationship Id="rId1" Type="http://schemas.openxmlformats.org/officeDocument/2006/relationships/chart" Target="../charts/chart15.xml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obsah!A1"/><Relationship Id="rId1" Type="http://schemas.openxmlformats.org/officeDocument/2006/relationships/chart" Target="../charts/chart16.xml"/></Relationships>
</file>

<file path=xl/drawings/_rels/drawing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obsah!A1"/><Relationship Id="rId1" Type="http://schemas.openxmlformats.org/officeDocument/2006/relationships/chart" Target="../charts/chart17.xml"/></Relationships>
</file>

<file path=xl/drawings/_rels/drawing6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obsah!A1"/><Relationship Id="rId1" Type="http://schemas.openxmlformats.org/officeDocument/2006/relationships/chart" Target="../charts/chart18.xml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obsah!A1"/><Relationship Id="rId1" Type="http://schemas.openxmlformats.org/officeDocument/2006/relationships/chart" Target="../charts/chart19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obsah!A1"/></Relationships>
</file>

<file path=xl/drawings/_rels/drawing7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obsah!A1"/><Relationship Id="rId1" Type="http://schemas.openxmlformats.org/officeDocument/2006/relationships/chart" Target="../charts/chart20.xml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obsah!A1"/><Relationship Id="rId1" Type="http://schemas.openxmlformats.org/officeDocument/2006/relationships/image" Target="../media/image2.png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obsah!A1"/><Relationship Id="rId1" Type="http://schemas.openxmlformats.org/officeDocument/2006/relationships/image" Target="../media/image3.png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obsah!A1"/><Relationship Id="rId1" Type="http://schemas.openxmlformats.org/officeDocument/2006/relationships/image" Target="../media/image4.png"/></Relationships>
</file>

<file path=xl/drawings/_rels/drawing7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obsah!A1"/><Relationship Id="rId1" Type="http://schemas.openxmlformats.org/officeDocument/2006/relationships/image" Target="../media/image5.png"/></Relationships>
</file>

<file path=xl/drawings/_rels/drawing7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obsah!A1"/><Relationship Id="rId1" Type="http://schemas.openxmlformats.org/officeDocument/2006/relationships/chart" Target="../charts/chart21.xml"/></Relationships>
</file>

<file path=xl/drawings/_rels/drawing7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obsah!A1"/><Relationship Id="rId1" Type="http://schemas.openxmlformats.org/officeDocument/2006/relationships/chart" Target="../charts/chart22.xml"/></Relationships>
</file>

<file path=xl/drawings/_rels/drawing7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obsah!A1"/><Relationship Id="rId1" Type="http://schemas.openxmlformats.org/officeDocument/2006/relationships/chart" Target="../charts/chart23.xml"/></Relationships>
</file>

<file path=xl/drawings/_rels/drawing7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obsah!A1"/><Relationship Id="rId1" Type="http://schemas.openxmlformats.org/officeDocument/2006/relationships/chart" Target="../charts/chart24.xml"/></Relationships>
</file>

<file path=xl/drawings/_rels/drawing7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obsah!A1"/><Relationship Id="rId1" Type="http://schemas.openxmlformats.org/officeDocument/2006/relationships/chart" Target="../charts/chart25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obsah!A1"/></Relationships>
</file>

<file path=xl/drawings/_rels/drawing80.xml.rels><?xml version="1.0" encoding="UTF-8" standalone="yes"?>
<Relationships xmlns="http://schemas.openxmlformats.org/package/2006/relationships"><Relationship Id="rId3" Type="http://schemas.openxmlformats.org/officeDocument/2006/relationships/hyperlink" Target="#obsah!A1"/><Relationship Id="rId2" Type="http://schemas.openxmlformats.org/officeDocument/2006/relationships/chart" Target="../charts/chart27.xml"/><Relationship Id="rId1" Type="http://schemas.openxmlformats.org/officeDocument/2006/relationships/chart" Target="../charts/chart26.xml"/><Relationship Id="rId4" Type="http://schemas.openxmlformats.org/officeDocument/2006/relationships/image" Target="../media/image1.png"/></Relationships>
</file>

<file path=xl/drawings/_rels/drawing8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obsah!A1"/><Relationship Id="rId1" Type="http://schemas.openxmlformats.org/officeDocument/2006/relationships/chart" Target="../charts/chart28.xml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obsah!A1"/><Relationship Id="rId1" Type="http://schemas.openxmlformats.org/officeDocument/2006/relationships/chart" Target="../charts/chart29.xml"/></Relationships>
</file>

<file path=xl/drawings/_rels/drawing86.xml.rels><?xml version="1.0" encoding="UTF-8" standalone="yes"?>
<Relationships xmlns="http://schemas.openxmlformats.org/package/2006/relationships"><Relationship Id="rId3" Type="http://schemas.openxmlformats.org/officeDocument/2006/relationships/hyperlink" Target="#obsah!A1"/><Relationship Id="rId2" Type="http://schemas.openxmlformats.org/officeDocument/2006/relationships/chart" Target="../charts/chart31.xml"/><Relationship Id="rId1" Type="http://schemas.openxmlformats.org/officeDocument/2006/relationships/chart" Target="../charts/chart30.xml"/><Relationship Id="rId4" Type="http://schemas.openxmlformats.org/officeDocument/2006/relationships/image" Target="../media/image1.png"/></Relationships>
</file>

<file path=xl/drawings/_rels/drawing89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png"/><Relationship Id="rId3" Type="http://schemas.openxmlformats.org/officeDocument/2006/relationships/chart" Target="../charts/chart34.xml"/><Relationship Id="rId7" Type="http://schemas.openxmlformats.org/officeDocument/2006/relationships/hyperlink" Target="#obsah!A1"/><Relationship Id="rId2" Type="http://schemas.openxmlformats.org/officeDocument/2006/relationships/chart" Target="../charts/chart33.xml"/><Relationship Id="rId1" Type="http://schemas.openxmlformats.org/officeDocument/2006/relationships/chart" Target="../charts/chart32.xml"/><Relationship Id="rId6" Type="http://schemas.openxmlformats.org/officeDocument/2006/relationships/image" Target="../media/image7.jpg"/><Relationship Id="rId5" Type="http://schemas.openxmlformats.org/officeDocument/2006/relationships/image" Target="../media/image6.jpeg"/><Relationship Id="rId4" Type="http://schemas.openxmlformats.org/officeDocument/2006/relationships/chart" Target="../charts/chart35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obsah!A1"/></Relationships>
</file>

<file path=xl/drawings/_rels/drawing9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obsah!A1"/><Relationship Id="rId1" Type="http://schemas.openxmlformats.org/officeDocument/2006/relationships/chart" Target="../charts/chart36.xml"/></Relationships>
</file>

<file path=xl/drawings/_rels/drawing9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obsah!A1"/><Relationship Id="rId1" Type="http://schemas.openxmlformats.org/officeDocument/2006/relationships/chart" Target="../charts/chart37.xml"/></Relationships>
</file>

<file path=xl/drawings/_rels/drawing96.xml.rels><?xml version="1.0" encoding="UTF-8" standalone="yes"?>
<Relationships xmlns="http://schemas.openxmlformats.org/package/2006/relationships"><Relationship Id="rId3" Type="http://schemas.openxmlformats.org/officeDocument/2006/relationships/hyperlink" Target="#obsah!A1"/><Relationship Id="rId2" Type="http://schemas.openxmlformats.org/officeDocument/2006/relationships/chart" Target="../charts/chart39.xml"/><Relationship Id="rId1" Type="http://schemas.openxmlformats.org/officeDocument/2006/relationships/chart" Target="../charts/chart38.xml"/><Relationship Id="rId4" Type="http://schemas.openxmlformats.org/officeDocument/2006/relationships/image" Target="../media/image1.png"/></Relationships>
</file>

<file path=xl/drawings/_rels/drawing9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obsah!A1"/><Relationship Id="rId1" Type="http://schemas.openxmlformats.org/officeDocument/2006/relationships/chart" Target="../charts/chart40.xml"/></Relationships>
</file>

<file path=xl/drawings/_rels/drawing99.xml.rels><?xml version="1.0" encoding="UTF-8" standalone="yes"?>
<Relationships xmlns="http://schemas.openxmlformats.org/package/2006/relationships"><Relationship Id="rId3" Type="http://schemas.openxmlformats.org/officeDocument/2006/relationships/hyperlink" Target="#obsah!A1"/><Relationship Id="rId2" Type="http://schemas.openxmlformats.org/officeDocument/2006/relationships/chart" Target="../charts/chart42.xml"/><Relationship Id="rId1" Type="http://schemas.openxmlformats.org/officeDocument/2006/relationships/chart" Target="../charts/chart41.xml"/><Relationship Id="rId4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1028700</xdr:colOff>
      <xdr:row>0</xdr:row>
      <xdr:rowOff>95250</xdr:rowOff>
    </xdr:from>
    <xdr:to>
      <xdr:col>8</xdr:col>
      <xdr:colOff>1543050</xdr:colOff>
      <xdr:row>1</xdr:row>
      <xdr:rowOff>152400</xdr:rowOff>
    </xdr:to>
    <xdr:sp macro="" textlink="">
      <xdr:nvSpPr>
        <xdr:cNvPr id="2" name="Šípka doľava 1">
          <a:hlinkClick xmlns:r="http://schemas.openxmlformats.org/officeDocument/2006/relationships" r:id="rId1"/>
        </xdr:cNvPr>
        <xdr:cNvSpPr/>
      </xdr:nvSpPr>
      <xdr:spPr>
        <a:xfrm>
          <a:off x="8515350" y="95250"/>
          <a:ext cx="514350" cy="247650"/>
        </a:xfrm>
        <a:prstGeom prst="leftArrow">
          <a:avLst/>
        </a:prstGeom>
        <a:solidFill>
          <a:srgbClr val="13B5EA"/>
        </a:solidFill>
        <a:ln>
          <a:solidFill>
            <a:srgbClr val="13B5E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>
            <a:solidFill>
              <a:srgbClr val="13B5EA"/>
            </a:solidFill>
          </a:endParaRP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1</xdr:row>
      <xdr:rowOff>0</xdr:rowOff>
    </xdr:from>
    <xdr:to>
      <xdr:col>7</xdr:col>
      <xdr:colOff>536494</xdr:colOff>
      <xdr:row>2</xdr:row>
      <xdr:rowOff>77747</xdr:rowOff>
    </xdr:to>
    <xdr:pic>
      <xdr:nvPicPr>
        <xdr:cNvPr id="3" name="Obrázok 2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991475" y="190500"/>
          <a:ext cx="536494" cy="268247"/>
        </a:xfrm>
        <a:prstGeom prst="rect">
          <a:avLst/>
        </a:prstGeom>
      </xdr:spPr>
    </xdr:pic>
    <xdr:clientData/>
  </xdr:twoCellAnchor>
</xdr:wsDr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0.7</cdr:x>
      <cdr:y>0</cdr:y>
    </cdr:from>
    <cdr:to>
      <cdr:x>1</cdr:x>
      <cdr:y>0.97778</cdr:y>
    </cdr:to>
    <cdr:sp macro="" textlink="">
      <cdr:nvSpPr>
        <cdr:cNvPr id="2" name="Rectangle 1"/>
        <cdr:cNvSpPr/>
      </cdr:nvSpPr>
      <cdr:spPr>
        <a:xfrm xmlns:a="http://schemas.openxmlformats.org/drawingml/2006/main">
          <a:off x="2933699" y="0"/>
          <a:ext cx="1257300" cy="2724156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1">
            <a:lumMod val="40000"/>
            <a:lumOff val="60000"/>
            <a:alpha val="31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sk-SK"/>
        </a:p>
      </cdr:txBody>
    </cdr:sp>
  </cdr:relSizeAnchor>
</c:userShapes>
</file>

<file path=xl/drawings/drawing101.xml><?xml version="1.0" encoding="utf-8"?>
<c:userShapes xmlns:c="http://schemas.openxmlformats.org/drawingml/2006/chart">
  <cdr:relSizeAnchor xmlns:cdr="http://schemas.openxmlformats.org/drawingml/2006/chartDrawing">
    <cdr:from>
      <cdr:x>0.69439</cdr:x>
      <cdr:y>0.00522</cdr:y>
    </cdr:from>
    <cdr:to>
      <cdr:x>0.98129</cdr:x>
      <cdr:y>1</cdr:y>
    </cdr:to>
    <cdr:sp macro="" textlink="">
      <cdr:nvSpPr>
        <cdr:cNvPr id="2" name="Rectangle 1"/>
        <cdr:cNvSpPr/>
      </cdr:nvSpPr>
      <cdr:spPr>
        <a:xfrm xmlns:a="http://schemas.openxmlformats.org/drawingml/2006/main">
          <a:off x="3181347" y="14295"/>
          <a:ext cx="1314439" cy="2724142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1">
            <a:lumMod val="40000"/>
            <a:lumOff val="60000"/>
            <a:alpha val="31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sk-SK"/>
        </a:p>
      </cdr:txBody>
    </cdr:sp>
  </cdr:relSizeAnchor>
  <cdr:relSizeAnchor xmlns:cdr="http://schemas.openxmlformats.org/drawingml/2006/chartDrawing">
    <cdr:from>
      <cdr:x>0.34581</cdr:x>
      <cdr:y>0.13334</cdr:y>
    </cdr:from>
    <cdr:to>
      <cdr:x>0.63063</cdr:x>
      <cdr:y>0.91247</cdr:y>
    </cdr:to>
    <cdr:sp macro="" textlink="">
      <cdr:nvSpPr>
        <cdr:cNvPr id="3" name="Oval 2"/>
        <cdr:cNvSpPr/>
      </cdr:nvSpPr>
      <cdr:spPr>
        <a:xfrm xmlns:a="http://schemas.openxmlformats.org/drawingml/2006/main">
          <a:off x="1584337" y="365130"/>
          <a:ext cx="1304910" cy="2133599"/>
        </a:xfrm>
        <a:prstGeom xmlns:a="http://schemas.openxmlformats.org/drawingml/2006/main" prst="ellipse">
          <a:avLst/>
        </a:prstGeom>
        <a:solidFill xmlns:a="http://schemas.openxmlformats.org/drawingml/2006/main">
          <a:schemeClr val="accent2">
            <a:lumMod val="60000"/>
            <a:lumOff val="40000"/>
            <a:alpha val="24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sk-SK" sz="1100"/>
        </a:p>
      </cdr:txBody>
    </cdr:sp>
  </cdr:relSizeAnchor>
  <cdr:relSizeAnchor xmlns:cdr="http://schemas.openxmlformats.org/drawingml/2006/chartDrawing">
    <cdr:from>
      <cdr:x>0.04643</cdr:x>
      <cdr:y>0.12986</cdr:y>
    </cdr:from>
    <cdr:to>
      <cdr:x>0.33125</cdr:x>
      <cdr:y>0.90899</cdr:y>
    </cdr:to>
    <cdr:sp macro="" textlink="">
      <cdr:nvSpPr>
        <cdr:cNvPr id="4" name="Oval 3"/>
        <cdr:cNvSpPr/>
      </cdr:nvSpPr>
      <cdr:spPr>
        <a:xfrm xmlns:a="http://schemas.openxmlformats.org/drawingml/2006/main">
          <a:off x="212728" y="355613"/>
          <a:ext cx="1304910" cy="2133599"/>
        </a:xfrm>
        <a:prstGeom xmlns:a="http://schemas.openxmlformats.org/drawingml/2006/main" prst="ellipse">
          <a:avLst/>
        </a:prstGeom>
        <a:solidFill xmlns:a="http://schemas.openxmlformats.org/drawingml/2006/main">
          <a:srgbClr val="92D050">
            <a:alpha val="24000"/>
          </a:srgb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sk-SK" sz="1100"/>
        </a:p>
      </cdr:txBody>
    </cdr:sp>
  </cdr:relSizeAnchor>
</c:userShapes>
</file>

<file path=xl/drawings/drawing10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285748</xdr:colOff>
      <xdr:row>2</xdr:row>
      <xdr:rowOff>67786</xdr:rowOff>
    </xdr:from>
    <xdr:to>
      <xdr:col>10</xdr:col>
      <xdr:colOff>171447</xdr:colOff>
      <xdr:row>21</xdr:row>
      <xdr:rowOff>123824</xdr:rowOff>
    </xdr:to>
    <xdr:grpSp>
      <xdr:nvGrpSpPr>
        <xdr:cNvPr id="2" name="Skupina 1"/>
        <xdr:cNvGrpSpPr/>
      </xdr:nvGrpSpPr>
      <xdr:grpSpPr>
        <a:xfrm>
          <a:off x="2724148" y="448786"/>
          <a:ext cx="4867274" cy="3675538"/>
          <a:chOff x="11736807" y="2162076"/>
          <a:chExt cx="5893965" cy="3733896"/>
        </a:xfrm>
      </xdr:grpSpPr>
      <xdr:grpSp>
        <xdr:nvGrpSpPr>
          <xdr:cNvPr id="3" name="Skupina 2"/>
          <xdr:cNvGrpSpPr/>
        </xdr:nvGrpSpPr>
        <xdr:grpSpPr>
          <a:xfrm>
            <a:off x="11736807" y="2162076"/>
            <a:ext cx="5893965" cy="3733896"/>
            <a:chOff x="11260263" y="1503479"/>
            <a:chExt cx="5743399" cy="4754446"/>
          </a:xfrm>
        </xdr:grpSpPr>
        <mc:AlternateContent xmlns:mc="http://schemas.openxmlformats.org/markup-compatibility/2006">
          <mc:Choice xmlns:cx1="http://schemas.microsoft.com/office/drawing/2015/9/8/chartex" Requires="cx1">
            <xdr:graphicFrame macro="">
              <xdr:nvGraphicFramePr>
                <xdr:cNvPr id="9" name="Graf 8"/>
                <xdr:cNvGraphicFramePr/>
              </xdr:nvGraphicFramePr>
              <xdr:xfrm>
                <a:off x="11260263" y="1834707"/>
                <a:ext cx="5743399" cy="4423218"/>
              </xdr:xfrm>
              <a:graphic>
                <a:graphicData uri="http://schemas.microsoft.com/office/drawing/2014/chartex">
                  <cx:chart xmlns:cx="http://schemas.microsoft.com/office/drawing/2014/chartex" xmlns:r="http://schemas.openxmlformats.org/officeDocument/2006/relationships" r:id="rId1"/>
                </a:graphicData>
              </a:graphic>
            </xdr:graphicFrame>
          </mc:Choice>
          <mc:Fallback>
            <xdr:sp macro="" textlink="">
              <xdr:nvSpPr>
                <xdr:cNvPr id="0" name=""/>
                <xdr:cNvSpPr>
                  <a:spLocks noTextEdit="1"/>
                </xdr:cNvSpPr>
              </xdr:nvSpPr>
              <xdr:spPr>
                <a:xfrm>
                  <a:off x="11260263" y="1834707"/>
                  <a:ext cx="5743399" cy="4423218"/>
                </a:xfrm>
                <a:prstGeom prst="rect">
                  <a:avLst/>
                </a:prstGeom>
                <a:solidFill>
                  <a:prstClr val="white"/>
                </a:solidFill>
                <a:ln w="1">
                  <a:solidFill>
                    <a:prstClr val="green"/>
                  </a:solidFill>
                </a:ln>
              </xdr:spPr>
              <xdr:txBody>
                <a:bodyPr vertOverflow="clip" horzOverflow="clip"/>
                <a:lstStyle/>
                <a:p>
                  <a:r>
                    <a:rPr lang="sk-SK" sz="1100"/>
                    <a:t>Tento graf nie je k dispozícii vo vašej verzii programu Excel.
Ak tento tvar upravíte alebo ak zošit uložíte v inom formáte súboru, graf sa natrvalo poškodí.</a:t>
                  </a:r>
                </a:p>
              </xdr:txBody>
            </xdr:sp>
          </mc:Fallback>
        </mc:AlternateContent>
        <xdr:sp macro="" textlink="">
          <xdr:nvSpPr>
            <xdr:cNvPr id="10" name="BlokTextu 9"/>
            <xdr:cNvSpPr txBox="1"/>
          </xdr:nvSpPr>
          <xdr:spPr>
            <a:xfrm>
              <a:off x="13510574" y="1503479"/>
              <a:ext cx="739407" cy="576731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noAutofit/>
            </a:bodyPr>
            <a:lstStyle/>
            <a:p>
              <a:pPr algn="ctr"/>
              <a:r>
                <a:rPr lang="sk-SK" sz="900">
                  <a:solidFill>
                    <a:srgbClr val="58595B"/>
                  </a:solidFill>
                  <a:latin typeface="Constantia" panose="02030602050306030303" pitchFamily="18" charset="0"/>
                </a:rPr>
                <a:t>príjmy z EÚ</a:t>
              </a:r>
            </a:p>
            <a:p>
              <a:pPr algn="ctr"/>
              <a:r>
                <a:rPr lang="sk-SK" sz="900">
                  <a:solidFill>
                    <a:srgbClr val="58595B"/>
                  </a:solidFill>
                  <a:latin typeface="Constantia" panose="02030602050306030303" pitchFamily="18" charset="0"/>
                </a:rPr>
                <a:t> 1 148</a:t>
              </a:r>
            </a:p>
          </xdr:txBody>
        </xdr:sp>
        <xdr:sp macro="" textlink="">
          <xdr:nvSpPr>
            <xdr:cNvPr id="11" name="BlokTextu 10"/>
            <xdr:cNvSpPr txBox="1"/>
          </xdr:nvSpPr>
          <xdr:spPr>
            <a:xfrm>
              <a:off x="12148188" y="1697506"/>
              <a:ext cx="1924767" cy="61771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noAutofit/>
            </a:bodyPr>
            <a:lstStyle/>
            <a:p>
              <a:pPr algn="ctr"/>
              <a:r>
                <a:rPr lang="sk-SK" sz="900">
                  <a:solidFill>
                    <a:srgbClr val="58595B"/>
                  </a:solidFill>
                  <a:latin typeface="Constantia" panose="02030602050306030303" pitchFamily="18" charset="0"/>
                </a:rPr>
                <a:t>poistné plat.štátom</a:t>
              </a:r>
            </a:p>
            <a:p>
              <a:pPr algn="ctr"/>
              <a:r>
                <a:rPr lang="sk-SK" sz="900">
                  <a:solidFill>
                    <a:srgbClr val="58595B"/>
                  </a:solidFill>
                  <a:latin typeface="Constantia" panose="02030602050306030303" pitchFamily="18" charset="0"/>
                </a:rPr>
                <a:t> 1 495</a:t>
              </a:r>
            </a:p>
          </xdr:txBody>
        </xdr:sp>
        <xdr:sp macro="" textlink="">
          <xdr:nvSpPr>
            <xdr:cNvPr id="12" name="BlokTextu 11"/>
            <xdr:cNvSpPr txBox="1"/>
          </xdr:nvSpPr>
          <xdr:spPr>
            <a:xfrm>
              <a:off x="14119951" y="1593738"/>
              <a:ext cx="1568689" cy="52435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noAutofit/>
            </a:bodyPr>
            <a:lstStyle/>
            <a:p>
              <a:pPr algn="ctr"/>
              <a:r>
                <a:rPr lang="sk-SK" sz="900">
                  <a:solidFill>
                    <a:srgbClr val="58595B"/>
                  </a:solidFill>
                  <a:latin typeface="Constantia" panose="02030602050306030303" pitchFamily="18" charset="0"/>
                </a:rPr>
                <a:t>imputované poistné</a:t>
              </a:r>
            </a:p>
            <a:p>
              <a:pPr algn="ctr"/>
              <a:r>
                <a:rPr lang="sk-SK" sz="900">
                  <a:solidFill>
                    <a:srgbClr val="58595B"/>
                  </a:solidFill>
                  <a:latin typeface="Constantia" panose="02030602050306030303" pitchFamily="18" charset="0"/>
                </a:rPr>
                <a:t>176</a:t>
              </a:r>
              <a:endParaRPr lang="sk-SK" sz="1000">
                <a:solidFill>
                  <a:srgbClr val="58595B"/>
                </a:solidFill>
                <a:latin typeface="Constantia" panose="02030602050306030303" pitchFamily="18" charset="0"/>
              </a:endParaRPr>
            </a:p>
          </xdr:txBody>
        </xdr:sp>
        <xdr:sp macro="" textlink="">
          <xdr:nvSpPr>
            <xdr:cNvPr id="13" name="BlokTextu 12"/>
            <xdr:cNvSpPr txBox="1"/>
          </xdr:nvSpPr>
          <xdr:spPr>
            <a:xfrm>
              <a:off x="11649959" y="1945694"/>
              <a:ext cx="1062770" cy="57737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noAutofit/>
            </a:bodyPr>
            <a:lstStyle/>
            <a:p>
              <a:pPr algn="ctr"/>
              <a:r>
                <a:rPr lang="sk-SK" sz="900">
                  <a:solidFill>
                    <a:srgbClr val="58595B"/>
                  </a:solidFill>
                  <a:latin typeface="Constantia" panose="02030602050306030303" pitchFamily="18" charset="0"/>
                </a:rPr>
                <a:t>príjmy z majetku</a:t>
              </a:r>
            </a:p>
            <a:p>
              <a:pPr algn="ctr"/>
              <a:r>
                <a:rPr lang="sk-SK" sz="900">
                  <a:solidFill>
                    <a:srgbClr val="58595B"/>
                  </a:solidFill>
                  <a:latin typeface="Constantia" panose="02030602050306030303" pitchFamily="18" charset="0"/>
                </a:rPr>
                <a:t>548</a:t>
              </a:r>
              <a:endParaRPr lang="sk-SK" sz="1000">
                <a:solidFill>
                  <a:srgbClr val="58595B"/>
                </a:solidFill>
                <a:latin typeface="Constantia" panose="02030602050306030303" pitchFamily="18" charset="0"/>
              </a:endParaRPr>
            </a:p>
          </xdr:txBody>
        </xdr:sp>
        <xdr:sp macro="" textlink="">
          <xdr:nvSpPr>
            <xdr:cNvPr id="14" name="BlokTextu 13"/>
            <xdr:cNvSpPr txBox="1"/>
          </xdr:nvSpPr>
          <xdr:spPr>
            <a:xfrm>
              <a:off x="11885989" y="2878983"/>
              <a:ext cx="572463" cy="59587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noAutofit/>
            </a:bodyPr>
            <a:lstStyle/>
            <a:p>
              <a:pPr algn="ctr"/>
              <a:r>
                <a:rPr lang="sk-SK" sz="900">
                  <a:solidFill>
                    <a:srgbClr val="58595B"/>
                  </a:solidFill>
                  <a:latin typeface="Constantia" panose="02030602050306030303" pitchFamily="18" charset="0"/>
                </a:rPr>
                <a:t>transfery</a:t>
              </a:r>
            </a:p>
            <a:p>
              <a:pPr algn="ctr"/>
              <a:r>
                <a:rPr lang="sk-SK" sz="900">
                  <a:solidFill>
                    <a:srgbClr val="58595B"/>
                  </a:solidFill>
                  <a:latin typeface="Constantia" panose="02030602050306030303" pitchFamily="18" charset="0"/>
                </a:rPr>
                <a:t>763</a:t>
              </a:r>
            </a:p>
          </xdr:txBody>
        </xdr:sp>
      </xdr:grpSp>
      <xdr:sp macro="" textlink="">
        <xdr:nvSpPr>
          <xdr:cNvPr id="4" name="BlokTextu 3"/>
          <xdr:cNvSpPr txBox="1"/>
        </xdr:nvSpPr>
        <xdr:spPr>
          <a:xfrm>
            <a:off x="12782550" y="5353050"/>
            <a:ext cx="814871" cy="453442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pPr algn="ctr"/>
            <a:r>
              <a:rPr lang="sk-SK" sz="900">
                <a:solidFill>
                  <a:srgbClr val="58595B"/>
                </a:solidFill>
                <a:latin typeface="Constantia" panose="02030602050306030303" pitchFamily="18" charset="0"/>
              </a:rPr>
              <a:t>odvody</a:t>
            </a:r>
          </a:p>
          <a:p>
            <a:pPr algn="ctr"/>
            <a:r>
              <a:rPr lang="sk-SK" sz="900">
                <a:solidFill>
                  <a:srgbClr val="58595B"/>
                </a:solidFill>
                <a:latin typeface="Constantia" panose="02030602050306030303" pitchFamily="18" charset="0"/>
              </a:rPr>
              <a:t>10</a:t>
            </a:r>
            <a:r>
              <a:rPr lang="sk-SK" sz="900" baseline="0">
                <a:solidFill>
                  <a:srgbClr val="58595B"/>
                </a:solidFill>
                <a:latin typeface="Constantia" panose="02030602050306030303" pitchFamily="18" charset="0"/>
              </a:rPr>
              <a:t> 270</a:t>
            </a:r>
            <a:endParaRPr lang="sk-SK" sz="1000">
              <a:solidFill>
                <a:srgbClr val="58595B"/>
              </a:solidFill>
              <a:latin typeface="Constantia" panose="02030602050306030303" pitchFamily="18" charset="0"/>
            </a:endParaRPr>
          </a:p>
        </xdr:txBody>
      </xdr:sp>
      <xdr:sp macro="" textlink="">
        <xdr:nvSpPr>
          <xdr:cNvPr id="5" name="BlokTextu 4"/>
          <xdr:cNvSpPr txBox="1"/>
        </xdr:nvSpPr>
        <xdr:spPr>
          <a:xfrm>
            <a:off x="16604714" y="4000953"/>
            <a:ext cx="814870" cy="453442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pPr algn="ctr"/>
            <a:r>
              <a:rPr lang="sk-SK" sz="900">
                <a:solidFill>
                  <a:srgbClr val="58595B"/>
                </a:solidFill>
                <a:latin typeface="Constantia" panose="02030602050306030303" pitchFamily="18" charset="0"/>
              </a:rPr>
              <a:t>dane</a:t>
            </a:r>
          </a:p>
          <a:p>
            <a:pPr algn="ctr"/>
            <a:r>
              <a:rPr lang="sk-SK" sz="900">
                <a:solidFill>
                  <a:srgbClr val="58595B"/>
                </a:solidFill>
                <a:latin typeface="Constantia" panose="02030602050306030303" pitchFamily="18" charset="0"/>
              </a:rPr>
              <a:t>15</a:t>
            </a:r>
            <a:r>
              <a:rPr lang="sk-SK" sz="900" baseline="0">
                <a:solidFill>
                  <a:srgbClr val="58595B"/>
                </a:solidFill>
                <a:latin typeface="Constantia" panose="02030602050306030303" pitchFamily="18" charset="0"/>
              </a:rPr>
              <a:t> 627</a:t>
            </a:r>
            <a:endParaRPr lang="sk-SK" sz="1000">
              <a:solidFill>
                <a:srgbClr val="58595B"/>
              </a:solidFill>
              <a:latin typeface="Constantia" panose="02030602050306030303" pitchFamily="18" charset="0"/>
            </a:endParaRPr>
          </a:p>
        </xdr:txBody>
      </xdr:sp>
      <xdr:sp macro="" textlink="">
        <xdr:nvSpPr>
          <xdr:cNvPr id="6" name="BlokTextu 5"/>
          <xdr:cNvSpPr txBox="1"/>
        </xdr:nvSpPr>
        <xdr:spPr>
          <a:xfrm>
            <a:off x="13470805" y="3585481"/>
            <a:ext cx="814871" cy="453442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pPr algn="ctr"/>
            <a:r>
              <a:rPr lang="sk-SK" sz="900" b="1">
                <a:solidFill>
                  <a:srgbClr val="58595B"/>
                </a:solidFill>
                <a:latin typeface="Constantia" panose="02030602050306030303" pitchFamily="18" charset="0"/>
              </a:rPr>
              <a:t>iné príjmy</a:t>
            </a:r>
            <a:endParaRPr lang="sk-SK" sz="1000" b="1">
              <a:solidFill>
                <a:srgbClr val="58595B"/>
              </a:solidFill>
              <a:latin typeface="Constantia" panose="02030602050306030303" pitchFamily="18" charset="0"/>
            </a:endParaRPr>
          </a:p>
        </xdr:txBody>
      </xdr:sp>
      <xdr:sp macro="" textlink="">
        <xdr:nvSpPr>
          <xdr:cNvPr id="7" name="BlokTextu 6"/>
          <xdr:cNvSpPr txBox="1"/>
        </xdr:nvSpPr>
        <xdr:spPr>
          <a:xfrm>
            <a:off x="14186370" y="4789563"/>
            <a:ext cx="1224373" cy="453442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pPr algn="ctr"/>
            <a:r>
              <a:rPr lang="sk-SK" sz="900" b="1">
                <a:solidFill>
                  <a:srgbClr val="58595B"/>
                </a:solidFill>
                <a:latin typeface="Constantia" panose="02030602050306030303" pitchFamily="18" charset="0"/>
              </a:rPr>
              <a:t>daňové zaťaženie</a:t>
            </a:r>
            <a:endParaRPr lang="sk-SK" sz="1000" b="1">
              <a:solidFill>
                <a:srgbClr val="58595B"/>
              </a:solidFill>
              <a:latin typeface="Constantia" panose="02030602050306030303" pitchFamily="18" charset="0"/>
            </a:endParaRPr>
          </a:p>
        </xdr:txBody>
      </xdr:sp>
      <xdr:sp macro="" textlink="">
        <xdr:nvSpPr>
          <xdr:cNvPr id="8" name="BlokTextu 7"/>
          <xdr:cNvSpPr txBox="1"/>
        </xdr:nvSpPr>
        <xdr:spPr>
          <a:xfrm>
            <a:off x="13971166" y="3137655"/>
            <a:ext cx="1028700" cy="43815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pPr algn="ctr"/>
            <a:r>
              <a:rPr lang="sk-SK" sz="900" b="1">
                <a:solidFill>
                  <a:srgbClr val="58595B"/>
                </a:solidFill>
                <a:latin typeface="Constantia" panose="02030602050306030303" pitchFamily="18" charset="0"/>
              </a:rPr>
              <a:t>bez vplyvu </a:t>
            </a:r>
          </a:p>
          <a:p>
            <a:pPr algn="ctr"/>
            <a:r>
              <a:rPr lang="sk-SK" sz="900" b="1">
                <a:solidFill>
                  <a:srgbClr val="58595B"/>
                </a:solidFill>
                <a:latin typeface="Constantia" panose="02030602050306030303" pitchFamily="18" charset="0"/>
              </a:rPr>
              <a:t>na saldo</a:t>
            </a:r>
            <a:endParaRPr lang="sk-SK" sz="1000" b="1">
              <a:solidFill>
                <a:srgbClr val="58595B"/>
              </a:solidFill>
              <a:latin typeface="Constantia" panose="02030602050306030303" pitchFamily="18" charset="0"/>
            </a:endParaRPr>
          </a:p>
        </xdr:txBody>
      </xdr:sp>
    </xdr:grpSp>
    <xdr:clientData/>
  </xdr:twoCellAnchor>
  <xdr:twoCellAnchor>
    <xdr:from>
      <xdr:col>4</xdr:col>
      <xdr:colOff>923926</xdr:colOff>
      <xdr:row>5</xdr:row>
      <xdr:rowOff>104775</xdr:rowOff>
    </xdr:from>
    <xdr:to>
      <xdr:col>5</xdr:col>
      <xdr:colOff>767247</xdr:colOff>
      <xdr:row>7</xdr:row>
      <xdr:rowOff>114299</xdr:rowOff>
    </xdr:to>
    <xdr:sp macro="" textlink="">
      <xdr:nvSpPr>
        <xdr:cNvPr id="15" name="BlokTextu 14"/>
        <xdr:cNvSpPr txBox="1"/>
      </xdr:nvSpPr>
      <xdr:spPr>
        <a:xfrm>
          <a:off x="13401676" y="2771775"/>
          <a:ext cx="900596" cy="39052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sk-SK" sz="900">
              <a:solidFill>
                <a:srgbClr val="58595B"/>
              </a:solidFill>
              <a:latin typeface="Constantia" panose="02030602050306030303" pitchFamily="18" charset="0"/>
            </a:rPr>
            <a:t>tržby</a:t>
          </a:r>
        </a:p>
        <a:p>
          <a:pPr algn="ctr"/>
          <a:r>
            <a:rPr lang="sk-SK" sz="900">
              <a:solidFill>
                <a:srgbClr val="58595B"/>
              </a:solidFill>
              <a:latin typeface="Constantia" panose="02030602050306030303" pitchFamily="18" charset="0"/>
            </a:rPr>
            <a:t>3</a:t>
          </a:r>
          <a:r>
            <a:rPr lang="sk-SK" sz="900" baseline="0">
              <a:solidFill>
                <a:srgbClr val="58595B"/>
              </a:solidFill>
              <a:latin typeface="Constantia" panose="02030602050306030303" pitchFamily="18" charset="0"/>
            </a:rPr>
            <a:t> 387</a:t>
          </a:r>
          <a:endParaRPr lang="sk-SK" sz="1000">
            <a:solidFill>
              <a:srgbClr val="58595B"/>
            </a:solidFill>
            <a:latin typeface="Constantia" panose="02030602050306030303" pitchFamily="18" charset="0"/>
          </a:endParaRPr>
        </a:p>
      </xdr:txBody>
    </xdr:sp>
    <xdr:clientData/>
  </xdr:twoCellAnchor>
  <xdr:oneCellAnchor>
    <xdr:from>
      <xdr:col>11</xdr:col>
      <xdr:colOff>0</xdr:colOff>
      <xdr:row>2</xdr:row>
      <xdr:rowOff>0</xdr:rowOff>
    </xdr:from>
    <xdr:ext cx="536494" cy="268247"/>
    <xdr:pic>
      <xdr:nvPicPr>
        <xdr:cNvPr id="16" name="Obrázok 15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6649700" y="381000"/>
          <a:ext cx="536494" cy="268247"/>
        </a:xfrm>
        <a:prstGeom prst="rect">
          <a:avLst/>
        </a:prstGeom>
      </xdr:spPr>
    </xdr:pic>
    <xdr:clientData/>
  </xdr:one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114300</xdr:colOff>
      <xdr:row>2</xdr:row>
      <xdr:rowOff>76200</xdr:rowOff>
    </xdr:from>
    <xdr:to>
      <xdr:col>20</xdr:col>
      <xdr:colOff>371475</xdr:colOff>
      <xdr:row>22</xdr:row>
      <xdr:rowOff>123825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22</xdr:col>
      <xdr:colOff>0</xdr:colOff>
      <xdr:row>2</xdr:row>
      <xdr:rowOff>0</xdr:rowOff>
    </xdr:from>
    <xdr:ext cx="536494" cy="268247"/>
    <xdr:pic>
      <xdr:nvPicPr>
        <xdr:cNvPr id="4" name="Obrázok 3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7868900" y="381000"/>
          <a:ext cx="536494" cy="268247"/>
        </a:xfrm>
        <a:prstGeom prst="rect">
          <a:avLst/>
        </a:prstGeom>
      </xdr:spPr>
    </xdr:pic>
    <xdr:clientData/>
  </xdr:oneCellAnchor>
</xdr:wsDr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0.7208</cdr:x>
      <cdr:y>0.00548</cdr:y>
    </cdr:from>
    <cdr:to>
      <cdr:x>0.99818</cdr:x>
      <cdr:y>0.82466</cdr:y>
    </cdr:to>
    <cdr:sp macro="" textlink="">
      <cdr:nvSpPr>
        <cdr:cNvPr id="2" name="Rectangle 1"/>
        <cdr:cNvSpPr/>
      </cdr:nvSpPr>
      <cdr:spPr>
        <a:xfrm xmlns:a="http://schemas.openxmlformats.org/drawingml/2006/main">
          <a:off x="3762375" y="19052"/>
          <a:ext cx="1447824" cy="2847982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2">
            <a:lumMod val="20000"/>
            <a:lumOff val="80000"/>
            <a:alpha val="40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sk-SK"/>
        </a:p>
      </cdr:txBody>
    </cdr:sp>
  </cdr:relSizeAnchor>
</c:userShapes>
</file>

<file path=xl/drawings/drawing105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561975</xdr:colOff>
      <xdr:row>1</xdr:row>
      <xdr:rowOff>47624</xdr:rowOff>
    </xdr:from>
    <xdr:to>
      <xdr:col>30</xdr:col>
      <xdr:colOff>257175</xdr:colOff>
      <xdr:row>15</xdr:row>
      <xdr:rowOff>123824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600074</xdr:colOff>
      <xdr:row>0</xdr:row>
      <xdr:rowOff>190499</xdr:rowOff>
    </xdr:from>
    <xdr:to>
      <xdr:col>19</xdr:col>
      <xdr:colOff>266699</xdr:colOff>
      <xdr:row>15</xdr:row>
      <xdr:rowOff>66674</xdr:rowOff>
    </xdr:to>
    <xdr:graphicFrame macro="">
      <xdr:nvGraphicFramePr>
        <xdr:cNvPr id="3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33</xdr:col>
      <xdr:colOff>0</xdr:colOff>
      <xdr:row>2</xdr:row>
      <xdr:rowOff>0</xdr:rowOff>
    </xdr:from>
    <xdr:to>
      <xdr:col>33</xdr:col>
      <xdr:colOff>536494</xdr:colOff>
      <xdr:row>3</xdr:row>
      <xdr:rowOff>77747</xdr:rowOff>
    </xdr:to>
    <xdr:pic>
      <xdr:nvPicPr>
        <xdr:cNvPr id="4" name="Obrázok 3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9544050" y="4533900"/>
          <a:ext cx="536494" cy="268247"/>
        </a:xfrm>
        <a:prstGeom prst="rect">
          <a:avLst/>
        </a:prstGeom>
      </xdr:spPr>
    </xdr:pic>
    <xdr:clientData/>
  </xdr:twoCellAnchor>
</xdr:wsDr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0.70417</cdr:x>
      <cdr:y>0.00521</cdr:y>
    </cdr:from>
    <cdr:to>
      <cdr:x>1</cdr:x>
      <cdr:y>1</cdr:y>
    </cdr:to>
    <cdr:sp macro="" textlink="">
      <cdr:nvSpPr>
        <cdr:cNvPr id="2" name="Rectangle 1"/>
        <cdr:cNvSpPr/>
      </cdr:nvSpPr>
      <cdr:spPr>
        <a:xfrm xmlns:a="http://schemas.openxmlformats.org/drawingml/2006/main">
          <a:off x="3219450" y="14286"/>
          <a:ext cx="1352550" cy="2728914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1">
            <a:lumMod val="40000"/>
            <a:lumOff val="60000"/>
            <a:alpha val="39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sk-SK"/>
        </a:p>
      </cdr:txBody>
    </cdr:sp>
  </cdr:relSizeAnchor>
</c:userShapes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0.71042</cdr:x>
      <cdr:y>0</cdr:y>
    </cdr:from>
    <cdr:to>
      <cdr:x>1</cdr:x>
      <cdr:y>0.99479</cdr:y>
    </cdr:to>
    <cdr:sp macro="" textlink="">
      <cdr:nvSpPr>
        <cdr:cNvPr id="2" name="Rectangle 1"/>
        <cdr:cNvSpPr/>
      </cdr:nvSpPr>
      <cdr:spPr>
        <a:xfrm xmlns:a="http://schemas.openxmlformats.org/drawingml/2006/main">
          <a:off x="3248025" y="0"/>
          <a:ext cx="1323975" cy="2728908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1">
            <a:lumMod val="40000"/>
            <a:lumOff val="60000"/>
            <a:alpha val="39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sk-SK"/>
        </a:p>
      </cdr:txBody>
    </cdr:sp>
  </cdr:relSizeAnchor>
</c:userShapes>
</file>

<file path=xl/drawings/drawing10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177165</xdr:colOff>
      <xdr:row>18</xdr:row>
      <xdr:rowOff>19049</xdr:rowOff>
    </xdr:from>
    <xdr:to>
      <xdr:col>6</xdr:col>
      <xdr:colOff>588105</xdr:colOff>
      <xdr:row>31</xdr:row>
      <xdr:rowOff>161609</xdr:rowOff>
    </xdr:to>
    <xdr:grpSp>
      <xdr:nvGrpSpPr>
        <xdr:cNvPr id="2" name="Group 4"/>
        <xdr:cNvGrpSpPr/>
      </xdr:nvGrpSpPr>
      <xdr:grpSpPr>
        <a:xfrm>
          <a:off x="786765" y="3695699"/>
          <a:ext cx="5259165" cy="2619060"/>
          <a:chOff x="5530847" y="3952273"/>
          <a:chExt cx="4200525" cy="2743199"/>
        </a:xfrm>
      </xdr:grpSpPr>
      <xdr:graphicFrame macro="">
        <xdr:nvGraphicFramePr>
          <xdr:cNvPr id="3" name="Chart 2"/>
          <xdr:cNvGraphicFramePr>
            <a:graphicFrameLocks/>
          </xdr:cNvGraphicFramePr>
        </xdr:nvGraphicFramePr>
        <xdr:xfrm>
          <a:off x="5530847" y="3952273"/>
          <a:ext cx="4200525" cy="274319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">
        <xdr:nvSpPr>
          <xdr:cNvPr id="4" name="Rectangle 1"/>
          <xdr:cNvSpPr/>
        </xdr:nvSpPr>
        <xdr:spPr>
          <a:xfrm>
            <a:off x="8833906" y="4085626"/>
            <a:ext cx="790575" cy="2362200"/>
          </a:xfrm>
          <a:prstGeom prst="rect">
            <a:avLst/>
          </a:prstGeom>
          <a:solidFill>
            <a:srgbClr val="13B5EA">
              <a:alpha val="19000"/>
            </a:srgb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sk-SK" sz="1100">
              <a:latin typeface="Constantia" panose="02030602050306030303" pitchFamily="18" charset="0"/>
            </a:endParaRPr>
          </a:p>
        </xdr:txBody>
      </xdr:sp>
    </xdr:grpSp>
    <xdr:clientData/>
  </xdr:twoCellAnchor>
  <xdr:twoCellAnchor editAs="oneCell">
    <xdr:from>
      <xdr:col>8</xdr:col>
      <xdr:colOff>0</xdr:colOff>
      <xdr:row>18</xdr:row>
      <xdr:rowOff>0</xdr:rowOff>
    </xdr:from>
    <xdr:to>
      <xdr:col>8</xdr:col>
      <xdr:colOff>536494</xdr:colOff>
      <xdr:row>19</xdr:row>
      <xdr:rowOff>77747</xdr:rowOff>
    </xdr:to>
    <xdr:pic>
      <xdr:nvPicPr>
        <xdr:cNvPr id="6" name="Obrázok 5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677025" y="3295650"/>
          <a:ext cx="536494" cy="268247"/>
        </a:xfrm>
        <a:prstGeom prst="rect">
          <a:avLst/>
        </a:prstGeom>
      </xdr:spPr>
    </xdr:pic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118276</xdr:colOff>
      <xdr:row>26</xdr:row>
      <xdr:rowOff>104408</xdr:rowOff>
    </xdr:from>
    <xdr:to>
      <xdr:col>12</xdr:col>
      <xdr:colOff>393143</xdr:colOff>
      <xdr:row>58</xdr:row>
      <xdr:rowOff>13607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15</xdr:col>
      <xdr:colOff>0</xdr:colOff>
      <xdr:row>26</xdr:row>
      <xdr:rowOff>0</xdr:rowOff>
    </xdr:from>
    <xdr:to>
      <xdr:col>15</xdr:col>
      <xdr:colOff>536494</xdr:colOff>
      <xdr:row>27</xdr:row>
      <xdr:rowOff>106322</xdr:rowOff>
    </xdr:to>
    <xdr:pic>
      <xdr:nvPicPr>
        <xdr:cNvPr id="4" name="Obrázok 3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544050" y="4533900"/>
          <a:ext cx="536494" cy="268247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1</xdr:row>
      <xdr:rowOff>0</xdr:rowOff>
    </xdr:from>
    <xdr:to>
      <xdr:col>8</xdr:col>
      <xdr:colOff>536494</xdr:colOff>
      <xdr:row>2</xdr:row>
      <xdr:rowOff>106322</xdr:rowOff>
    </xdr:to>
    <xdr:pic>
      <xdr:nvPicPr>
        <xdr:cNvPr id="2" name="Obrázok 1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239000" y="190500"/>
          <a:ext cx="536494" cy="268247"/>
        </a:xfrm>
        <a:prstGeom prst="rect">
          <a:avLst/>
        </a:prstGeom>
      </xdr:spPr>
    </xdr:pic>
    <xdr:clientData/>
  </xdr:twoCellAnchor>
</xdr:wsDr>
</file>

<file path=xl/drawings/drawing110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1057274</xdr:colOff>
      <xdr:row>15</xdr:row>
      <xdr:rowOff>43815</xdr:rowOff>
    </xdr:from>
    <xdr:to>
      <xdr:col>11</xdr:col>
      <xdr:colOff>176624</xdr:colOff>
      <xdr:row>28</xdr:row>
      <xdr:rowOff>87315</xdr:rowOff>
    </xdr:to>
    <xdr:grpSp>
      <xdr:nvGrpSpPr>
        <xdr:cNvPr id="2" name="Group 4"/>
        <xdr:cNvGrpSpPr/>
      </xdr:nvGrpSpPr>
      <xdr:grpSpPr>
        <a:xfrm>
          <a:off x="5857874" y="3615690"/>
          <a:ext cx="4320000" cy="2520000"/>
          <a:chOff x="5553074" y="4076700"/>
          <a:chExt cx="4200525" cy="2743200"/>
        </a:xfrm>
      </xdr:grpSpPr>
      <xdr:graphicFrame macro="">
        <xdr:nvGraphicFramePr>
          <xdr:cNvPr id="3" name="Chart 2"/>
          <xdr:cNvGraphicFramePr>
            <a:graphicFrameLocks/>
          </xdr:cNvGraphicFramePr>
        </xdr:nvGraphicFramePr>
        <xdr:xfrm>
          <a:off x="5553074" y="4076700"/>
          <a:ext cx="4200525" cy="27432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">
        <xdr:nvSpPr>
          <xdr:cNvPr id="4" name="Rectangle 1"/>
          <xdr:cNvSpPr/>
        </xdr:nvSpPr>
        <xdr:spPr>
          <a:xfrm>
            <a:off x="8848725" y="4210050"/>
            <a:ext cx="790575" cy="2362200"/>
          </a:xfrm>
          <a:prstGeom prst="rect">
            <a:avLst/>
          </a:prstGeom>
          <a:solidFill>
            <a:srgbClr val="13B5EA">
              <a:alpha val="19000"/>
            </a:srgb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sk-SK" sz="1100">
              <a:latin typeface="Constantia" panose="02030602050306030303" pitchFamily="18" charset="0"/>
            </a:endParaRPr>
          </a:p>
        </xdr:txBody>
      </xdr:sp>
    </xdr:grpSp>
    <xdr:clientData/>
  </xdr:twoCellAnchor>
  <xdr:twoCellAnchor>
    <xdr:from>
      <xdr:col>0</xdr:col>
      <xdr:colOff>552449</xdr:colOff>
      <xdr:row>15</xdr:row>
      <xdr:rowOff>104775</xdr:rowOff>
    </xdr:from>
    <xdr:to>
      <xdr:col>4</xdr:col>
      <xdr:colOff>71849</xdr:colOff>
      <xdr:row>28</xdr:row>
      <xdr:rowOff>148275</xdr:rowOff>
    </xdr:to>
    <xdr:grpSp>
      <xdr:nvGrpSpPr>
        <xdr:cNvPr id="5" name="Group 4"/>
        <xdr:cNvGrpSpPr/>
      </xdr:nvGrpSpPr>
      <xdr:grpSpPr>
        <a:xfrm>
          <a:off x="552449" y="3676650"/>
          <a:ext cx="4320000" cy="2520000"/>
          <a:chOff x="8003538" y="3867802"/>
          <a:chExt cx="4200525" cy="2743200"/>
        </a:xfrm>
      </xdr:grpSpPr>
      <xdr:graphicFrame macro="">
        <xdr:nvGraphicFramePr>
          <xdr:cNvPr id="6" name="Chart 5"/>
          <xdr:cNvGraphicFramePr>
            <a:graphicFrameLocks/>
          </xdr:cNvGraphicFramePr>
        </xdr:nvGraphicFramePr>
        <xdr:xfrm>
          <a:off x="8003538" y="3867802"/>
          <a:ext cx="4200525" cy="27432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">
        <xdr:nvSpPr>
          <xdr:cNvPr id="7" name="Rectangle 1"/>
          <xdr:cNvSpPr/>
        </xdr:nvSpPr>
        <xdr:spPr>
          <a:xfrm>
            <a:off x="11318258" y="3981257"/>
            <a:ext cx="790575" cy="2362200"/>
          </a:xfrm>
          <a:prstGeom prst="rect">
            <a:avLst/>
          </a:prstGeom>
          <a:solidFill>
            <a:srgbClr val="13B5EA">
              <a:alpha val="19000"/>
            </a:srgb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sk-SK" sz="1100">
              <a:latin typeface="Constantia" panose="02030602050306030303" pitchFamily="18" charset="0"/>
            </a:endParaRPr>
          </a:p>
        </xdr:txBody>
      </xdr:sp>
    </xdr:grpSp>
    <xdr:clientData/>
  </xdr:twoCellAnchor>
  <xdr:twoCellAnchor editAs="oneCell">
    <xdr:from>
      <xdr:col>12</xdr:col>
      <xdr:colOff>0</xdr:colOff>
      <xdr:row>14</xdr:row>
      <xdr:rowOff>0</xdr:rowOff>
    </xdr:from>
    <xdr:to>
      <xdr:col>12</xdr:col>
      <xdr:colOff>536494</xdr:colOff>
      <xdr:row>15</xdr:row>
      <xdr:rowOff>77747</xdr:rowOff>
    </xdr:to>
    <xdr:pic>
      <xdr:nvPicPr>
        <xdr:cNvPr id="9" name="Obrázok 8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610850" y="3381375"/>
          <a:ext cx="536494" cy="268247"/>
        </a:xfrm>
        <a:prstGeom prst="rect">
          <a:avLst/>
        </a:prstGeom>
      </xdr:spPr>
    </xdr:pic>
    <xdr:clientData/>
  </xdr:twoCellAnchor>
</xdr:wsDr>
</file>

<file path=xl/drawings/drawing1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147108</xdr:colOff>
      <xdr:row>16</xdr:row>
      <xdr:rowOff>35137</xdr:rowOff>
    </xdr:from>
    <xdr:to>
      <xdr:col>3</xdr:col>
      <xdr:colOff>1228608</xdr:colOff>
      <xdr:row>29</xdr:row>
      <xdr:rowOff>78637</xdr:rowOff>
    </xdr:to>
    <xdr:grpSp>
      <xdr:nvGrpSpPr>
        <xdr:cNvPr id="2" name="Group 4"/>
        <xdr:cNvGrpSpPr/>
      </xdr:nvGrpSpPr>
      <xdr:grpSpPr>
        <a:xfrm>
          <a:off x="756708" y="3349837"/>
          <a:ext cx="4320000" cy="2520000"/>
          <a:chOff x="5553075" y="4076700"/>
          <a:chExt cx="4200525" cy="2743200"/>
        </a:xfrm>
      </xdr:grpSpPr>
      <xdr:graphicFrame macro="">
        <xdr:nvGraphicFramePr>
          <xdr:cNvPr id="3" name="Chart 2"/>
          <xdr:cNvGraphicFramePr>
            <a:graphicFrameLocks/>
          </xdr:cNvGraphicFramePr>
        </xdr:nvGraphicFramePr>
        <xdr:xfrm>
          <a:off x="5553075" y="4076700"/>
          <a:ext cx="4200525" cy="27432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">
        <xdr:nvSpPr>
          <xdr:cNvPr id="4" name="Rectangle 1"/>
          <xdr:cNvSpPr/>
        </xdr:nvSpPr>
        <xdr:spPr>
          <a:xfrm>
            <a:off x="8848725" y="4210050"/>
            <a:ext cx="790575" cy="1903056"/>
          </a:xfrm>
          <a:prstGeom prst="rect">
            <a:avLst/>
          </a:prstGeom>
          <a:solidFill>
            <a:srgbClr val="13B5EA">
              <a:alpha val="19000"/>
            </a:srgb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sk-SK" sz="1100">
              <a:latin typeface="Constantia" panose="02030602050306030303" pitchFamily="18" charset="0"/>
            </a:endParaRPr>
          </a:p>
        </xdr:txBody>
      </xdr:sp>
    </xdr:grpSp>
    <xdr:clientData/>
  </xdr:twoCellAnchor>
  <xdr:twoCellAnchor>
    <xdr:from>
      <xdr:col>6</xdr:col>
      <xdr:colOff>200025</xdr:colOff>
      <xdr:row>16</xdr:row>
      <xdr:rowOff>45719</xdr:rowOff>
    </xdr:from>
    <xdr:to>
      <xdr:col>8</xdr:col>
      <xdr:colOff>1091025</xdr:colOff>
      <xdr:row>29</xdr:row>
      <xdr:rowOff>89219</xdr:rowOff>
    </xdr:to>
    <xdr:grpSp>
      <xdr:nvGrpSpPr>
        <xdr:cNvPr id="5" name="Group 4"/>
        <xdr:cNvGrpSpPr/>
      </xdr:nvGrpSpPr>
      <xdr:grpSpPr>
        <a:xfrm>
          <a:off x="7972425" y="3360419"/>
          <a:ext cx="4320000" cy="2520000"/>
          <a:chOff x="5553075" y="4076700"/>
          <a:chExt cx="4200525" cy="2743200"/>
        </a:xfrm>
      </xdr:grpSpPr>
      <xdr:graphicFrame macro="">
        <xdr:nvGraphicFramePr>
          <xdr:cNvPr id="6" name="Chart 5"/>
          <xdr:cNvGraphicFramePr>
            <a:graphicFrameLocks/>
          </xdr:cNvGraphicFramePr>
        </xdr:nvGraphicFramePr>
        <xdr:xfrm>
          <a:off x="5553075" y="4076700"/>
          <a:ext cx="4200525" cy="27432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">
        <xdr:nvSpPr>
          <xdr:cNvPr id="7" name="Rectangle 1"/>
          <xdr:cNvSpPr/>
        </xdr:nvSpPr>
        <xdr:spPr>
          <a:xfrm>
            <a:off x="8848725" y="4210050"/>
            <a:ext cx="790575" cy="1903056"/>
          </a:xfrm>
          <a:prstGeom prst="rect">
            <a:avLst/>
          </a:prstGeom>
          <a:solidFill>
            <a:srgbClr val="13B5EA">
              <a:alpha val="19000"/>
            </a:srgb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sk-SK" sz="1100">
              <a:latin typeface="Constantia" panose="02030602050306030303" pitchFamily="18" charset="0"/>
            </a:endParaRPr>
          </a:p>
        </xdr:txBody>
      </xdr:sp>
    </xdr:grpSp>
    <xdr:clientData/>
  </xdr:twoCellAnchor>
  <xdr:oneCellAnchor>
    <xdr:from>
      <xdr:col>11</xdr:col>
      <xdr:colOff>0</xdr:colOff>
      <xdr:row>15</xdr:row>
      <xdr:rowOff>0</xdr:rowOff>
    </xdr:from>
    <xdr:ext cx="536494" cy="268247"/>
    <xdr:pic>
      <xdr:nvPicPr>
        <xdr:cNvPr id="9" name="Obrázok 8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5536333" y="624417"/>
          <a:ext cx="536494" cy="268247"/>
        </a:xfrm>
        <a:prstGeom prst="rect">
          <a:avLst/>
        </a:prstGeom>
      </xdr:spPr>
    </xdr:pic>
    <xdr:clientData/>
  </xdr:oneCellAnchor>
</xdr:wsDr>
</file>

<file path=xl/drawings/drawing11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285750</xdr:colOff>
      <xdr:row>1</xdr:row>
      <xdr:rowOff>38100</xdr:rowOff>
    </xdr:from>
    <xdr:to>
      <xdr:col>14</xdr:col>
      <xdr:colOff>520710</xdr:colOff>
      <xdr:row>24</xdr:row>
      <xdr:rowOff>126427</xdr:rowOff>
    </xdr:to>
    <xdr:grpSp>
      <xdr:nvGrpSpPr>
        <xdr:cNvPr id="15" name="Skupina 14"/>
        <xdr:cNvGrpSpPr/>
      </xdr:nvGrpSpPr>
      <xdr:grpSpPr>
        <a:xfrm>
          <a:off x="8553450" y="228600"/>
          <a:ext cx="5721360" cy="4469827"/>
          <a:chOff x="6648450" y="68627625"/>
          <a:chExt cx="5721360" cy="4469827"/>
        </a:xfrm>
      </xdr:grpSpPr>
      <mc:AlternateContent xmlns:mc="http://schemas.openxmlformats.org/markup-compatibility/2006">
        <mc:Choice xmlns:cx1="http://schemas.microsoft.com/office/drawing/2015/9/8/chartex" Requires="cx1">
          <xdr:graphicFrame macro="">
            <xdr:nvGraphicFramePr>
              <xdr:cNvPr id="16" name="Chart 13"/>
              <xdr:cNvGraphicFramePr/>
            </xdr:nvGraphicFramePr>
            <xdr:xfrm>
              <a:off x="7443787" y="69037200"/>
              <a:ext cx="4605338" cy="3714749"/>
            </xdr:xfrm>
            <a:graphic>
              <a:graphicData uri="http://schemas.microsoft.com/office/drawing/2014/chartex">
                <cx:chart xmlns:cx="http://schemas.microsoft.com/office/drawing/2014/chartex" xmlns:r="http://schemas.openxmlformats.org/officeDocument/2006/relationships" r:id="rId1"/>
              </a:graphicData>
            </a:graphic>
          </xdr:graphicFrame>
        </mc:Choice>
        <mc:Fallback>
          <xdr:sp macro="" textlink="">
            <xdr:nvSpPr>
              <xdr:cNvPr id="0" name=""/>
              <xdr:cNvSpPr>
                <a:spLocks noTextEdit="1"/>
              </xdr:cNvSpPr>
            </xdr:nvSpPr>
            <xdr:spPr>
              <a:xfrm>
                <a:off x="7443787" y="69037200"/>
                <a:ext cx="4605338" cy="3714749"/>
              </a:xfrm>
              <a:prstGeom prst="rect">
                <a:avLst/>
              </a:prstGeom>
              <a:solidFill>
                <a:prstClr val="white"/>
              </a:solidFill>
              <a:ln w="1">
                <a:solidFill>
                  <a:prstClr val="green"/>
                </a:solidFill>
              </a:ln>
            </xdr:spPr>
            <xdr:txBody>
              <a:bodyPr vertOverflow="clip" horzOverflow="clip"/>
              <a:lstStyle/>
              <a:p>
                <a:r>
                  <a:rPr lang="sk-SK" sz="1100"/>
                  <a:t>Tento graf nie je k dispozícii vo vašej verzii programu Excel.
Ak tento tvar upravíte alebo ak zošit uložíte v inom formáte súboru, graf sa natrvalo poškodí.</a:t>
                </a:r>
              </a:p>
            </xdr:txBody>
          </xdr:sp>
        </mc:Fallback>
      </mc:AlternateContent>
      <xdr:sp macro="" textlink="">
        <xdr:nvSpPr>
          <xdr:cNvPr id="17" name="BlokTextu 16"/>
          <xdr:cNvSpPr txBox="1"/>
        </xdr:nvSpPr>
        <xdr:spPr>
          <a:xfrm>
            <a:off x="10791826" y="69513450"/>
            <a:ext cx="1216034" cy="37407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pPr algn="ctr"/>
            <a:r>
              <a:rPr lang="sk-SK" sz="900">
                <a:latin typeface="Constantia" panose="02030602050306030303" pitchFamily="18" charset="0"/>
              </a:rPr>
              <a:t>kompenzácie</a:t>
            </a:r>
          </a:p>
          <a:p>
            <a:pPr algn="ctr"/>
            <a:r>
              <a:rPr lang="sk-SK" sz="900">
                <a:latin typeface="Constantia" panose="02030602050306030303" pitchFamily="18" charset="0"/>
              </a:rPr>
              <a:t>7 255</a:t>
            </a:r>
          </a:p>
        </xdr:txBody>
      </xdr:sp>
      <xdr:sp macro="" textlink="">
        <xdr:nvSpPr>
          <xdr:cNvPr id="18" name="BlokTextu 17"/>
          <xdr:cNvSpPr txBox="1"/>
        </xdr:nvSpPr>
        <xdr:spPr>
          <a:xfrm>
            <a:off x="11153776" y="71208900"/>
            <a:ext cx="1216034" cy="37407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pPr algn="ctr"/>
            <a:r>
              <a:rPr lang="sk-SK" sz="900">
                <a:latin typeface="Constantia" panose="02030602050306030303" pitchFamily="18" charset="0"/>
              </a:rPr>
              <a:t>medzispotreba</a:t>
            </a:r>
          </a:p>
          <a:p>
            <a:pPr algn="ctr"/>
            <a:r>
              <a:rPr lang="sk-SK" sz="900">
                <a:latin typeface="Constantia" panose="02030602050306030303" pitchFamily="18" charset="0"/>
              </a:rPr>
              <a:t>4</a:t>
            </a:r>
            <a:r>
              <a:rPr lang="sk-SK" sz="900" baseline="0">
                <a:latin typeface="Constantia" panose="02030602050306030303" pitchFamily="18" charset="0"/>
              </a:rPr>
              <a:t> 424</a:t>
            </a:r>
            <a:endParaRPr lang="sk-SK" sz="900">
              <a:latin typeface="Constantia" panose="02030602050306030303" pitchFamily="18" charset="0"/>
            </a:endParaRPr>
          </a:p>
        </xdr:txBody>
      </xdr:sp>
      <xdr:sp macro="" textlink="">
        <xdr:nvSpPr>
          <xdr:cNvPr id="19" name="BlokTextu 18"/>
          <xdr:cNvSpPr txBox="1"/>
        </xdr:nvSpPr>
        <xdr:spPr>
          <a:xfrm>
            <a:off x="10925176" y="71904225"/>
            <a:ext cx="1216034" cy="37407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pPr algn="ctr"/>
            <a:r>
              <a:rPr lang="sk-SK" sz="900">
                <a:latin typeface="Constantia" panose="02030602050306030303" pitchFamily="18" charset="0"/>
              </a:rPr>
              <a:t>kapitálové</a:t>
            </a:r>
            <a:r>
              <a:rPr lang="sk-SK" sz="900" baseline="0">
                <a:latin typeface="Constantia" panose="02030602050306030303" pitchFamily="18" charset="0"/>
              </a:rPr>
              <a:t> výdavky</a:t>
            </a:r>
            <a:endParaRPr lang="sk-SK" sz="900">
              <a:latin typeface="Constantia" panose="02030602050306030303" pitchFamily="18" charset="0"/>
            </a:endParaRPr>
          </a:p>
          <a:p>
            <a:pPr algn="ctr"/>
            <a:r>
              <a:rPr lang="sk-SK" sz="900">
                <a:latin typeface="Constantia" panose="02030602050306030303" pitchFamily="18" charset="0"/>
              </a:rPr>
              <a:t>2 735</a:t>
            </a:r>
          </a:p>
        </xdr:txBody>
      </xdr:sp>
      <xdr:sp macro="" textlink="">
        <xdr:nvSpPr>
          <xdr:cNvPr id="20" name="BlokTextu 19"/>
          <xdr:cNvSpPr txBox="1"/>
        </xdr:nvSpPr>
        <xdr:spPr>
          <a:xfrm>
            <a:off x="10191751" y="72723375"/>
            <a:ext cx="1216034" cy="37407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pPr algn="ctr"/>
            <a:r>
              <a:rPr lang="sk-SK" sz="900">
                <a:latin typeface="Constantia" panose="02030602050306030303" pitchFamily="18" charset="0"/>
              </a:rPr>
              <a:t>spolufinancovanie</a:t>
            </a:r>
          </a:p>
          <a:p>
            <a:pPr algn="ctr"/>
            <a:r>
              <a:rPr lang="sk-SK" sz="900">
                <a:latin typeface="Constantia" panose="02030602050306030303" pitchFamily="18" charset="0"/>
              </a:rPr>
              <a:t>422</a:t>
            </a:r>
          </a:p>
        </xdr:txBody>
      </xdr:sp>
      <xdr:sp macro="" textlink="">
        <xdr:nvSpPr>
          <xdr:cNvPr id="21" name="BlokTextu 20"/>
          <xdr:cNvSpPr txBox="1"/>
        </xdr:nvSpPr>
        <xdr:spPr>
          <a:xfrm>
            <a:off x="9505951" y="72618600"/>
            <a:ext cx="1216034" cy="37407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pPr algn="ctr"/>
            <a:r>
              <a:rPr lang="sk-SK" sz="900">
                <a:latin typeface="Constantia" panose="02030602050306030303" pitchFamily="18" charset="0"/>
              </a:rPr>
              <a:t>subvencie</a:t>
            </a:r>
          </a:p>
          <a:p>
            <a:pPr algn="ctr"/>
            <a:r>
              <a:rPr lang="sk-SK" sz="900">
                <a:latin typeface="Constantia" panose="02030602050306030303" pitchFamily="18" charset="0"/>
              </a:rPr>
              <a:t>321</a:t>
            </a:r>
          </a:p>
        </xdr:txBody>
      </xdr:sp>
      <xdr:sp macro="" textlink="">
        <xdr:nvSpPr>
          <xdr:cNvPr id="22" name="BlokTextu 21"/>
          <xdr:cNvSpPr txBox="1"/>
        </xdr:nvSpPr>
        <xdr:spPr>
          <a:xfrm>
            <a:off x="10182226" y="72390000"/>
            <a:ext cx="1216034" cy="37407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pPr algn="ctr"/>
            <a:r>
              <a:rPr lang="sk-SK" sz="900">
                <a:latin typeface="Constantia" panose="02030602050306030303" pitchFamily="18" charset="0"/>
              </a:rPr>
              <a:t>ostatné</a:t>
            </a:r>
          </a:p>
          <a:p>
            <a:pPr algn="ctr"/>
            <a:r>
              <a:rPr lang="sk-SK" sz="900">
                <a:latin typeface="Constantia" panose="02030602050306030303" pitchFamily="18" charset="0"/>
              </a:rPr>
              <a:t>1 059</a:t>
            </a:r>
          </a:p>
        </xdr:txBody>
      </xdr:sp>
      <xdr:sp macro="" textlink="">
        <xdr:nvSpPr>
          <xdr:cNvPr id="23" name="BlokTextu 22"/>
          <xdr:cNvSpPr txBox="1"/>
        </xdr:nvSpPr>
        <xdr:spPr>
          <a:xfrm>
            <a:off x="6648450" y="70304025"/>
            <a:ext cx="1416060" cy="37407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pPr algn="ctr"/>
            <a:r>
              <a:rPr lang="sk-SK" sz="900">
                <a:latin typeface="Constantia" panose="02030602050306030303" pitchFamily="18" charset="0"/>
              </a:rPr>
              <a:t>zdravotná</a:t>
            </a:r>
            <a:r>
              <a:rPr lang="sk-SK" sz="900" baseline="0">
                <a:latin typeface="Constantia" panose="02030602050306030303" pitchFamily="18" charset="0"/>
              </a:rPr>
              <a:t> starostlivosť</a:t>
            </a:r>
          </a:p>
          <a:p>
            <a:pPr algn="ctr"/>
            <a:r>
              <a:rPr lang="sk-SK" sz="900" baseline="0">
                <a:latin typeface="Constantia" panose="02030602050306030303" pitchFamily="18" charset="0"/>
              </a:rPr>
              <a:t>4 375</a:t>
            </a:r>
            <a:endParaRPr lang="sk-SK" sz="900">
              <a:latin typeface="Constantia" panose="02030602050306030303" pitchFamily="18" charset="0"/>
            </a:endParaRPr>
          </a:p>
        </xdr:txBody>
      </xdr:sp>
      <xdr:sp macro="" textlink="">
        <xdr:nvSpPr>
          <xdr:cNvPr id="24" name="BlokTextu 23"/>
          <xdr:cNvSpPr txBox="1"/>
        </xdr:nvSpPr>
        <xdr:spPr>
          <a:xfrm>
            <a:off x="7677150" y="72466200"/>
            <a:ext cx="1416060" cy="37407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pPr algn="ctr"/>
            <a:r>
              <a:rPr lang="sk-SK" sz="900">
                <a:latin typeface="Constantia" panose="02030602050306030303" pitchFamily="18" charset="0"/>
              </a:rPr>
              <a:t>sociálne transfery</a:t>
            </a:r>
          </a:p>
          <a:p>
            <a:pPr algn="ctr"/>
            <a:r>
              <a:rPr lang="sk-SK" sz="900">
                <a:latin typeface="Constantia" panose="02030602050306030303" pitchFamily="18" charset="0"/>
              </a:rPr>
              <a:t>9</a:t>
            </a:r>
            <a:r>
              <a:rPr lang="sk-SK" sz="900" baseline="0">
                <a:latin typeface="Constantia" panose="02030602050306030303" pitchFamily="18" charset="0"/>
              </a:rPr>
              <a:t> 610</a:t>
            </a:r>
            <a:endParaRPr lang="sk-SK" sz="900">
              <a:latin typeface="Constantia" panose="02030602050306030303" pitchFamily="18" charset="0"/>
            </a:endParaRPr>
          </a:p>
        </xdr:txBody>
      </xdr:sp>
      <xdr:sp macro="" textlink="">
        <xdr:nvSpPr>
          <xdr:cNvPr id="25" name="BlokTextu 24"/>
          <xdr:cNvSpPr txBox="1"/>
        </xdr:nvSpPr>
        <xdr:spPr>
          <a:xfrm>
            <a:off x="8601075" y="71075550"/>
            <a:ext cx="647700" cy="23320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pPr algn="ctr"/>
            <a:r>
              <a:rPr lang="sk-SK" sz="900" b="1">
                <a:solidFill>
                  <a:srgbClr val="58595B"/>
                </a:solidFill>
                <a:latin typeface="Constantia" panose="02030602050306030303" pitchFamily="18" charset="0"/>
              </a:rPr>
              <a:t>povinné</a:t>
            </a:r>
          </a:p>
        </xdr:txBody>
      </xdr:sp>
      <xdr:sp macro="" textlink="">
        <xdr:nvSpPr>
          <xdr:cNvPr id="26" name="BlokTextu 25"/>
          <xdr:cNvSpPr txBox="1"/>
        </xdr:nvSpPr>
        <xdr:spPr>
          <a:xfrm>
            <a:off x="10239375" y="70780275"/>
            <a:ext cx="847725" cy="23320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pPr algn="ctr"/>
            <a:r>
              <a:rPr lang="sk-SK" sz="900" b="1">
                <a:solidFill>
                  <a:srgbClr val="58595B"/>
                </a:solidFill>
                <a:latin typeface="Constantia" panose="02030602050306030303" pitchFamily="18" charset="0"/>
              </a:rPr>
              <a:t>fakultatívne</a:t>
            </a:r>
          </a:p>
        </xdr:txBody>
      </xdr:sp>
      <xdr:sp macro="" textlink="">
        <xdr:nvSpPr>
          <xdr:cNvPr id="27" name="BlokTextu 26"/>
          <xdr:cNvSpPr txBox="1"/>
        </xdr:nvSpPr>
        <xdr:spPr>
          <a:xfrm>
            <a:off x="9163050" y="69789675"/>
            <a:ext cx="800100" cy="37407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pPr algn="ctr"/>
            <a:r>
              <a:rPr lang="sk-SK" sz="900" b="1">
                <a:solidFill>
                  <a:srgbClr val="58595B"/>
                </a:solidFill>
                <a:latin typeface="Constantia" panose="02030602050306030303" pitchFamily="18" charset="0"/>
              </a:rPr>
              <a:t>bez vplyvu na saldo</a:t>
            </a:r>
          </a:p>
        </xdr:txBody>
      </xdr:sp>
      <xdr:sp macro="" textlink="">
        <xdr:nvSpPr>
          <xdr:cNvPr id="28" name="BlokTextu 27"/>
          <xdr:cNvSpPr txBox="1"/>
        </xdr:nvSpPr>
        <xdr:spPr>
          <a:xfrm>
            <a:off x="7924800" y="68980050"/>
            <a:ext cx="1416060" cy="37407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pPr algn="ctr"/>
            <a:r>
              <a:rPr lang="sk-SK" sz="900">
                <a:latin typeface="Constantia" panose="02030602050306030303" pitchFamily="18" charset="0"/>
              </a:rPr>
              <a:t>ostatné</a:t>
            </a:r>
          </a:p>
          <a:p>
            <a:pPr algn="ctr"/>
            <a:r>
              <a:rPr lang="sk-SK" sz="900">
                <a:latin typeface="Constantia" panose="02030602050306030303" pitchFamily="18" charset="0"/>
              </a:rPr>
              <a:t>83</a:t>
            </a:r>
          </a:p>
        </xdr:txBody>
      </xdr:sp>
      <xdr:sp macro="" textlink="">
        <xdr:nvSpPr>
          <xdr:cNvPr id="29" name="BlokTextu 28"/>
          <xdr:cNvSpPr txBox="1"/>
        </xdr:nvSpPr>
        <xdr:spPr>
          <a:xfrm>
            <a:off x="7191375" y="69122925"/>
            <a:ext cx="1416060" cy="37407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pPr algn="ctr"/>
            <a:r>
              <a:rPr lang="sk-SK" sz="900">
                <a:latin typeface="Constantia" panose="02030602050306030303" pitchFamily="18" charset="0"/>
              </a:rPr>
              <a:t>odvody do rozpočtu EÚ</a:t>
            </a:r>
          </a:p>
          <a:p>
            <a:pPr algn="ctr"/>
            <a:r>
              <a:rPr lang="sk-SK" sz="900">
                <a:latin typeface="Constantia" panose="02030602050306030303" pitchFamily="18" charset="0"/>
              </a:rPr>
              <a:t>706</a:t>
            </a:r>
          </a:p>
        </xdr:txBody>
      </xdr:sp>
      <xdr:sp macro="" textlink="">
        <xdr:nvSpPr>
          <xdr:cNvPr id="30" name="BlokTextu 29"/>
          <xdr:cNvSpPr txBox="1"/>
        </xdr:nvSpPr>
        <xdr:spPr>
          <a:xfrm>
            <a:off x="7448550" y="69418201"/>
            <a:ext cx="1416060" cy="440752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pPr algn="ctr"/>
            <a:r>
              <a:rPr lang="sk-SK" sz="900">
                <a:latin typeface="Constantia" panose="02030602050306030303" pitchFamily="18" charset="0"/>
              </a:rPr>
              <a:t>platené úroky</a:t>
            </a:r>
          </a:p>
          <a:p>
            <a:pPr algn="ctr"/>
            <a:r>
              <a:rPr lang="sk-SK" sz="900">
                <a:latin typeface="Constantia" panose="02030602050306030303" pitchFamily="18" charset="0"/>
              </a:rPr>
              <a:t>1 120</a:t>
            </a:r>
          </a:p>
        </xdr:txBody>
      </xdr:sp>
      <xdr:sp macro="" textlink="">
        <xdr:nvSpPr>
          <xdr:cNvPr id="31" name="BlokTextu 30"/>
          <xdr:cNvSpPr txBox="1"/>
        </xdr:nvSpPr>
        <xdr:spPr>
          <a:xfrm>
            <a:off x="9115425" y="68627625"/>
            <a:ext cx="1416060" cy="37407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pPr algn="ctr"/>
            <a:r>
              <a:rPr lang="sk-SK" sz="900">
                <a:latin typeface="Constantia" panose="02030602050306030303" pitchFamily="18" charset="0"/>
              </a:rPr>
              <a:t>EÚ</a:t>
            </a:r>
            <a:r>
              <a:rPr lang="sk-SK" sz="900" baseline="0">
                <a:latin typeface="Constantia" panose="02030602050306030303" pitchFamily="18" charset="0"/>
              </a:rPr>
              <a:t> výdavky</a:t>
            </a:r>
          </a:p>
          <a:p>
            <a:pPr algn="ctr"/>
            <a:r>
              <a:rPr lang="sk-SK" sz="900" baseline="0">
                <a:latin typeface="Constantia" panose="02030602050306030303" pitchFamily="18" charset="0"/>
              </a:rPr>
              <a:t>968</a:t>
            </a:r>
            <a:endParaRPr lang="sk-SK" sz="900">
              <a:latin typeface="Constantia" panose="02030602050306030303" pitchFamily="18" charset="0"/>
            </a:endParaRPr>
          </a:p>
        </xdr:txBody>
      </xdr:sp>
      <xdr:sp macro="" textlink="">
        <xdr:nvSpPr>
          <xdr:cNvPr id="32" name="BlokTextu 31"/>
          <xdr:cNvSpPr txBox="1"/>
        </xdr:nvSpPr>
        <xdr:spPr>
          <a:xfrm>
            <a:off x="8191500" y="68780025"/>
            <a:ext cx="1625610" cy="37407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pPr algn="ctr"/>
            <a:r>
              <a:rPr lang="sk-SK" sz="900">
                <a:latin typeface="Constantia" panose="02030602050306030303" pitchFamily="18" charset="0"/>
              </a:rPr>
              <a:t>poistné platené štátom </a:t>
            </a:r>
          </a:p>
          <a:p>
            <a:pPr algn="ctr"/>
            <a:r>
              <a:rPr lang="sk-SK" sz="900" baseline="0">
                <a:latin typeface="Constantia" panose="02030602050306030303" pitchFamily="18" charset="0"/>
              </a:rPr>
              <a:t>1 503</a:t>
            </a:r>
          </a:p>
        </xdr:txBody>
      </xdr:sp>
      <xdr:sp macro="" textlink="">
        <xdr:nvSpPr>
          <xdr:cNvPr id="33" name="BlokTextu 32"/>
          <xdr:cNvSpPr txBox="1"/>
        </xdr:nvSpPr>
        <xdr:spPr>
          <a:xfrm>
            <a:off x="9620250" y="68875275"/>
            <a:ext cx="1625610" cy="37407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pPr algn="ctr"/>
            <a:r>
              <a:rPr lang="sk-SK" sz="900" b="0">
                <a:latin typeface="Constantia" panose="02030602050306030303" pitchFamily="18" charset="0"/>
              </a:rPr>
              <a:t>imputované poistné</a:t>
            </a:r>
          </a:p>
          <a:p>
            <a:pPr algn="ctr"/>
            <a:r>
              <a:rPr lang="sk-SK" sz="900" b="0">
                <a:latin typeface="Constantia" panose="02030602050306030303" pitchFamily="18" charset="0"/>
              </a:rPr>
              <a:t>176</a:t>
            </a:r>
            <a:endParaRPr lang="sk-SK" sz="900" b="0" baseline="0">
              <a:latin typeface="Constantia" panose="02030602050306030303" pitchFamily="18" charset="0"/>
            </a:endParaRPr>
          </a:p>
        </xdr:txBody>
      </xdr:sp>
    </xdr:grpSp>
    <xdr:clientData/>
  </xdr:twoCellAnchor>
  <xdr:oneCellAnchor>
    <xdr:from>
      <xdr:col>17</xdr:col>
      <xdr:colOff>0</xdr:colOff>
      <xdr:row>1</xdr:row>
      <xdr:rowOff>0</xdr:rowOff>
    </xdr:from>
    <xdr:ext cx="536494" cy="268247"/>
    <xdr:pic>
      <xdr:nvPicPr>
        <xdr:cNvPr id="34" name="Obrázok 33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7868900" y="381000"/>
          <a:ext cx="536494" cy="268247"/>
        </a:xfrm>
        <a:prstGeom prst="rect">
          <a:avLst/>
        </a:prstGeom>
      </xdr:spPr>
    </xdr:pic>
    <xdr:clientData/>
  </xdr:one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114300</xdr:colOff>
      <xdr:row>2</xdr:row>
      <xdr:rowOff>9525</xdr:rowOff>
    </xdr:from>
    <xdr:to>
      <xdr:col>21</xdr:col>
      <xdr:colOff>371475</xdr:colOff>
      <xdr:row>22</xdr:row>
      <xdr:rowOff>57150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24</xdr:col>
      <xdr:colOff>0</xdr:colOff>
      <xdr:row>2</xdr:row>
      <xdr:rowOff>0</xdr:rowOff>
    </xdr:from>
    <xdr:ext cx="536494" cy="268247"/>
    <xdr:pic>
      <xdr:nvPicPr>
        <xdr:cNvPr id="4" name="Obrázok 3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4916150" y="3124200"/>
          <a:ext cx="536494" cy="268247"/>
        </a:xfrm>
        <a:prstGeom prst="rect">
          <a:avLst/>
        </a:prstGeom>
      </xdr:spPr>
    </xdr:pic>
    <xdr:clientData/>
  </xdr:oneCellAnchor>
</xdr:wsDr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0.68421</cdr:x>
      <cdr:y>0.00795</cdr:y>
    </cdr:from>
    <cdr:to>
      <cdr:x>0.93713</cdr:x>
      <cdr:y>0.82713</cdr:y>
    </cdr:to>
    <cdr:sp macro="" textlink="">
      <cdr:nvSpPr>
        <cdr:cNvPr id="2" name="Rectangle 1"/>
        <cdr:cNvSpPr/>
      </cdr:nvSpPr>
      <cdr:spPr>
        <a:xfrm xmlns:a="http://schemas.openxmlformats.org/drawingml/2006/main">
          <a:off x="3095625" y="30665"/>
          <a:ext cx="1144291" cy="3160089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2">
            <a:lumMod val="20000"/>
            <a:lumOff val="80000"/>
            <a:alpha val="40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sk-SK"/>
        </a:p>
      </cdr:txBody>
    </cdr:sp>
  </cdr:relSizeAnchor>
</c:userShapes>
</file>

<file path=xl/drawings/drawing115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9525</xdr:colOff>
      <xdr:row>1</xdr:row>
      <xdr:rowOff>76200</xdr:rowOff>
    </xdr:from>
    <xdr:to>
      <xdr:col>19</xdr:col>
      <xdr:colOff>314325</xdr:colOff>
      <xdr:row>14</xdr:row>
      <xdr:rowOff>152400</xdr:rowOff>
    </xdr:to>
    <xdr:graphicFrame macro="">
      <xdr:nvGraphicFramePr>
        <xdr:cNvPr id="2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23</xdr:col>
      <xdr:colOff>571500</xdr:colOff>
      <xdr:row>1</xdr:row>
      <xdr:rowOff>47625</xdr:rowOff>
    </xdr:from>
    <xdr:to>
      <xdr:col>31</xdr:col>
      <xdr:colOff>266700</xdr:colOff>
      <xdr:row>14</xdr:row>
      <xdr:rowOff>123825</xdr:rowOff>
    </xdr:to>
    <xdr:graphicFrame macro="">
      <xdr:nvGraphicFramePr>
        <xdr:cNvPr id="3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19050</xdr:colOff>
      <xdr:row>17</xdr:row>
      <xdr:rowOff>85725</xdr:rowOff>
    </xdr:from>
    <xdr:to>
      <xdr:col>19</xdr:col>
      <xdr:colOff>323850</xdr:colOff>
      <xdr:row>32</xdr:row>
      <xdr:rowOff>114300</xdr:rowOff>
    </xdr:to>
    <xdr:graphicFrame macro="">
      <xdr:nvGraphicFramePr>
        <xdr:cNvPr id="4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23</xdr:col>
      <xdr:colOff>561975</xdr:colOff>
      <xdr:row>17</xdr:row>
      <xdr:rowOff>76200</xdr:rowOff>
    </xdr:from>
    <xdr:to>
      <xdr:col>31</xdr:col>
      <xdr:colOff>257175</xdr:colOff>
      <xdr:row>32</xdr:row>
      <xdr:rowOff>57150</xdr:rowOff>
    </xdr:to>
    <xdr:graphicFrame macro="">
      <xdr:nvGraphicFramePr>
        <xdr:cNvPr id="5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12</xdr:col>
      <xdr:colOff>19050</xdr:colOff>
      <xdr:row>34</xdr:row>
      <xdr:rowOff>123825</xdr:rowOff>
    </xdr:from>
    <xdr:to>
      <xdr:col>19</xdr:col>
      <xdr:colOff>323850</xdr:colOff>
      <xdr:row>49</xdr:row>
      <xdr:rowOff>9525</xdr:rowOff>
    </xdr:to>
    <xdr:graphicFrame macro="">
      <xdr:nvGraphicFramePr>
        <xdr:cNvPr id="6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23</xdr:col>
      <xdr:colOff>581025</xdr:colOff>
      <xdr:row>34</xdr:row>
      <xdr:rowOff>104775</xdr:rowOff>
    </xdr:from>
    <xdr:to>
      <xdr:col>31</xdr:col>
      <xdr:colOff>276225</xdr:colOff>
      <xdr:row>48</xdr:row>
      <xdr:rowOff>180975</xdr:rowOff>
    </xdr:to>
    <xdr:graphicFrame macro="">
      <xdr:nvGraphicFramePr>
        <xdr:cNvPr id="7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35</xdr:col>
      <xdr:colOff>0</xdr:colOff>
      <xdr:row>20</xdr:row>
      <xdr:rowOff>0</xdr:rowOff>
    </xdr:from>
    <xdr:to>
      <xdr:col>35</xdr:col>
      <xdr:colOff>536494</xdr:colOff>
      <xdr:row>21</xdr:row>
      <xdr:rowOff>77747</xdr:rowOff>
    </xdr:to>
    <xdr:pic>
      <xdr:nvPicPr>
        <xdr:cNvPr id="8" name="Obrázok 7">
          <a:hlinkClick xmlns:r="http://schemas.openxmlformats.org/officeDocument/2006/relationships" r:id="rId7"/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4574500" y="3810000"/>
          <a:ext cx="536494" cy="268247"/>
        </a:xfrm>
        <a:prstGeom prst="rect">
          <a:avLst/>
        </a:prstGeom>
      </xdr:spPr>
    </xdr:pic>
    <xdr:clientData/>
  </xdr:twoCellAnchor>
</xdr:wsDr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0.71042</cdr:x>
      <cdr:y>0</cdr:y>
    </cdr:from>
    <cdr:to>
      <cdr:x>1</cdr:x>
      <cdr:y>0.99479</cdr:y>
    </cdr:to>
    <cdr:sp macro="" textlink="">
      <cdr:nvSpPr>
        <cdr:cNvPr id="2" name="Rectangle 1"/>
        <cdr:cNvSpPr/>
      </cdr:nvSpPr>
      <cdr:spPr>
        <a:xfrm xmlns:a="http://schemas.openxmlformats.org/drawingml/2006/main">
          <a:off x="3248025" y="0"/>
          <a:ext cx="1323975" cy="2728908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1">
            <a:lumMod val="40000"/>
            <a:lumOff val="60000"/>
            <a:alpha val="39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sk-SK"/>
        </a:p>
      </cdr:txBody>
    </cdr: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0.71042</cdr:x>
      <cdr:y>0</cdr:y>
    </cdr:from>
    <cdr:to>
      <cdr:x>1</cdr:x>
      <cdr:y>0.99479</cdr:y>
    </cdr:to>
    <cdr:sp macro="" textlink="">
      <cdr:nvSpPr>
        <cdr:cNvPr id="2" name="Rectangle 1"/>
        <cdr:cNvSpPr/>
      </cdr:nvSpPr>
      <cdr:spPr>
        <a:xfrm xmlns:a="http://schemas.openxmlformats.org/drawingml/2006/main">
          <a:off x="3248025" y="0"/>
          <a:ext cx="1323975" cy="2728908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1">
            <a:lumMod val="40000"/>
            <a:lumOff val="60000"/>
            <a:alpha val="39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sk-SK"/>
        </a:p>
      </cdr:txBody>
    </cdr:sp>
  </cdr:relSizeAnchor>
</c:userShapes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0.69792</cdr:x>
      <cdr:y>0</cdr:y>
    </cdr:from>
    <cdr:to>
      <cdr:x>1</cdr:x>
      <cdr:y>0.99479</cdr:y>
    </cdr:to>
    <cdr:sp macro="" textlink="">
      <cdr:nvSpPr>
        <cdr:cNvPr id="2" name="Rectangle 1"/>
        <cdr:cNvSpPr/>
      </cdr:nvSpPr>
      <cdr:spPr>
        <a:xfrm xmlns:a="http://schemas.openxmlformats.org/drawingml/2006/main">
          <a:off x="3190890" y="0"/>
          <a:ext cx="1381110" cy="2728908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1">
            <a:lumMod val="40000"/>
            <a:lumOff val="60000"/>
            <a:alpha val="39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sk-SK"/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0.71042</cdr:x>
      <cdr:y>0</cdr:y>
    </cdr:from>
    <cdr:to>
      <cdr:x>1</cdr:x>
      <cdr:y>0.99479</cdr:y>
    </cdr:to>
    <cdr:sp macro="" textlink="">
      <cdr:nvSpPr>
        <cdr:cNvPr id="2" name="Rectangle 1"/>
        <cdr:cNvSpPr/>
      </cdr:nvSpPr>
      <cdr:spPr>
        <a:xfrm xmlns:a="http://schemas.openxmlformats.org/drawingml/2006/main">
          <a:off x="3248025" y="0"/>
          <a:ext cx="1323975" cy="2728908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1">
            <a:lumMod val="40000"/>
            <a:lumOff val="60000"/>
            <a:alpha val="39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sk-SK"/>
        </a:p>
      </cdr:txBody>
    </cdr: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1</xdr:row>
      <xdr:rowOff>0</xdr:rowOff>
    </xdr:from>
    <xdr:to>
      <xdr:col>9</xdr:col>
      <xdr:colOff>536494</xdr:colOff>
      <xdr:row>2</xdr:row>
      <xdr:rowOff>106322</xdr:rowOff>
    </xdr:to>
    <xdr:pic>
      <xdr:nvPicPr>
        <xdr:cNvPr id="2" name="Obrázok 1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800850" y="219075"/>
          <a:ext cx="536494" cy="268247"/>
        </a:xfrm>
        <a:prstGeom prst="rect">
          <a:avLst/>
        </a:prstGeom>
      </xdr:spPr>
    </xdr:pic>
    <xdr:clientData/>
  </xdr:twoCellAnchor>
</xdr:wsDr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0.69792</cdr:x>
      <cdr:y>0</cdr:y>
    </cdr:from>
    <cdr:to>
      <cdr:x>1</cdr:x>
      <cdr:y>0.99479</cdr:y>
    </cdr:to>
    <cdr:sp macro="" textlink="">
      <cdr:nvSpPr>
        <cdr:cNvPr id="2" name="Rectangle 1"/>
        <cdr:cNvSpPr/>
      </cdr:nvSpPr>
      <cdr:spPr>
        <a:xfrm xmlns:a="http://schemas.openxmlformats.org/drawingml/2006/main">
          <a:off x="3190875" y="0"/>
          <a:ext cx="1381125" cy="2728908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1">
            <a:lumMod val="40000"/>
            <a:lumOff val="60000"/>
            <a:alpha val="39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sk-SK"/>
        </a:p>
      </cdr:txBody>
    </cdr: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0.69792</cdr:x>
      <cdr:y>0</cdr:y>
    </cdr:from>
    <cdr:to>
      <cdr:x>1</cdr:x>
      <cdr:y>0.99479</cdr:y>
    </cdr:to>
    <cdr:sp macro="" textlink="">
      <cdr:nvSpPr>
        <cdr:cNvPr id="2" name="Rectangle 1"/>
        <cdr:cNvSpPr/>
      </cdr:nvSpPr>
      <cdr:spPr>
        <a:xfrm xmlns:a="http://schemas.openxmlformats.org/drawingml/2006/main">
          <a:off x="3190875" y="0"/>
          <a:ext cx="1381125" cy="2728908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1">
            <a:lumMod val="40000"/>
            <a:lumOff val="60000"/>
            <a:alpha val="39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sk-SK"/>
        </a:p>
      </cdr:txBody>
    </cdr:sp>
  </cdr:relSizeAnchor>
</c:userShapes>
</file>

<file path=xl/drawings/drawing12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85726</xdr:colOff>
      <xdr:row>2</xdr:row>
      <xdr:rowOff>95250</xdr:rowOff>
    </xdr:from>
    <xdr:to>
      <xdr:col>14</xdr:col>
      <xdr:colOff>400050</xdr:colOff>
      <xdr:row>17</xdr:row>
      <xdr:rowOff>104775</xdr:rowOff>
    </xdr:to>
    <xdr:graphicFrame macro="">
      <xdr:nvGraphicFramePr>
        <xdr:cNvPr id="2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16</xdr:col>
      <xdr:colOff>0</xdr:colOff>
      <xdr:row>1</xdr:row>
      <xdr:rowOff>0</xdr:rowOff>
    </xdr:from>
    <xdr:to>
      <xdr:col>16</xdr:col>
      <xdr:colOff>536494</xdr:colOff>
      <xdr:row>2</xdr:row>
      <xdr:rowOff>106322</xdr:rowOff>
    </xdr:to>
    <xdr:pic>
      <xdr:nvPicPr>
        <xdr:cNvPr id="3" name="Obrázok 2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134975" y="161925"/>
          <a:ext cx="536494" cy="268247"/>
        </a:xfrm>
        <a:prstGeom prst="rect">
          <a:avLst/>
        </a:prstGeom>
      </xdr:spPr>
    </xdr:pic>
    <xdr:clientData/>
  </xdr:twoCellAnchor>
</xdr:wsDr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0.62025</cdr:x>
      <cdr:y>0.01664</cdr:y>
    </cdr:from>
    <cdr:to>
      <cdr:x>1</cdr:x>
      <cdr:y>0.08117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333624" y="48818"/>
          <a:ext cx="1428750" cy="18930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sk-SK" sz="800" i="1">
              <a:latin typeface="Constantia" pitchFamily="18" charset="0"/>
            </a:rPr>
            <a:t>Proticyklická</a:t>
          </a:r>
          <a:r>
            <a:rPr lang="sk-SK" sz="800" i="1" baseline="0">
              <a:latin typeface="Constantia" pitchFamily="18" charset="0"/>
            </a:rPr>
            <a:t> fiškálna reštrikcia</a:t>
          </a:r>
          <a:endParaRPr lang="sk-SK" sz="800" i="1">
            <a:latin typeface="Constantia" pitchFamily="18" charset="0"/>
          </a:endParaRPr>
        </a:p>
      </cdr:txBody>
    </cdr:sp>
  </cdr:relSizeAnchor>
  <cdr:relSizeAnchor xmlns:cdr="http://schemas.openxmlformats.org/drawingml/2006/chartDrawing">
    <cdr:from>
      <cdr:x>0.01039</cdr:x>
      <cdr:y>0.01519</cdr:y>
    </cdr:from>
    <cdr:to>
      <cdr:x>0.3434</cdr:x>
      <cdr:y>0.08927</cdr:y>
    </cdr:to>
    <cdr:sp macro="" textlink="">
      <cdr:nvSpPr>
        <cdr:cNvPr id="3" name="TextBox 1"/>
        <cdr:cNvSpPr txBox="1"/>
      </cdr:nvSpPr>
      <cdr:spPr>
        <a:xfrm xmlns:a="http://schemas.openxmlformats.org/drawingml/2006/main">
          <a:off x="50800" y="50800"/>
          <a:ext cx="1628775" cy="2476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sk-SK" sz="800" i="1">
              <a:latin typeface="Constantia" pitchFamily="18" charset="0"/>
            </a:rPr>
            <a:t>Procyklická</a:t>
          </a:r>
          <a:r>
            <a:rPr lang="sk-SK" sz="800" i="1" baseline="0">
              <a:latin typeface="Constantia" pitchFamily="18" charset="0"/>
            </a:rPr>
            <a:t> fiškálna reštrikcia</a:t>
          </a:r>
          <a:endParaRPr lang="sk-SK" sz="800" i="1">
            <a:latin typeface="Constantia" pitchFamily="18" charset="0"/>
          </a:endParaRPr>
        </a:p>
      </cdr:txBody>
    </cdr:sp>
  </cdr:relSizeAnchor>
  <cdr:relSizeAnchor xmlns:cdr="http://schemas.openxmlformats.org/drawingml/2006/chartDrawing">
    <cdr:from>
      <cdr:x>0.62864</cdr:x>
      <cdr:y>0.92419</cdr:y>
    </cdr:from>
    <cdr:to>
      <cdr:x>1</cdr:x>
      <cdr:y>0.97403</cdr:y>
    </cdr:to>
    <cdr:sp macro="" textlink="">
      <cdr:nvSpPr>
        <cdr:cNvPr id="6" name="TextBox 5"/>
        <cdr:cNvSpPr txBox="1"/>
      </cdr:nvSpPr>
      <cdr:spPr>
        <a:xfrm xmlns:a="http://schemas.openxmlformats.org/drawingml/2006/main">
          <a:off x="2365167" y="2711288"/>
          <a:ext cx="1397207" cy="1462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sk-SK" sz="800" i="1">
              <a:latin typeface="Constantia" pitchFamily="18" charset="0"/>
            </a:rPr>
            <a:t>Procyklická</a:t>
          </a:r>
          <a:r>
            <a:rPr lang="sk-SK" sz="800" i="1" baseline="0">
              <a:latin typeface="Constantia" pitchFamily="18" charset="0"/>
            </a:rPr>
            <a:t> fiškálna expanzia</a:t>
          </a:r>
          <a:endParaRPr lang="sk-SK" sz="800" i="1">
            <a:latin typeface="Constantia" pitchFamily="18" charset="0"/>
          </a:endParaRPr>
        </a:p>
      </cdr:txBody>
    </cdr:sp>
  </cdr:relSizeAnchor>
  <cdr:relSizeAnchor xmlns:cdr="http://schemas.openxmlformats.org/drawingml/2006/chartDrawing">
    <cdr:from>
      <cdr:x>0.02674</cdr:x>
      <cdr:y>0.9227</cdr:y>
    </cdr:from>
    <cdr:to>
      <cdr:x>0.33833</cdr:x>
      <cdr:y>0.99677</cdr:y>
    </cdr:to>
    <cdr:sp macro="" textlink="">
      <cdr:nvSpPr>
        <cdr:cNvPr id="7" name="TextBox 1"/>
        <cdr:cNvSpPr txBox="1"/>
      </cdr:nvSpPr>
      <cdr:spPr>
        <a:xfrm xmlns:a="http://schemas.openxmlformats.org/drawingml/2006/main">
          <a:off x="104172" y="2724516"/>
          <a:ext cx="1213869" cy="2187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sk-SK" sz="800" i="1">
              <a:latin typeface="Constantia" pitchFamily="18" charset="0"/>
            </a:rPr>
            <a:t>Proticyklická</a:t>
          </a:r>
          <a:r>
            <a:rPr lang="sk-SK" sz="800" i="1" baseline="0">
              <a:latin typeface="Constantia" pitchFamily="18" charset="0"/>
            </a:rPr>
            <a:t> fiškálna expanzia</a:t>
          </a:r>
          <a:endParaRPr lang="sk-SK" sz="800" i="1">
            <a:latin typeface="Constantia" pitchFamily="18" charset="0"/>
          </a:endParaRPr>
        </a:p>
      </cdr:txBody>
    </cdr:sp>
  </cdr:relSizeAnchor>
  <cdr:relSizeAnchor xmlns:cdr="http://schemas.openxmlformats.org/drawingml/2006/chartDrawing">
    <cdr:from>
      <cdr:x>0.38118</cdr:x>
      <cdr:y>0.00617</cdr:y>
    </cdr:from>
    <cdr:to>
      <cdr:x>0.61569</cdr:x>
      <cdr:y>0.08037</cdr:y>
    </cdr:to>
    <cdr:sp macro="" textlink="">
      <cdr:nvSpPr>
        <cdr:cNvPr id="9" name="TextBox 1"/>
        <cdr:cNvSpPr txBox="1"/>
      </cdr:nvSpPr>
      <cdr:spPr>
        <a:xfrm xmlns:a="http://schemas.openxmlformats.org/drawingml/2006/main">
          <a:off x="1499495" y="17926"/>
          <a:ext cx="922522" cy="215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sk-SK" sz="800" b="1" i="0">
              <a:latin typeface="Constantia" pitchFamily="18" charset="0"/>
            </a:rPr>
            <a:t>Fiškálny impulz</a:t>
          </a:r>
        </a:p>
      </cdr:txBody>
    </cdr:sp>
  </cdr:relSizeAnchor>
  <cdr:relSizeAnchor xmlns:cdr="http://schemas.openxmlformats.org/drawingml/2006/chartDrawing">
    <cdr:from>
      <cdr:x>0.71957</cdr:x>
      <cdr:y>0.44248</cdr:y>
    </cdr:from>
    <cdr:to>
      <cdr:x>1</cdr:x>
      <cdr:y>0.50231</cdr:y>
    </cdr:to>
    <cdr:sp macro="" textlink="">
      <cdr:nvSpPr>
        <cdr:cNvPr id="12" name="TextBox 7"/>
        <cdr:cNvSpPr txBox="1"/>
      </cdr:nvSpPr>
      <cdr:spPr>
        <a:xfrm xmlns:a="http://schemas.openxmlformats.org/drawingml/2006/main">
          <a:off x="2803246" y="1306541"/>
          <a:ext cx="1092478" cy="17666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sk-SK" sz="800" b="1">
              <a:latin typeface="Constantia" pitchFamily="18" charset="0"/>
            </a:rPr>
            <a:t>Produkčná medzera</a:t>
          </a:r>
        </a:p>
      </cdr:txBody>
    </cdr:sp>
  </cdr:relSizeAnchor>
</c:userShapes>
</file>

<file path=xl/drawings/drawing12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200025</xdr:colOff>
      <xdr:row>1</xdr:row>
      <xdr:rowOff>85725</xdr:rowOff>
    </xdr:from>
    <xdr:to>
      <xdr:col>13</xdr:col>
      <xdr:colOff>285749</xdr:colOff>
      <xdr:row>17</xdr:row>
      <xdr:rowOff>85725</xdr:rowOff>
    </xdr:to>
    <xdr:graphicFrame macro="">
      <xdr:nvGraphicFramePr>
        <xdr:cNvPr id="3" name="Graf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0</xdr:colOff>
      <xdr:row>1</xdr:row>
      <xdr:rowOff>0</xdr:rowOff>
    </xdr:from>
    <xdr:to>
      <xdr:col>17</xdr:col>
      <xdr:colOff>536494</xdr:colOff>
      <xdr:row>2</xdr:row>
      <xdr:rowOff>106322</xdr:rowOff>
    </xdr:to>
    <xdr:pic>
      <xdr:nvPicPr>
        <xdr:cNvPr id="4" name="Obrázok 3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4287500" y="190500"/>
          <a:ext cx="536494" cy="268247"/>
        </a:xfrm>
        <a:prstGeom prst="rect">
          <a:avLst/>
        </a:prstGeom>
      </xdr:spPr>
    </xdr:pic>
    <xdr:clientData/>
  </xdr:twoCellAnchor>
</xdr:wsDr>
</file>

<file path=xl/drawings/drawing12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609599</xdr:colOff>
      <xdr:row>10</xdr:row>
      <xdr:rowOff>95249</xdr:rowOff>
    </xdr:from>
    <xdr:to>
      <xdr:col>8</xdr:col>
      <xdr:colOff>790575</xdr:colOff>
      <xdr:row>25</xdr:row>
      <xdr:rowOff>152400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0</xdr:colOff>
      <xdr:row>11</xdr:row>
      <xdr:rowOff>0</xdr:rowOff>
    </xdr:from>
    <xdr:to>
      <xdr:col>10</xdr:col>
      <xdr:colOff>536494</xdr:colOff>
      <xdr:row>12</xdr:row>
      <xdr:rowOff>77747</xdr:rowOff>
    </xdr:to>
    <xdr:pic>
      <xdr:nvPicPr>
        <xdr:cNvPr id="3" name="Obrázok 2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172325" y="2095500"/>
          <a:ext cx="536494" cy="268247"/>
        </a:xfrm>
        <a:prstGeom prst="rect">
          <a:avLst/>
        </a:prstGeom>
      </xdr:spPr>
    </xdr:pic>
    <xdr:clientData/>
  </xdr:twoCellAnchor>
</xdr:wsDr>
</file>

<file path=xl/drawings/drawing1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571499</xdr:colOff>
      <xdr:row>10</xdr:row>
      <xdr:rowOff>76199</xdr:rowOff>
    </xdr:from>
    <xdr:to>
      <xdr:col>8</xdr:col>
      <xdr:colOff>752475</xdr:colOff>
      <xdr:row>25</xdr:row>
      <xdr:rowOff>133350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0</xdr:colOff>
      <xdr:row>10</xdr:row>
      <xdr:rowOff>0</xdr:rowOff>
    </xdr:from>
    <xdr:to>
      <xdr:col>10</xdr:col>
      <xdr:colOff>536494</xdr:colOff>
      <xdr:row>11</xdr:row>
      <xdr:rowOff>77747</xdr:rowOff>
    </xdr:to>
    <xdr:pic>
      <xdr:nvPicPr>
        <xdr:cNvPr id="3" name="Obrázok 2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172325" y="1905000"/>
          <a:ext cx="536494" cy="268247"/>
        </a:xfrm>
        <a:prstGeom prst="rect">
          <a:avLst/>
        </a:prstGeom>
      </xdr:spPr>
    </xdr:pic>
    <xdr:clientData/>
  </xdr:twoCellAnchor>
</xdr:wsDr>
</file>

<file path=xl/drawings/drawing12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66674</xdr:colOff>
      <xdr:row>11</xdr:row>
      <xdr:rowOff>57149</xdr:rowOff>
    </xdr:from>
    <xdr:to>
      <xdr:col>8</xdr:col>
      <xdr:colOff>857250</xdr:colOff>
      <xdr:row>26</xdr:row>
      <xdr:rowOff>114300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11</xdr:col>
      <xdr:colOff>0</xdr:colOff>
      <xdr:row>11</xdr:row>
      <xdr:rowOff>0</xdr:rowOff>
    </xdr:from>
    <xdr:to>
      <xdr:col>11</xdr:col>
      <xdr:colOff>536494</xdr:colOff>
      <xdr:row>12</xdr:row>
      <xdr:rowOff>77747</xdr:rowOff>
    </xdr:to>
    <xdr:pic>
      <xdr:nvPicPr>
        <xdr:cNvPr id="3" name="Obrázok 2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248525" y="2095500"/>
          <a:ext cx="536494" cy="268247"/>
        </a:xfrm>
        <a:prstGeom prst="rect">
          <a:avLst/>
        </a:prstGeom>
      </xdr:spPr>
    </xdr:pic>
    <xdr:clientData/>
  </xdr:twoCellAnchor>
</xdr:wsDr>
</file>

<file path=xl/drawings/drawing1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19049</xdr:colOff>
      <xdr:row>10</xdr:row>
      <xdr:rowOff>190499</xdr:rowOff>
    </xdr:from>
    <xdr:to>
      <xdr:col>8</xdr:col>
      <xdr:colOff>809625</xdr:colOff>
      <xdr:row>26</xdr:row>
      <xdr:rowOff>57150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11</xdr:col>
      <xdr:colOff>0</xdr:colOff>
      <xdr:row>9</xdr:row>
      <xdr:rowOff>0</xdr:rowOff>
    </xdr:from>
    <xdr:to>
      <xdr:col>11</xdr:col>
      <xdr:colOff>536494</xdr:colOff>
      <xdr:row>10</xdr:row>
      <xdr:rowOff>77747</xdr:rowOff>
    </xdr:to>
    <xdr:pic>
      <xdr:nvPicPr>
        <xdr:cNvPr id="3" name="Obrázok 2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248525" y="1714500"/>
          <a:ext cx="536494" cy="268247"/>
        </a:xfrm>
        <a:prstGeom prst="rect">
          <a:avLst/>
        </a:prstGeom>
      </xdr:spPr>
    </xdr:pic>
    <xdr:clientData/>
  </xdr:twoCellAnchor>
</xdr:wsDr>
</file>

<file path=xl/drawings/drawing129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90487</xdr:colOff>
      <xdr:row>1</xdr:row>
      <xdr:rowOff>100012</xdr:rowOff>
    </xdr:from>
    <xdr:to>
      <xdr:col>28</xdr:col>
      <xdr:colOff>395287</xdr:colOff>
      <xdr:row>15</xdr:row>
      <xdr:rowOff>176212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19050</xdr:colOff>
      <xdr:row>1</xdr:row>
      <xdr:rowOff>90487</xdr:rowOff>
    </xdr:from>
    <xdr:to>
      <xdr:col>20</xdr:col>
      <xdr:colOff>323850</xdr:colOff>
      <xdr:row>15</xdr:row>
      <xdr:rowOff>166687</xdr:rowOff>
    </xdr:to>
    <xdr:graphicFrame macro="">
      <xdr:nvGraphicFramePr>
        <xdr:cNvPr id="3" name="Graf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30</xdr:col>
      <xdr:colOff>0</xdr:colOff>
      <xdr:row>1</xdr:row>
      <xdr:rowOff>0</xdr:rowOff>
    </xdr:from>
    <xdr:to>
      <xdr:col>30</xdr:col>
      <xdr:colOff>536494</xdr:colOff>
      <xdr:row>2</xdr:row>
      <xdr:rowOff>77747</xdr:rowOff>
    </xdr:to>
    <xdr:pic>
      <xdr:nvPicPr>
        <xdr:cNvPr id="4" name="Obrázok 3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1097875" y="190500"/>
          <a:ext cx="536494" cy="268247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1</xdr:row>
      <xdr:rowOff>0</xdr:rowOff>
    </xdr:from>
    <xdr:to>
      <xdr:col>8</xdr:col>
      <xdr:colOff>536494</xdr:colOff>
      <xdr:row>2</xdr:row>
      <xdr:rowOff>106322</xdr:rowOff>
    </xdr:to>
    <xdr:pic>
      <xdr:nvPicPr>
        <xdr:cNvPr id="2" name="Obrázok 1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800850" y="219075"/>
          <a:ext cx="536494" cy="268247"/>
        </a:xfrm>
        <a:prstGeom prst="rect">
          <a:avLst/>
        </a:prstGeom>
      </xdr:spPr>
    </xdr:pic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171450</xdr:colOff>
      <xdr:row>17</xdr:row>
      <xdr:rowOff>57150</xdr:rowOff>
    </xdr:from>
    <xdr:to>
      <xdr:col>6</xdr:col>
      <xdr:colOff>612825</xdr:colOff>
      <xdr:row>34</xdr:row>
      <xdr:rowOff>57150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0</xdr:colOff>
      <xdr:row>17</xdr:row>
      <xdr:rowOff>0</xdr:rowOff>
    </xdr:from>
    <xdr:to>
      <xdr:col>10</xdr:col>
      <xdr:colOff>536494</xdr:colOff>
      <xdr:row>18</xdr:row>
      <xdr:rowOff>77747</xdr:rowOff>
    </xdr:to>
    <xdr:pic>
      <xdr:nvPicPr>
        <xdr:cNvPr id="3" name="Obrázok 2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762875" y="3238500"/>
          <a:ext cx="536494" cy="268247"/>
        </a:xfrm>
        <a:prstGeom prst="rect">
          <a:avLst/>
        </a:prstGeom>
      </xdr:spPr>
    </xdr:pic>
    <xdr:clientData/>
  </xdr:twoCellAnchor>
</xdr:wsDr>
</file>

<file path=xl/drawings/drawing13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57150</xdr:colOff>
      <xdr:row>17</xdr:row>
      <xdr:rowOff>161925</xdr:rowOff>
    </xdr:from>
    <xdr:to>
      <xdr:col>6</xdr:col>
      <xdr:colOff>498525</xdr:colOff>
      <xdr:row>34</xdr:row>
      <xdr:rowOff>163425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11</xdr:col>
      <xdr:colOff>0</xdr:colOff>
      <xdr:row>16</xdr:row>
      <xdr:rowOff>0</xdr:rowOff>
    </xdr:from>
    <xdr:to>
      <xdr:col>11</xdr:col>
      <xdr:colOff>536494</xdr:colOff>
      <xdr:row>17</xdr:row>
      <xdr:rowOff>77747</xdr:rowOff>
    </xdr:to>
    <xdr:pic>
      <xdr:nvPicPr>
        <xdr:cNvPr id="3" name="Obrázok 2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372475" y="3048000"/>
          <a:ext cx="536494" cy="268247"/>
        </a:xfrm>
        <a:prstGeom prst="rect">
          <a:avLst/>
        </a:prstGeom>
      </xdr:spPr>
    </xdr:pic>
    <xdr:clientData/>
  </xdr:twoCellAnchor>
</xdr:wsDr>
</file>

<file path=xl/drawings/drawing13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171450</xdr:colOff>
      <xdr:row>17</xdr:row>
      <xdr:rowOff>104774</xdr:rowOff>
    </xdr:from>
    <xdr:to>
      <xdr:col>6</xdr:col>
      <xdr:colOff>612825</xdr:colOff>
      <xdr:row>34</xdr:row>
      <xdr:rowOff>106274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0</xdr:colOff>
      <xdr:row>17</xdr:row>
      <xdr:rowOff>0</xdr:rowOff>
    </xdr:from>
    <xdr:to>
      <xdr:col>10</xdr:col>
      <xdr:colOff>536494</xdr:colOff>
      <xdr:row>18</xdr:row>
      <xdr:rowOff>77747</xdr:rowOff>
    </xdr:to>
    <xdr:pic>
      <xdr:nvPicPr>
        <xdr:cNvPr id="3" name="Obrázok 2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762875" y="3238500"/>
          <a:ext cx="536494" cy="268247"/>
        </a:xfrm>
        <a:prstGeom prst="rect">
          <a:avLst/>
        </a:prstGeom>
      </xdr:spPr>
    </xdr:pic>
    <xdr:clientData/>
  </xdr:twoCellAnchor>
</xdr:wsDr>
</file>

<file path=xl/drawings/drawing13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257175</xdr:colOff>
      <xdr:row>17</xdr:row>
      <xdr:rowOff>76200</xdr:rowOff>
    </xdr:from>
    <xdr:to>
      <xdr:col>6</xdr:col>
      <xdr:colOff>698550</xdr:colOff>
      <xdr:row>34</xdr:row>
      <xdr:rowOff>76200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12</xdr:col>
      <xdr:colOff>447675</xdr:colOff>
      <xdr:row>17</xdr:row>
      <xdr:rowOff>133350</xdr:rowOff>
    </xdr:from>
    <xdr:to>
      <xdr:col>13</xdr:col>
      <xdr:colOff>374569</xdr:colOff>
      <xdr:row>19</xdr:row>
      <xdr:rowOff>20597</xdr:rowOff>
    </xdr:to>
    <xdr:pic>
      <xdr:nvPicPr>
        <xdr:cNvPr id="3" name="Obrázok 2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429750" y="3371850"/>
          <a:ext cx="536494" cy="268247"/>
        </a:xfrm>
        <a:prstGeom prst="rect">
          <a:avLst/>
        </a:prstGeom>
      </xdr:spPr>
    </xdr:pic>
    <xdr:clientData/>
  </xdr:twoCellAnchor>
</xdr:wsDr>
</file>

<file path=xl/drawings/drawing13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17</xdr:row>
      <xdr:rowOff>133350</xdr:rowOff>
    </xdr:from>
    <xdr:to>
      <xdr:col>6</xdr:col>
      <xdr:colOff>479475</xdr:colOff>
      <xdr:row>34</xdr:row>
      <xdr:rowOff>134850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13</xdr:col>
      <xdr:colOff>0</xdr:colOff>
      <xdr:row>16</xdr:row>
      <xdr:rowOff>0</xdr:rowOff>
    </xdr:from>
    <xdr:to>
      <xdr:col>13</xdr:col>
      <xdr:colOff>536494</xdr:colOff>
      <xdr:row>17</xdr:row>
      <xdr:rowOff>77747</xdr:rowOff>
    </xdr:to>
    <xdr:pic>
      <xdr:nvPicPr>
        <xdr:cNvPr id="3" name="Obrázok 2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591675" y="3048000"/>
          <a:ext cx="536494" cy="268247"/>
        </a:xfrm>
        <a:prstGeom prst="rect">
          <a:avLst/>
        </a:prstGeom>
      </xdr:spPr>
    </xdr:pic>
    <xdr:clientData/>
  </xdr:twoCellAnchor>
</xdr:wsDr>
</file>

<file path=xl/drawings/drawing13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123825</xdr:colOff>
      <xdr:row>17</xdr:row>
      <xdr:rowOff>142874</xdr:rowOff>
    </xdr:from>
    <xdr:to>
      <xdr:col>6</xdr:col>
      <xdr:colOff>565200</xdr:colOff>
      <xdr:row>34</xdr:row>
      <xdr:rowOff>144374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13</xdr:col>
      <xdr:colOff>0</xdr:colOff>
      <xdr:row>16</xdr:row>
      <xdr:rowOff>0</xdr:rowOff>
    </xdr:from>
    <xdr:to>
      <xdr:col>13</xdr:col>
      <xdr:colOff>536494</xdr:colOff>
      <xdr:row>17</xdr:row>
      <xdr:rowOff>77747</xdr:rowOff>
    </xdr:to>
    <xdr:pic>
      <xdr:nvPicPr>
        <xdr:cNvPr id="3" name="Obrázok 2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591675" y="3048000"/>
          <a:ext cx="536494" cy="268247"/>
        </a:xfrm>
        <a:prstGeom prst="rect">
          <a:avLst/>
        </a:prstGeom>
      </xdr:spPr>
    </xdr:pic>
    <xdr:clientData/>
  </xdr:twoCellAnchor>
</xdr:wsDr>
</file>

<file path=xl/drawings/drawing136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571500</xdr:colOff>
      <xdr:row>1</xdr:row>
      <xdr:rowOff>23812</xdr:rowOff>
    </xdr:from>
    <xdr:to>
      <xdr:col>23</xdr:col>
      <xdr:colOff>266700</xdr:colOff>
      <xdr:row>17</xdr:row>
      <xdr:rowOff>100012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25</xdr:col>
      <xdr:colOff>0</xdr:colOff>
      <xdr:row>1</xdr:row>
      <xdr:rowOff>0</xdr:rowOff>
    </xdr:from>
    <xdr:to>
      <xdr:col>25</xdr:col>
      <xdr:colOff>536494</xdr:colOff>
      <xdr:row>2</xdr:row>
      <xdr:rowOff>77747</xdr:rowOff>
    </xdr:to>
    <xdr:pic>
      <xdr:nvPicPr>
        <xdr:cNvPr id="3" name="Obrázok 2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8316575" y="190500"/>
          <a:ext cx="536494" cy="268247"/>
        </a:xfrm>
        <a:prstGeom prst="rect">
          <a:avLst/>
        </a:prstGeom>
      </xdr:spPr>
    </xdr:pic>
    <xdr:clientData/>
  </xdr:twoCellAnchor>
</xdr:wsDr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0.49444</cdr:x>
      <cdr:y>0.03506</cdr:y>
    </cdr:from>
    <cdr:to>
      <cdr:x>0.97083</cdr:x>
      <cdr:y>0.92835</cdr:y>
    </cdr:to>
    <cdr:grpSp>
      <cdr:nvGrpSpPr>
        <cdr:cNvPr id="12" name="Skupina 11"/>
        <cdr:cNvGrpSpPr/>
      </cdr:nvGrpSpPr>
      <cdr:grpSpPr>
        <a:xfrm xmlns:a="http://schemas.openxmlformats.org/drawingml/2006/main">
          <a:off x="2260580" y="109534"/>
          <a:ext cx="2178055" cy="2790817"/>
          <a:chOff x="2260600" y="109538"/>
          <a:chExt cx="2178050" cy="2790825"/>
        </a:xfrm>
      </cdr:grpSpPr>
      <cdr:cxnSp macro="">
        <cdr:nvCxnSpPr>
          <cdr:cNvPr id="4" name="Rovná spojnica 3"/>
          <cdr:cNvCxnSpPr/>
        </cdr:nvCxnSpPr>
        <cdr:spPr>
          <a:xfrm xmlns:a="http://schemas.openxmlformats.org/drawingml/2006/main" flipH="1" flipV="1">
            <a:off x="3286125" y="109538"/>
            <a:ext cx="0" cy="2790825"/>
          </a:xfrm>
          <a:prstGeom xmlns:a="http://schemas.openxmlformats.org/drawingml/2006/main" prst="line">
            <a:avLst/>
          </a:prstGeom>
          <a:ln xmlns:a="http://schemas.openxmlformats.org/drawingml/2006/main" w="25400">
            <a:solidFill>
              <a:srgbClr val="58595B"/>
            </a:solidFill>
            <a:prstDash val="dash"/>
          </a:ln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</cdr:cxnSp>
      <cdr:cxnSp macro="">
        <cdr:nvCxnSpPr>
          <cdr:cNvPr id="7" name="Rovná spojovacia šípka 6"/>
          <cdr:cNvCxnSpPr/>
        </cdr:nvCxnSpPr>
        <cdr:spPr>
          <a:xfrm xmlns:a="http://schemas.openxmlformats.org/drawingml/2006/main" flipV="1">
            <a:off x="3352800" y="214313"/>
            <a:ext cx="933450" cy="0"/>
          </a:xfrm>
          <a:prstGeom xmlns:a="http://schemas.openxmlformats.org/drawingml/2006/main" prst="straightConnector1">
            <a:avLst/>
          </a:prstGeom>
          <a:ln xmlns:a="http://schemas.openxmlformats.org/drawingml/2006/main">
            <a:solidFill>
              <a:srgbClr val="DCB47B"/>
            </a:solidFill>
            <a:tailEnd type="triangle"/>
          </a:ln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</cdr:cxnSp>
      <cdr:cxnSp macro="">
        <cdr:nvCxnSpPr>
          <cdr:cNvPr id="8" name="Rovná spojovacia šípka 7"/>
          <cdr:cNvCxnSpPr/>
        </cdr:nvCxnSpPr>
        <cdr:spPr>
          <a:xfrm xmlns:a="http://schemas.openxmlformats.org/drawingml/2006/main" flipH="1" flipV="1">
            <a:off x="2305050" y="204788"/>
            <a:ext cx="936000" cy="0"/>
          </a:xfrm>
          <a:prstGeom xmlns:a="http://schemas.openxmlformats.org/drawingml/2006/main" prst="straightConnector1">
            <a:avLst/>
          </a:prstGeom>
          <a:ln xmlns:a="http://schemas.openxmlformats.org/drawingml/2006/main">
            <a:solidFill>
              <a:srgbClr val="DCB47B"/>
            </a:solidFill>
            <a:tailEnd type="triangle"/>
          </a:ln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</cdr:cxnSp>
      <cdr:sp macro="" textlink="">
        <cdr:nvSpPr>
          <cdr:cNvPr id="10" name="BlokTextu 9"/>
          <cdr:cNvSpPr txBox="1"/>
        </cdr:nvSpPr>
        <cdr:spPr>
          <a:xfrm xmlns:a="http://schemas.openxmlformats.org/drawingml/2006/main">
            <a:off x="3333750" y="271463"/>
            <a:ext cx="1104900" cy="285750"/>
          </a:xfrm>
          <a:prstGeom xmlns:a="http://schemas.openxmlformats.org/drawingml/2006/main" prst="rect">
            <a:avLst/>
          </a:prstGeom>
          <a:noFill xmlns:a="http://schemas.openxmlformats.org/drawingml/2006/main"/>
        </cdr:spPr>
        <cdr:txBody>
          <a:bodyPr xmlns:a="http://schemas.openxmlformats.org/drawingml/2006/main" vertOverflow="clip" wrap="square" rtlCol="0"/>
          <a:lstStyle xmlns:a="http://schemas.openxmlformats.org/drawingml/2006/main"/>
          <a:p xmlns:a="http://schemas.openxmlformats.org/drawingml/2006/main">
            <a:r>
              <a:rPr lang="sk-SK" sz="900" b="1">
                <a:solidFill>
                  <a:srgbClr val="DCB47B"/>
                </a:solidFill>
                <a:latin typeface="Constantia" panose="02030602050306030303" pitchFamily="18" charset="0"/>
              </a:rPr>
              <a:t>návrh rozpočtu</a:t>
            </a:r>
          </a:p>
        </cdr:txBody>
      </cdr:sp>
      <cdr:sp macro="" textlink="">
        <cdr:nvSpPr>
          <cdr:cNvPr id="11" name="BlokTextu 1"/>
          <cdr:cNvSpPr txBox="1"/>
        </cdr:nvSpPr>
        <cdr:spPr>
          <a:xfrm xmlns:a="http://schemas.openxmlformats.org/drawingml/2006/main">
            <a:off x="2260600" y="279400"/>
            <a:ext cx="1104900" cy="285750"/>
          </a:xfrm>
          <a:prstGeom xmlns:a="http://schemas.openxmlformats.org/drawingml/2006/main" prst="rect">
            <a:avLst/>
          </a:prstGeom>
          <a:noFill xmlns:a="http://schemas.openxmlformats.org/drawingml/2006/main"/>
        </cdr:spPr>
        <cdr:txBody>
          <a:bodyPr xmlns:a="http://schemas.openxmlformats.org/drawingml/2006/main" wrap="square" rtlCol="0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r>
              <a:rPr lang="sk-SK" sz="900" b="1">
                <a:solidFill>
                  <a:srgbClr val="DCB47B"/>
                </a:solidFill>
                <a:latin typeface="Constantia" panose="02030602050306030303" pitchFamily="18" charset="0"/>
              </a:rPr>
              <a:t>skutočnosť</a:t>
            </a:r>
          </a:p>
        </cdr:txBody>
      </cdr:sp>
    </cdr:grpSp>
  </cdr:relSizeAnchor>
</c:userShapes>
</file>

<file path=xl/drawings/drawing13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62397</xdr:colOff>
      <xdr:row>9</xdr:row>
      <xdr:rowOff>75944</xdr:rowOff>
    </xdr:from>
    <xdr:to>
      <xdr:col>9</xdr:col>
      <xdr:colOff>267597</xdr:colOff>
      <xdr:row>27</xdr:row>
      <xdr:rowOff>36208</xdr:rowOff>
    </xdr:to>
    <xdr:graphicFrame macro="">
      <xdr:nvGraphicFramePr>
        <xdr:cNvPr id="3" name="Graf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11</xdr:col>
      <xdr:colOff>0</xdr:colOff>
      <xdr:row>10</xdr:row>
      <xdr:rowOff>0</xdr:rowOff>
    </xdr:from>
    <xdr:to>
      <xdr:col>12</xdr:col>
      <xdr:colOff>22144</xdr:colOff>
      <xdr:row>11</xdr:row>
      <xdr:rowOff>115847</xdr:rowOff>
    </xdr:to>
    <xdr:pic>
      <xdr:nvPicPr>
        <xdr:cNvPr id="4" name="Obrázok 3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410700" y="1524000"/>
          <a:ext cx="536494" cy="268247"/>
        </a:xfrm>
        <a:prstGeom prst="rect">
          <a:avLst/>
        </a:prstGeom>
      </xdr:spPr>
    </xdr:pic>
    <xdr:clientData/>
  </xdr:twoCellAnchor>
</xdr:wsDr>
</file>

<file path=xl/drawings/drawing1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52916</xdr:colOff>
      <xdr:row>12</xdr:row>
      <xdr:rowOff>10584</xdr:rowOff>
    </xdr:from>
    <xdr:to>
      <xdr:col>4</xdr:col>
      <xdr:colOff>562916</xdr:colOff>
      <xdr:row>30</xdr:row>
      <xdr:rowOff>33000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536494</xdr:colOff>
      <xdr:row>16</xdr:row>
      <xdr:rowOff>115847</xdr:rowOff>
    </xdr:to>
    <xdr:pic>
      <xdr:nvPicPr>
        <xdr:cNvPr id="3" name="Obrázok 2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334125" y="2305050"/>
          <a:ext cx="536494" cy="268247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0</xdr:colOff>
      <xdr:row>1</xdr:row>
      <xdr:rowOff>0</xdr:rowOff>
    </xdr:from>
    <xdr:to>
      <xdr:col>11</xdr:col>
      <xdr:colOff>536494</xdr:colOff>
      <xdr:row>2</xdr:row>
      <xdr:rowOff>87272</xdr:rowOff>
    </xdr:to>
    <xdr:pic>
      <xdr:nvPicPr>
        <xdr:cNvPr id="2" name="Obrázok 1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800850" y="219075"/>
          <a:ext cx="536494" cy="268247"/>
        </a:xfrm>
        <a:prstGeom prst="rect">
          <a:avLst/>
        </a:prstGeom>
      </xdr:spPr>
    </xdr:pic>
    <xdr:clientData/>
  </xdr:twoCellAnchor>
</xdr:wsDr>
</file>

<file path=xl/drawings/drawing1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628650</xdr:colOff>
      <xdr:row>21</xdr:row>
      <xdr:rowOff>114300</xdr:rowOff>
    </xdr:from>
    <xdr:to>
      <xdr:col>8</xdr:col>
      <xdr:colOff>190500</xdr:colOff>
      <xdr:row>41</xdr:row>
      <xdr:rowOff>47625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650" y="4419600"/>
          <a:ext cx="5114925" cy="3743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9</xdr:col>
      <xdr:colOff>38100</xdr:colOff>
      <xdr:row>21</xdr:row>
      <xdr:rowOff>180975</xdr:rowOff>
    </xdr:from>
    <xdr:ext cx="5114925" cy="3743325"/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00775" y="4486275"/>
          <a:ext cx="5114925" cy="3743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17</xdr:col>
      <xdr:colOff>0</xdr:colOff>
      <xdr:row>21</xdr:row>
      <xdr:rowOff>0</xdr:rowOff>
    </xdr:from>
    <xdr:to>
      <xdr:col>17</xdr:col>
      <xdr:colOff>536494</xdr:colOff>
      <xdr:row>22</xdr:row>
      <xdr:rowOff>77747</xdr:rowOff>
    </xdr:to>
    <xdr:pic>
      <xdr:nvPicPr>
        <xdr:cNvPr id="4" name="Obrázok 3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2506325" y="4305300"/>
          <a:ext cx="536494" cy="268247"/>
        </a:xfrm>
        <a:prstGeom prst="rect">
          <a:avLst/>
        </a:prstGeom>
      </xdr:spPr>
    </xdr:pic>
    <xdr:clientData/>
  </xdr:twoCellAnchor>
</xdr:wsDr>
</file>

<file path=xl/drawings/drawing14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17</xdr:row>
      <xdr:rowOff>95250</xdr:rowOff>
    </xdr:from>
    <xdr:to>
      <xdr:col>3</xdr:col>
      <xdr:colOff>1323975</xdr:colOff>
      <xdr:row>37</xdr:row>
      <xdr:rowOff>28575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333750"/>
          <a:ext cx="5114925" cy="3743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5</xdr:col>
      <xdr:colOff>333375</xdr:colOff>
      <xdr:row>17</xdr:row>
      <xdr:rowOff>123825</xdr:rowOff>
    </xdr:from>
    <xdr:ext cx="5114925" cy="3743325"/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24675" y="3362325"/>
          <a:ext cx="5114925" cy="3743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11</xdr:col>
      <xdr:colOff>0</xdr:colOff>
      <xdr:row>18</xdr:row>
      <xdr:rowOff>0</xdr:rowOff>
    </xdr:from>
    <xdr:to>
      <xdr:col>11</xdr:col>
      <xdr:colOff>536494</xdr:colOff>
      <xdr:row>19</xdr:row>
      <xdr:rowOff>77747</xdr:rowOff>
    </xdr:to>
    <xdr:pic>
      <xdr:nvPicPr>
        <xdr:cNvPr id="4" name="Obrázok 3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3792200" y="3429000"/>
          <a:ext cx="536494" cy="268247"/>
        </a:xfrm>
        <a:prstGeom prst="rect">
          <a:avLst/>
        </a:prstGeom>
      </xdr:spPr>
    </xdr:pic>
    <xdr:clientData/>
  </xdr:twoCellAnchor>
</xdr:wsDr>
</file>

<file path=xl/drawings/drawing1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161925</xdr:colOff>
      <xdr:row>16</xdr:row>
      <xdr:rowOff>114300</xdr:rowOff>
    </xdr:from>
    <xdr:to>
      <xdr:col>4</xdr:col>
      <xdr:colOff>723900</xdr:colOff>
      <xdr:row>36</xdr:row>
      <xdr:rowOff>47625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1525" y="3162300"/>
          <a:ext cx="5114925" cy="3743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6</xdr:col>
      <xdr:colOff>114300</xdr:colOff>
      <xdr:row>16</xdr:row>
      <xdr:rowOff>152400</xdr:rowOff>
    </xdr:from>
    <xdr:ext cx="5114925" cy="3743325"/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53350" y="3200400"/>
          <a:ext cx="5114925" cy="3743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12</xdr:col>
      <xdr:colOff>0</xdr:colOff>
      <xdr:row>16</xdr:row>
      <xdr:rowOff>0</xdr:rowOff>
    </xdr:from>
    <xdr:to>
      <xdr:col>12</xdr:col>
      <xdr:colOff>536494</xdr:colOff>
      <xdr:row>17</xdr:row>
      <xdr:rowOff>77747</xdr:rowOff>
    </xdr:to>
    <xdr:pic>
      <xdr:nvPicPr>
        <xdr:cNvPr id="4" name="Obrázok 3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5278100" y="3048000"/>
          <a:ext cx="536494" cy="268247"/>
        </a:xfrm>
        <a:prstGeom prst="rect">
          <a:avLst/>
        </a:prstGeom>
      </xdr:spPr>
    </xdr:pic>
    <xdr:clientData/>
  </xdr:twoCellAnchor>
</xdr:wsDr>
</file>

<file path=xl/drawings/drawing14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581025</xdr:colOff>
      <xdr:row>1</xdr:row>
      <xdr:rowOff>180975</xdr:rowOff>
    </xdr:from>
    <xdr:to>
      <xdr:col>16</xdr:col>
      <xdr:colOff>215659</xdr:colOff>
      <xdr:row>20</xdr:row>
      <xdr:rowOff>97197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18</xdr:col>
      <xdr:colOff>0</xdr:colOff>
      <xdr:row>2</xdr:row>
      <xdr:rowOff>0</xdr:rowOff>
    </xdr:from>
    <xdr:to>
      <xdr:col>18</xdr:col>
      <xdr:colOff>536494</xdr:colOff>
      <xdr:row>3</xdr:row>
      <xdr:rowOff>106322</xdr:rowOff>
    </xdr:to>
    <xdr:pic>
      <xdr:nvPicPr>
        <xdr:cNvPr id="3" name="Obrázok 2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326225" y="161925"/>
          <a:ext cx="536494" cy="268247"/>
        </a:xfrm>
        <a:prstGeom prst="rect">
          <a:avLst/>
        </a:prstGeom>
      </xdr:spPr>
    </xdr:pic>
    <xdr:clientData/>
  </xdr:twoCellAnchor>
</xdr:wsDr>
</file>

<file path=xl/drawings/drawing144.xml><?xml version="1.0" encoding="utf-8"?>
<xdr:wsDr xmlns:xdr="http://schemas.openxmlformats.org/drawingml/2006/spreadsheetDrawing" xmlns:a="http://schemas.openxmlformats.org/drawingml/2006/main">
  <xdr:twoCellAnchor editAs="oneCell">
    <xdr:from>
      <xdr:col>28</xdr:col>
      <xdr:colOff>0</xdr:colOff>
      <xdr:row>1</xdr:row>
      <xdr:rowOff>0</xdr:rowOff>
    </xdr:from>
    <xdr:to>
      <xdr:col>28</xdr:col>
      <xdr:colOff>536494</xdr:colOff>
      <xdr:row>2</xdr:row>
      <xdr:rowOff>106322</xdr:rowOff>
    </xdr:to>
    <xdr:pic>
      <xdr:nvPicPr>
        <xdr:cNvPr id="3" name="Obrázok 2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326225" y="161925"/>
          <a:ext cx="536494" cy="268247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1</xdr:row>
      <xdr:rowOff>0</xdr:rowOff>
    </xdr:from>
    <xdr:to>
      <xdr:col>6</xdr:col>
      <xdr:colOff>536494</xdr:colOff>
      <xdr:row>1</xdr:row>
      <xdr:rowOff>268247</xdr:rowOff>
    </xdr:to>
    <xdr:pic>
      <xdr:nvPicPr>
        <xdr:cNvPr id="2" name="Obrázok 1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800850" y="219075"/>
          <a:ext cx="536494" cy="268247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1</xdr:row>
      <xdr:rowOff>0</xdr:rowOff>
    </xdr:from>
    <xdr:to>
      <xdr:col>9</xdr:col>
      <xdr:colOff>536494</xdr:colOff>
      <xdr:row>1</xdr:row>
      <xdr:rowOff>268247</xdr:rowOff>
    </xdr:to>
    <xdr:pic>
      <xdr:nvPicPr>
        <xdr:cNvPr id="2" name="Obrázok 1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800850" y="219075"/>
          <a:ext cx="536494" cy="268247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1</xdr:row>
      <xdr:rowOff>0</xdr:rowOff>
    </xdr:from>
    <xdr:to>
      <xdr:col>9</xdr:col>
      <xdr:colOff>536494</xdr:colOff>
      <xdr:row>1</xdr:row>
      <xdr:rowOff>268247</xdr:rowOff>
    </xdr:to>
    <xdr:pic>
      <xdr:nvPicPr>
        <xdr:cNvPr id="2" name="Obrázok 1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800850" y="219075"/>
          <a:ext cx="536494" cy="268247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1</xdr:row>
      <xdr:rowOff>0</xdr:rowOff>
    </xdr:from>
    <xdr:to>
      <xdr:col>8</xdr:col>
      <xdr:colOff>536494</xdr:colOff>
      <xdr:row>1</xdr:row>
      <xdr:rowOff>268247</xdr:rowOff>
    </xdr:to>
    <xdr:pic>
      <xdr:nvPicPr>
        <xdr:cNvPr id="2" name="Obrázok 1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915150" y="219075"/>
          <a:ext cx="536494" cy="268247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1</xdr:row>
      <xdr:rowOff>0</xdr:rowOff>
    </xdr:from>
    <xdr:to>
      <xdr:col>6</xdr:col>
      <xdr:colOff>536494</xdr:colOff>
      <xdr:row>2</xdr:row>
      <xdr:rowOff>77747</xdr:rowOff>
    </xdr:to>
    <xdr:pic>
      <xdr:nvPicPr>
        <xdr:cNvPr id="2" name="Obrázok 1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934200" y="190500"/>
          <a:ext cx="536494" cy="26824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1</xdr:row>
      <xdr:rowOff>0</xdr:rowOff>
    </xdr:from>
    <xdr:to>
      <xdr:col>9</xdr:col>
      <xdr:colOff>536494</xdr:colOff>
      <xdr:row>2</xdr:row>
      <xdr:rowOff>106322</xdr:rowOff>
    </xdr:to>
    <xdr:pic>
      <xdr:nvPicPr>
        <xdr:cNvPr id="5" name="Obrázok 4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981825" y="161925"/>
          <a:ext cx="536494" cy="268247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0</xdr:colOff>
      <xdr:row>1</xdr:row>
      <xdr:rowOff>0</xdr:rowOff>
    </xdr:from>
    <xdr:to>
      <xdr:col>11</xdr:col>
      <xdr:colOff>536494</xdr:colOff>
      <xdr:row>2</xdr:row>
      <xdr:rowOff>77747</xdr:rowOff>
    </xdr:to>
    <xdr:pic>
      <xdr:nvPicPr>
        <xdr:cNvPr id="2" name="Obrázok 1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419975" y="190500"/>
          <a:ext cx="536494" cy="268247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0</xdr:colOff>
      <xdr:row>1</xdr:row>
      <xdr:rowOff>0</xdr:rowOff>
    </xdr:from>
    <xdr:to>
      <xdr:col>16</xdr:col>
      <xdr:colOff>536494</xdr:colOff>
      <xdr:row>1</xdr:row>
      <xdr:rowOff>268247</xdr:rowOff>
    </xdr:to>
    <xdr:pic>
      <xdr:nvPicPr>
        <xdr:cNvPr id="2" name="Obrázok 1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419975" y="190500"/>
          <a:ext cx="536494" cy="268247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1</xdr:row>
      <xdr:rowOff>0</xdr:rowOff>
    </xdr:from>
    <xdr:to>
      <xdr:col>7</xdr:col>
      <xdr:colOff>536494</xdr:colOff>
      <xdr:row>2</xdr:row>
      <xdr:rowOff>77747</xdr:rowOff>
    </xdr:to>
    <xdr:pic>
      <xdr:nvPicPr>
        <xdr:cNvPr id="2" name="Obrázok 1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419975" y="190500"/>
          <a:ext cx="536494" cy="268247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0</xdr:colOff>
      <xdr:row>1</xdr:row>
      <xdr:rowOff>0</xdr:rowOff>
    </xdr:from>
    <xdr:to>
      <xdr:col>10</xdr:col>
      <xdr:colOff>536494</xdr:colOff>
      <xdr:row>2</xdr:row>
      <xdr:rowOff>77747</xdr:rowOff>
    </xdr:to>
    <xdr:pic>
      <xdr:nvPicPr>
        <xdr:cNvPr id="2" name="Obrázok 1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419975" y="190500"/>
          <a:ext cx="536494" cy="268247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0</xdr:colOff>
      <xdr:row>1</xdr:row>
      <xdr:rowOff>0</xdr:rowOff>
    </xdr:from>
    <xdr:to>
      <xdr:col>10</xdr:col>
      <xdr:colOff>536494</xdr:colOff>
      <xdr:row>2</xdr:row>
      <xdr:rowOff>77747</xdr:rowOff>
    </xdr:to>
    <xdr:pic>
      <xdr:nvPicPr>
        <xdr:cNvPr id="2" name="Obrázok 1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419975" y="190500"/>
          <a:ext cx="536494" cy="268247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1</xdr:row>
      <xdr:rowOff>0</xdr:rowOff>
    </xdr:from>
    <xdr:to>
      <xdr:col>7</xdr:col>
      <xdr:colOff>536494</xdr:colOff>
      <xdr:row>2</xdr:row>
      <xdr:rowOff>77747</xdr:rowOff>
    </xdr:to>
    <xdr:pic>
      <xdr:nvPicPr>
        <xdr:cNvPr id="2" name="Obrázok 1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419975" y="190500"/>
          <a:ext cx="536494" cy="268247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1</xdr:row>
      <xdr:rowOff>0</xdr:rowOff>
    </xdr:from>
    <xdr:to>
      <xdr:col>7</xdr:col>
      <xdr:colOff>536494</xdr:colOff>
      <xdr:row>2</xdr:row>
      <xdr:rowOff>106322</xdr:rowOff>
    </xdr:to>
    <xdr:pic>
      <xdr:nvPicPr>
        <xdr:cNvPr id="2" name="Obrázok 1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610350" y="161925"/>
          <a:ext cx="536494" cy="268247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1</xdr:row>
      <xdr:rowOff>0</xdr:rowOff>
    </xdr:from>
    <xdr:to>
      <xdr:col>7</xdr:col>
      <xdr:colOff>536494</xdr:colOff>
      <xdr:row>2</xdr:row>
      <xdr:rowOff>77747</xdr:rowOff>
    </xdr:to>
    <xdr:pic>
      <xdr:nvPicPr>
        <xdr:cNvPr id="2" name="Obrázok 1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419975" y="190500"/>
          <a:ext cx="536494" cy="268247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1</xdr:row>
      <xdr:rowOff>0</xdr:rowOff>
    </xdr:from>
    <xdr:to>
      <xdr:col>8</xdr:col>
      <xdr:colOff>536494</xdr:colOff>
      <xdr:row>2</xdr:row>
      <xdr:rowOff>77747</xdr:rowOff>
    </xdr:to>
    <xdr:pic>
      <xdr:nvPicPr>
        <xdr:cNvPr id="2" name="Obrázok 1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505825" y="190500"/>
          <a:ext cx="536494" cy="268247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66675</xdr:colOff>
      <xdr:row>1</xdr:row>
      <xdr:rowOff>0</xdr:rowOff>
    </xdr:from>
    <xdr:to>
      <xdr:col>4</xdr:col>
      <xdr:colOff>603169</xdr:colOff>
      <xdr:row>2</xdr:row>
      <xdr:rowOff>77747</xdr:rowOff>
    </xdr:to>
    <xdr:pic>
      <xdr:nvPicPr>
        <xdr:cNvPr id="2" name="Obrázok 1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515100" y="190500"/>
          <a:ext cx="536494" cy="26824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1</xdr:row>
      <xdr:rowOff>0</xdr:rowOff>
    </xdr:from>
    <xdr:to>
      <xdr:col>7</xdr:col>
      <xdr:colOff>536494</xdr:colOff>
      <xdr:row>2</xdr:row>
      <xdr:rowOff>77747</xdr:rowOff>
    </xdr:to>
    <xdr:pic>
      <xdr:nvPicPr>
        <xdr:cNvPr id="2" name="Obrázok 1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724650" y="190500"/>
          <a:ext cx="536494" cy="268247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1</xdr:row>
      <xdr:rowOff>0</xdr:rowOff>
    </xdr:from>
    <xdr:to>
      <xdr:col>9</xdr:col>
      <xdr:colOff>536494</xdr:colOff>
      <xdr:row>2</xdr:row>
      <xdr:rowOff>77747</xdr:rowOff>
    </xdr:to>
    <xdr:pic>
      <xdr:nvPicPr>
        <xdr:cNvPr id="2" name="Obrázok 1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419975" y="190500"/>
          <a:ext cx="536494" cy="268247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1</xdr:row>
      <xdr:rowOff>0</xdr:rowOff>
    </xdr:from>
    <xdr:to>
      <xdr:col>8</xdr:col>
      <xdr:colOff>536494</xdr:colOff>
      <xdr:row>2</xdr:row>
      <xdr:rowOff>77747</xdr:rowOff>
    </xdr:to>
    <xdr:pic>
      <xdr:nvPicPr>
        <xdr:cNvPr id="2" name="Obrázok 1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505825" y="190500"/>
          <a:ext cx="536494" cy="268247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</xdr:row>
      <xdr:rowOff>0</xdr:rowOff>
    </xdr:from>
    <xdr:to>
      <xdr:col>4</xdr:col>
      <xdr:colOff>536494</xdr:colOff>
      <xdr:row>2</xdr:row>
      <xdr:rowOff>77747</xdr:rowOff>
    </xdr:to>
    <xdr:pic>
      <xdr:nvPicPr>
        <xdr:cNvPr id="2" name="Obrázok 1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448425" y="190500"/>
          <a:ext cx="536494" cy="268247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1</xdr:row>
      <xdr:rowOff>0</xdr:rowOff>
    </xdr:from>
    <xdr:to>
      <xdr:col>9</xdr:col>
      <xdr:colOff>536494</xdr:colOff>
      <xdr:row>2</xdr:row>
      <xdr:rowOff>77747</xdr:rowOff>
    </xdr:to>
    <xdr:pic>
      <xdr:nvPicPr>
        <xdr:cNvPr id="2" name="Obrázok 1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515975" y="190500"/>
          <a:ext cx="536494" cy="268247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1</xdr:row>
      <xdr:rowOff>0</xdr:rowOff>
    </xdr:from>
    <xdr:to>
      <xdr:col>6</xdr:col>
      <xdr:colOff>536494</xdr:colOff>
      <xdr:row>2</xdr:row>
      <xdr:rowOff>77747</xdr:rowOff>
    </xdr:to>
    <xdr:pic>
      <xdr:nvPicPr>
        <xdr:cNvPr id="2" name="Obrázok 1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515975" y="190500"/>
          <a:ext cx="536494" cy="268247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1</xdr:row>
      <xdr:rowOff>0</xdr:rowOff>
    </xdr:from>
    <xdr:to>
      <xdr:col>8</xdr:col>
      <xdr:colOff>536494</xdr:colOff>
      <xdr:row>2</xdr:row>
      <xdr:rowOff>77747</xdr:rowOff>
    </xdr:to>
    <xdr:pic>
      <xdr:nvPicPr>
        <xdr:cNvPr id="2" name="Obrázok 1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515975" y="190500"/>
          <a:ext cx="536494" cy="268247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1</xdr:row>
      <xdr:rowOff>0</xdr:rowOff>
    </xdr:from>
    <xdr:to>
      <xdr:col>7</xdr:col>
      <xdr:colOff>536494</xdr:colOff>
      <xdr:row>2</xdr:row>
      <xdr:rowOff>77747</xdr:rowOff>
    </xdr:to>
    <xdr:pic>
      <xdr:nvPicPr>
        <xdr:cNvPr id="2" name="Obrázok 1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515975" y="190500"/>
          <a:ext cx="536494" cy="268247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0</xdr:colOff>
      <xdr:row>1</xdr:row>
      <xdr:rowOff>0</xdr:rowOff>
    </xdr:from>
    <xdr:to>
      <xdr:col>10</xdr:col>
      <xdr:colOff>536494</xdr:colOff>
      <xdr:row>2</xdr:row>
      <xdr:rowOff>77747</xdr:rowOff>
    </xdr:to>
    <xdr:pic>
      <xdr:nvPicPr>
        <xdr:cNvPr id="2" name="Obrázok 1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515975" y="190500"/>
          <a:ext cx="536494" cy="268247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1</xdr:row>
      <xdr:rowOff>0</xdr:rowOff>
    </xdr:from>
    <xdr:to>
      <xdr:col>8</xdr:col>
      <xdr:colOff>536494</xdr:colOff>
      <xdr:row>2</xdr:row>
      <xdr:rowOff>77747</xdr:rowOff>
    </xdr:to>
    <xdr:pic>
      <xdr:nvPicPr>
        <xdr:cNvPr id="2" name="Obrázok 1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515975" y="190500"/>
          <a:ext cx="536494" cy="268247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0</xdr:colOff>
      <xdr:row>1</xdr:row>
      <xdr:rowOff>0</xdr:rowOff>
    </xdr:from>
    <xdr:to>
      <xdr:col>13</xdr:col>
      <xdr:colOff>536494</xdr:colOff>
      <xdr:row>2</xdr:row>
      <xdr:rowOff>77747</xdr:rowOff>
    </xdr:to>
    <xdr:pic>
      <xdr:nvPicPr>
        <xdr:cNvPr id="2" name="Obrázok 1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515975" y="190500"/>
          <a:ext cx="536494" cy="26824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0</xdr:colOff>
      <xdr:row>1</xdr:row>
      <xdr:rowOff>0</xdr:rowOff>
    </xdr:from>
    <xdr:to>
      <xdr:col>11</xdr:col>
      <xdr:colOff>536494</xdr:colOff>
      <xdr:row>2</xdr:row>
      <xdr:rowOff>106322</xdr:rowOff>
    </xdr:to>
    <xdr:pic>
      <xdr:nvPicPr>
        <xdr:cNvPr id="2" name="Obrázok 1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800850" y="219075"/>
          <a:ext cx="536494" cy="268247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0</xdr:colOff>
      <xdr:row>1</xdr:row>
      <xdr:rowOff>0</xdr:rowOff>
    </xdr:from>
    <xdr:to>
      <xdr:col>13</xdr:col>
      <xdr:colOff>536494</xdr:colOff>
      <xdr:row>2</xdr:row>
      <xdr:rowOff>77747</xdr:rowOff>
    </xdr:to>
    <xdr:pic>
      <xdr:nvPicPr>
        <xdr:cNvPr id="2" name="Obrázok 1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515975" y="190500"/>
          <a:ext cx="536494" cy="268247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0</xdr:colOff>
      <xdr:row>1</xdr:row>
      <xdr:rowOff>0</xdr:rowOff>
    </xdr:from>
    <xdr:to>
      <xdr:col>10</xdr:col>
      <xdr:colOff>536494</xdr:colOff>
      <xdr:row>2</xdr:row>
      <xdr:rowOff>77747</xdr:rowOff>
    </xdr:to>
    <xdr:pic>
      <xdr:nvPicPr>
        <xdr:cNvPr id="2" name="Obrázok 1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515975" y="190500"/>
          <a:ext cx="536494" cy="268247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1</xdr:row>
      <xdr:rowOff>0</xdr:rowOff>
    </xdr:from>
    <xdr:to>
      <xdr:col>8</xdr:col>
      <xdr:colOff>536494</xdr:colOff>
      <xdr:row>2</xdr:row>
      <xdr:rowOff>106322</xdr:rowOff>
    </xdr:to>
    <xdr:pic>
      <xdr:nvPicPr>
        <xdr:cNvPr id="3" name="Obrázok 2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438900" y="161925"/>
          <a:ext cx="536494" cy="268247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1</xdr:row>
      <xdr:rowOff>0</xdr:rowOff>
    </xdr:from>
    <xdr:to>
      <xdr:col>6</xdr:col>
      <xdr:colOff>536494</xdr:colOff>
      <xdr:row>2</xdr:row>
      <xdr:rowOff>106322</xdr:rowOff>
    </xdr:to>
    <xdr:pic>
      <xdr:nvPicPr>
        <xdr:cNvPr id="2" name="Obrázok 1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667750" y="190500"/>
          <a:ext cx="536494" cy="268247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1</xdr:row>
      <xdr:rowOff>0</xdr:rowOff>
    </xdr:from>
    <xdr:to>
      <xdr:col>12</xdr:col>
      <xdr:colOff>536494</xdr:colOff>
      <xdr:row>2</xdr:row>
      <xdr:rowOff>77747</xdr:rowOff>
    </xdr:to>
    <xdr:pic>
      <xdr:nvPicPr>
        <xdr:cNvPr id="2" name="Obrázok 1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667750" y="190500"/>
          <a:ext cx="536494" cy="268247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0</xdr:colOff>
      <xdr:row>1</xdr:row>
      <xdr:rowOff>0</xdr:rowOff>
    </xdr:from>
    <xdr:to>
      <xdr:col>14</xdr:col>
      <xdr:colOff>536494</xdr:colOff>
      <xdr:row>2</xdr:row>
      <xdr:rowOff>115847</xdr:rowOff>
    </xdr:to>
    <xdr:pic>
      <xdr:nvPicPr>
        <xdr:cNvPr id="2" name="Obrázok 1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582775" y="190500"/>
          <a:ext cx="536494" cy="268247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1</xdr:row>
      <xdr:rowOff>0</xdr:rowOff>
    </xdr:from>
    <xdr:to>
      <xdr:col>8</xdr:col>
      <xdr:colOff>536494</xdr:colOff>
      <xdr:row>2</xdr:row>
      <xdr:rowOff>106322</xdr:rowOff>
    </xdr:to>
    <xdr:pic>
      <xdr:nvPicPr>
        <xdr:cNvPr id="2" name="Obrázok 1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429375" y="161925"/>
          <a:ext cx="536494" cy="268247"/>
        </a:xfrm>
        <a:prstGeom prst="rect">
          <a:avLst/>
        </a:prstGeom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0</xdr:colOff>
      <xdr:row>1</xdr:row>
      <xdr:rowOff>0</xdr:rowOff>
    </xdr:from>
    <xdr:to>
      <xdr:col>27</xdr:col>
      <xdr:colOff>536494</xdr:colOff>
      <xdr:row>2</xdr:row>
      <xdr:rowOff>77747</xdr:rowOff>
    </xdr:to>
    <xdr:pic>
      <xdr:nvPicPr>
        <xdr:cNvPr id="2" name="Obrázok 1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515975" y="190500"/>
          <a:ext cx="536494" cy="268247"/>
        </a:xfrm>
        <a:prstGeom prst="rect">
          <a:avLst/>
        </a:prstGeom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0</xdr:colOff>
      <xdr:row>1</xdr:row>
      <xdr:rowOff>0</xdr:rowOff>
    </xdr:from>
    <xdr:to>
      <xdr:col>27</xdr:col>
      <xdr:colOff>536494</xdr:colOff>
      <xdr:row>2</xdr:row>
      <xdr:rowOff>77747</xdr:rowOff>
    </xdr:to>
    <xdr:pic>
      <xdr:nvPicPr>
        <xdr:cNvPr id="2" name="Obrázok 1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515975" y="190500"/>
          <a:ext cx="536494" cy="268247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57150</xdr:colOff>
      <xdr:row>1</xdr:row>
      <xdr:rowOff>85725</xdr:rowOff>
    </xdr:from>
    <xdr:to>
      <xdr:col>12</xdr:col>
      <xdr:colOff>495300</xdr:colOff>
      <xdr:row>14</xdr:row>
      <xdr:rowOff>104775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16</xdr:col>
      <xdr:colOff>0</xdr:colOff>
      <xdr:row>1</xdr:row>
      <xdr:rowOff>0</xdr:rowOff>
    </xdr:from>
    <xdr:to>
      <xdr:col>16</xdr:col>
      <xdr:colOff>536494</xdr:colOff>
      <xdr:row>2</xdr:row>
      <xdr:rowOff>106322</xdr:rowOff>
    </xdr:to>
    <xdr:pic>
      <xdr:nvPicPr>
        <xdr:cNvPr id="3" name="Obrázok 2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515975" y="190500"/>
          <a:ext cx="536494" cy="26824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1</xdr:row>
      <xdr:rowOff>0</xdr:rowOff>
    </xdr:from>
    <xdr:to>
      <xdr:col>8</xdr:col>
      <xdr:colOff>536494</xdr:colOff>
      <xdr:row>2</xdr:row>
      <xdr:rowOff>106322</xdr:rowOff>
    </xdr:to>
    <xdr:pic>
      <xdr:nvPicPr>
        <xdr:cNvPr id="2" name="Obrázok 1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800850" y="219075"/>
          <a:ext cx="536494" cy="268247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561975</xdr:colOff>
      <xdr:row>1</xdr:row>
      <xdr:rowOff>114300</xdr:rowOff>
    </xdr:from>
    <xdr:to>
      <xdr:col>15</xdr:col>
      <xdr:colOff>257175</xdr:colOff>
      <xdr:row>16</xdr:row>
      <xdr:rowOff>0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0</xdr:colOff>
      <xdr:row>1</xdr:row>
      <xdr:rowOff>0</xdr:rowOff>
    </xdr:from>
    <xdr:to>
      <xdr:col>17</xdr:col>
      <xdr:colOff>536494</xdr:colOff>
      <xdr:row>2</xdr:row>
      <xdr:rowOff>77747</xdr:rowOff>
    </xdr:to>
    <xdr:pic>
      <xdr:nvPicPr>
        <xdr:cNvPr id="3" name="Obrázok 2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973050" y="190500"/>
          <a:ext cx="536494" cy="268247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9524</xdr:colOff>
      <xdr:row>1</xdr:row>
      <xdr:rowOff>123825</xdr:rowOff>
    </xdr:from>
    <xdr:to>
      <xdr:col>12</xdr:col>
      <xdr:colOff>457199</xdr:colOff>
      <xdr:row>15</xdr:row>
      <xdr:rowOff>142875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14</xdr:col>
      <xdr:colOff>600075</xdr:colOff>
      <xdr:row>1</xdr:row>
      <xdr:rowOff>19050</xdr:rowOff>
    </xdr:from>
    <xdr:to>
      <xdr:col>15</xdr:col>
      <xdr:colOff>526969</xdr:colOff>
      <xdr:row>2</xdr:row>
      <xdr:rowOff>125372</xdr:rowOff>
    </xdr:to>
    <xdr:pic>
      <xdr:nvPicPr>
        <xdr:cNvPr id="3" name="Obrázok 2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525375" y="180975"/>
          <a:ext cx="536494" cy="268247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1</xdr:row>
      <xdr:rowOff>95250</xdr:rowOff>
    </xdr:from>
    <xdr:to>
      <xdr:col>13</xdr:col>
      <xdr:colOff>361950</xdr:colOff>
      <xdr:row>16</xdr:row>
      <xdr:rowOff>104775</xdr:rowOff>
    </xdr:to>
    <xdr:graphicFrame macro="">
      <xdr:nvGraphicFramePr>
        <xdr:cNvPr id="3" name="Graf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16</xdr:col>
      <xdr:colOff>0</xdr:colOff>
      <xdr:row>1</xdr:row>
      <xdr:rowOff>0</xdr:rowOff>
    </xdr:from>
    <xdr:to>
      <xdr:col>16</xdr:col>
      <xdr:colOff>536494</xdr:colOff>
      <xdr:row>2</xdr:row>
      <xdr:rowOff>106322</xdr:rowOff>
    </xdr:to>
    <xdr:pic>
      <xdr:nvPicPr>
        <xdr:cNvPr id="4" name="Obrázok 3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144500" y="161925"/>
          <a:ext cx="536494" cy="268247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476250</xdr:colOff>
      <xdr:row>1</xdr:row>
      <xdr:rowOff>47625</xdr:rowOff>
    </xdr:from>
    <xdr:to>
      <xdr:col>13</xdr:col>
      <xdr:colOff>9525</xdr:colOff>
      <xdr:row>15</xdr:row>
      <xdr:rowOff>66675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15</xdr:col>
      <xdr:colOff>0</xdr:colOff>
      <xdr:row>2</xdr:row>
      <xdr:rowOff>0</xdr:rowOff>
    </xdr:from>
    <xdr:to>
      <xdr:col>15</xdr:col>
      <xdr:colOff>536494</xdr:colOff>
      <xdr:row>3</xdr:row>
      <xdr:rowOff>106322</xdr:rowOff>
    </xdr:to>
    <xdr:pic>
      <xdr:nvPicPr>
        <xdr:cNvPr id="3" name="Obrázok 2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601450" y="323850"/>
          <a:ext cx="536494" cy="268247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19050</xdr:colOff>
      <xdr:row>1</xdr:row>
      <xdr:rowOff>133349</xdr:rowOff>
    </xdr:from>
    <xdr:to>
      <xdr:col>13</xdr:col>
      <xdr:colOff>428625</xdr:colOff>
      <xdr:row>14</xdr:row>
      <xdr:rowOff>9524</xdr:rowOff>
    </xdr:to>
    <xdr:graphicFrame macro="">
      <xdr:nvGraphicFramePr>
        <xdr:cNvPr id="3" name="Graf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15</xdr:col>
      <xdr:colOff>0</xdr:colOff>
      <xdr:row>2</xdr:row>
      <xdr:rowOff>0</xdr:rowOff>
    </xdr:from>
    <xdr:to>
      <xdr:col>15</xdr:col>
      <xdr:colOff>536494</xdr:colOff>
      <xdr:row>3</xdr:row>
      <xdr:rowOff>106322</xdr:rowOff>
    </xdr:to>
    <xdr:pic>
      <xdr:nvPicPr>
        <xdr:cNvPr id="4" name="Obrázok 3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439525" y="323850"/>
          <a:ext cx="536494" cy="268247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266696</xdr:colOff>
      <xdr:row>3</xdr:row>
      <xdr:rowOff>57150</xdr:rowOff>
    </xdr:from>
    <xdr:to>
      <xdr:col>26</xdr:col>
      <xdr:colOff>161923</xdr:colOff>
      <xdr:row>19</xdr:row>
      <xdr:rowOff>95367</xdr:rowOff>
    </xdr:to>
    <xdr:grpSp>
      <xdr:nvGrpSpPr>
        <xdr:cNvPr id="28" name="Skupina 27"/>
        <xdr:cNvGrpSpPr/>
      </xdr:nvGrpSpPr>
      <xdr:grpSpPr>
        <a:xfrm>
          <a:off x="7877171" y="628650"/>
          <a:ext cx="9648827" cy="3086217"/>
          <a:chOff x="24809557" y="3505141"/>
          <a:chExt cx="10178438" cy="3114734"/>
        </a:xfrm>
      </xdr:grpSpPr>
      <xdr:graphicFrame macro="">
        <xdr:nvGraphicFramePr>
          <xdr:cNvPr id="24" name="Graf 23"/>
          <xdr:cNvGraphicFramePr/>
        </xdr:nvGraphicFramePr>
        <xdr:xfrm>
          <a:off x="24809557" y="3505141"/>
          <a:ext cx="4591852" cy="3057116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graphicFrame macro="">
        <xdr:nvGraphicFramePr>
          <xdr:cNvPr id="26" name="Graf 25"/>
          <xdr:cNvGraphicFramePr>
            <a:graphicFrameLocks/>
          </xdr:cNvGraphicFramePr>
        </xdr:nvGraphicFramePr>
        <xdr:xfrm>
          <a:off x="29180358" y="3514492"/>
          <a:ext cx="3087593" cy="3048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graphicFrame macro="">
        <xdr:nvGraphicFramePr>
          <xdr:cNvPr id="27" name="Graf 26"/>
          <xdr:cNvGraphicFramePr>
            <a:graphicFrameLocks/>
          </xdr:cNvGraphicFramePr>
        </xdr:nvGraphicFramePr>
        <xdr:xfrm>
          <a:off x="32006815" y="3514725"/>
          <a:ext cx="2981180" cy="310515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"/>
          </a:graphicData>
        </a:graphic>
      </xdr:graphicFrame>
    </xdr:grpSp>
    <xdr:clientData/>
  </xdr:twoCellAnchor>
  <xdr:twoCellAnchor>
    <xdr:from>
      <xdr:col>16</xdr:col>
      <xdr:colOff>200026</xdr:colOff>
      <xdr:row>4</xdr:row>
      <xdr:rowOff>152400</xdr:rowOff>
    </xdr:from>
    <xdr:to>
      <xdr:col>17</xdr:col>
      <xdr:colOff>142876</xdr:colOff>
      <xdr:row>6</xdr:row>
      <xdr:rowOff>76200</xdr:rowOff>
    </xdr:to>
    <xdr:sp macro="" textlink="">
      <xdr:nvSpPr>
        <xdr:cNvPr id="2" name="Obdĺžnik 1"/>
        <xdr:cNvSpPr/>
      </xdr:nvSpPr>
      <xdr:spPr>
        <a:xfrm>
          <a:off x="11468101" y="914400"/>
          <a:ext cx="552450" cy="304800"/>
        </a:xfrm>
        <a:prstGeom prst="rect">
          <a:avLst/>
        </a:prstGeom>
        <a:noFill/>
        <a:ln w="19050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sk-SK" sz="1000" b="1">
              <a:solidFill>
                <a:sysClr val="windowText" lastClr="000000"/>
              </a:solidFill>
              <a:latin typeface="Constantia" panose="02030602050306030303" pitchFamily="18" charset="0"/>
            </a:rPr>
            <a:t>-1,00</a:t>
          </a:r>
        </a:p>
      </xdr:txBody>
    </xdr:sp>
    <xdr:clientData/>
  </xdr:twoCellAnchor>
  <xdr:twoCellAnchor editAs="oneCell">
    <xdr:from>
      <xdr:col>32</xdr:col>
      <xdr:colOff>0</xdr:colOff>
      <xdr:row>1</xdr:row>
      <xdr:rowOff>0</xdr:rowOff>
    </xdr:from>
    <xdr:to>
      <xdr:col>32</xdr:col>
      <xdr:colOff>536494</xdr:colOff>
      <xdr:row>2</xdr:row>
      <xdr:rowOff>77747</xdr:rowOff>
    </xdr:to>
    <xdr:pic>
      <xdr:nvPicPr>
        <xdr:cNvPr id="7" name="Obrázok 6">
          <a:hlinkClick xmlns:r="http://schemas.openxmlformats.org/officeDocument/2006/relationships" r:id="rId4"/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1021675" y="190500"/>
          <a:ext cx="536494" cy="268247"/>
        </a:xfrm>
        <a:prstGeom prst="rect">
          <a:avLst/>
        </a:prstGeom>
      </xdr:spPr>
    </xdr:pic>
    <xdr:clientData/>
  </xdr:twoCellAnchor>
</xdr:wsDr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0.42961</cdr:x>
      <cdr:y>0.71264</cdr:y>
    </cdr:from>
    <cdr:to>
      <cdr:x>0.58862</cdr:x>
      <cdr:y>0.88506</cdr:y>
    </cdr:to>
    <cdr:sp macro="" textlink="">
      <cdr:nvSpPr>
        <cdr:cNvPr id="2" name="Oval 22"/>
        <cdr:cNvSpPr/>
      </cdr:nvSpPr>
      <cdr:spPr>
        <a:xfrm xmlns:a="http://schemas.openxmlformats.org/drawingml/2006/main">
          <a:off x="1870075" y="2165350"/>
          <a:ext cx="692150" cy="523875"/>
        </a:xfrm>
        <a:prstGeom xmlns:a="http://schemas.openxmlformats.org/drawingml/2006/main" prst="ellipse">
          <a:avLst/>
        </a:prstGeom>
        <a:solidFill xmlns:a="http://schemas.openxmlformats.org/drawingml/2006/main">
          <a:schemeClr val="bg1">
            <a:lumMod val="75000"/>
          </a:schemeClr>
        </a:solidFill>
        <a:ln xmlns:a="http://schemas.openxmlformats.org/drawingml/2006/main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2">
          <a:schemeClr val="accent6">
            <a:shade val="50000"/>
          </a:schemeClr>
        </a:lnRef>
        <a:fillRef xmlns:a="http://schemas.openxmlformats.org/drawingml/2006/main" idx="1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ctr" anchorCtr="0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sk-SK" sz="1000" b="1">
              <a:solidFill>
                <a:sysClr val="windowText" lastClr="000000"/>
              </a:solidFill>
              <a:latin typeface="Constantia" panose="02030602050306030303" pitchFamily="18" charset="0"/>
            </a:rPr>
            <a:t>-0,04</a:t>
          </a:r>
        </a:p>
      </cdr:txBody>
    </cdr:sp>
  </cdr:relSizeAnchor>
  <cdr:relSizeAnchor xmlns:cdr="http://schemas.openxmlformats.org/drawingml/2006/chartDrawing">
    <cdr:from>
      <cdr:x>0.77535</cdr:x>
      <cdr:y>0.26646</cdr:y>
    </cdr:from>
    <cdr:to>
      <cdr:x>0.9453</cdr:x>
      <cdr:y>0.42424</cdr:y>
    </cdr:to>
    <cdr:sp macro="" textlink="">
      <cdr:nvSpPr>
        <cdr:cNvPr id="3" name="Oval 22"/>
        <cdr:cNvSpPr/>
      </cdr:nvSpPr>
      <cdr:spPr>
        <a:xfrm xmlns:a="http://schemas.openxmlformats.org/drawingml/2006/main">
          <a:off x="3375025" y="809625"/>
          <a:ext cx="739778" cy="479425"/>
        </a:xfrm>
        <a:prstGeom xmlns:a="http://schemas.openxmlformats.org/drawingml/2006/main" prst="ellipse">
          <a:avLst/>
        </a:prstGeom>
        <a:solidFill xmlns:a="http://schemas.openxmlformats.org/drawingml/2006/main">
          <a:srgbClr val="B2E4F8"/>
        </a:solidFill>
        <a:ln xmlns:a="http://schemas.openxmlformats.org/drawingml/2006/main">
          <a:solidFill>
            <a:srgbClr val="B2E4F8"/>
          </a:solidFill>
        </a:ln>
      </cdr:spPr>
      <cdr:style>
        <a:lnRef xmlns:a="http://schemas.openxmlformats.org/drawingml/2006/main" idx="2">
          <a:schemeClr val="accent6">
            <a:shade val="50000"/>
          </a:schemeClr>
        </a:lnRef>
        <a:fillRef xmlns:a="http://schemas.openxmlformats.org/drawingml/2006/main" idx="1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ctr" anchorCtr="0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sk-SK" sz="1000" b="1">
              <a:solidFill>
                <a:sysClr val="windowText" lastClr="000000"/>
              </a:solidFill>
              <a:latin typeface="Constantia" panose="02030602050306030303" pitchFamily="18" charset="0"/>
            </a:rPr>
            <a:t>-0,96</a:t>
          </a:r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0.60855</cdr:x>
      <cdr:y>0.26733</cdr:y>
    </cdr:from>
    <cdr:to>
      <cdr:x>0.84611</cdr:x>
      <cdr:y>0.40567</cdr:y>
    </cdr:to>
    <cdr:sp macro="" textlink="">
      <cdr:nvSpPr>
        <cdr:cNvPr id="2" name="Oval 22"/>
        <cdr:cNvSpPr/>
      </cdr:nvSpPr>
      <cdr:spPr>
        <a:xfrm xmlns:a="http://schemas.openxmlformats.org/drawingml/2006/main">
          <a:off x="1781175" y="809856"/>
          <a:ext cx="695326" cy="419099"/>
        </a:xfrm>
        <a:prstGeom xmlns:a="http://schemas.openxmlformats.org/drawingml/2006/main" prst="ellipse">
          <a:avLst/>
        </a:prstGeom>
        <a:solidFill xmlns:a="http://schemas.openxmlformats.org/drawingml/2006/main">
          <a:srgbClr val="B2E4F8"/>
        </a:solidFill>
        <a:ln xmlns:a="http://schemas.openxmlformats.org/drawingml/2006/main">
          <a:solidFill>
            <a:srgbClr val="B2E4F8"/>
          </a:solidFill>
        </a:ln>
      </cdr:spPr>
      <cdr:style>
        <a:lnRef xmlns:a="http://schemas.openxmlformats.org/drawingml/2006/main" idx="2">
          <a:schemeClr val="accent6">
            <a:shade val="50000"/>
          </a:schemeClr>
        </a:lnRef>
        <a:fillRef xmlns:a="http://schemas.openxmlformats.org/drawingml/2006/main" idx="1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ctr" anchorCtr="0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sk-SK" sz="1000" b="1">
              <a:solidFill>
                <a:sysClr val="windowText" lastClr="000000"/>
              </a:solidFill>
              <a:latin typeface="Constantia" panose="02030602050306030303" pitchFamily="18" charset="0"/>
            </a:rPr>
            <a:t>-0,67</a:t>
          </a:r>
        </a:p>
      </cdr:txBody>
    </cdr:sp>
  </cdr:relSizeAnchor>
  <cdr:relSizeAnchor xmlns:cdr="http://schemas.openxmlformats.org/drawingml/2006/chartDrawing">
    <cdr:from>
      <cdr:x>0.14102</cdr:x>
      <cdr:y>0.72009</cdr:y>
    </cdr:from>
    <cdr:to>
      <cdr:x>0.37749</cdr:x>
      <cdr:y>0.89302</cdr:y>
    </cdr:to>
    <cdr:sp macro="" textlink="">
      <cdr:nvSpPr>
        <cdr:cNvPr id="3" name="Oval 22"/>
        <cdr:cNvSpPr/>
      </cdr:nvSpPr>
      <cdr:spPr>
        <a:xfrm xmlns:a="http://schemas.openxmlformats.org/drawingml/2006/main">
          <a:off x="412750" y="2181456"/>
          <a:ext cx="692150" cy="523875"/>
        </a:xfrm>
        <a:prstGeom xmlns:a="http://schemas.openxmlformats.org/drawingml/2006/main" prst="ellipse">
          <a:avLst/>
        </a:prstGeom>
        <a:solidFill xmlns:a="http://schemas.openxmlformats.org/drawingml/2006/main">
          <a:schemeClr val="bg1">
            <a:lumMod val="75000"/>
          </a:schemeClr>
        </a:solidFill>
        <a:ln xmlns:a="http://schemas.openxmlformats.org/drawingml/2006/main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2">
          <a:schemeClr val="accent6">
            <a:shade val="50000"/>
          </a:schemeClr>
        </a:lnRef>
        <a:fillRef xmlns:a="http://schemas.openxmlformats.org/drawingml/2006/main" idx="1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ctr" anchorCtr="0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sk-SK" sz="1000" b="1">
              <a:solidFill>
                <a:sysClr val="windowText" lastClr="000000"/>
              </a:solidFill>
              <a:latin typeface="Constantia" panose="02030602050306030303" pitchFamily="18" charset="0"/>
            </a:rPr>
            <a:t>+0,27</a:t>
          </a:r>
        </a:p>
      </cdr:txBody>
    </cdr:sp>
  </cdr:relSizeAnchor>
  <cdr:relSizeAnchor xmlns:cdr="http://schemas.openxmlformats.org/drawingml/2006/chartDrawing">
    <cdr:from>
      <cdr:x>0.74956</cdr:x>
      <cdr:y>0.10198</cdr:y>
    </cdr:from>
    <cdr:to>
      <cdr:x>0.92421</cdr:x>
      <cdr:y>0.2029</cdr:y>
    </cdr:to>
    <cdr:sp macro="" textlink="">
      <cdr:nvSpPr>
        <cdr:cNvPr id="4" name="Obdĺžnik 3"/>
        <cdr:cNvSpPr/>
      </cdr:nvSpPr>
      <cdr:spPr>
        <a:xfrm xmlns:a="http://schemas.openxmlformats.org/drawingml/2006/main">
          <a:off x="2193924" y="307975"/>
          <a:ext cx="511178" cy="30480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9050">
          <a:solidFill>
            <a:sysClr val="windowText" lastClr="000000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sk-SK" sz="1000" b="1">
              <a:solidFill>
                <a:sysClr val="windowText" lastClr="000000"/>
              </a:solidFill>
              <a:latin typeface="Constantia" panose="02030602050306030303" pitchFamily="18" charset="0"/>
            </a:rPr>
            <a:t>-0,40</a:t>
          </a:r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0.71228</cdr:x>
      <cdr:y>0.26542</cdr:y>
    </cdr:from>
    <cdr:to>
      <cdr:x>0.94944</cdr:x>
      <cdr:y>0.41048</cdr:y>
    </cdr:to>
    <cdr:sp macro="" textlink="">
      <cdr:nvSpPr>
        <cdr:cNvPr id="2" name="Oval 22"/>
        <cdr:cNvSpPr/>
      </cdr:nvSpPr>
      <cdr:spPr>
        <a:xfrm xmlns:a="http://schemas.openxmlformats.org/drawingml/2006/main">
          <a:off x="2012950" y="819149"/>
          <a:ext cx="670237" cy="447676"/>
        </a:xfrm>
        <a:prstGeom xmlns:a="http://schemas.openxmlformats.org/drawingml/2006/main" prst="ellipse">
          <a:avLst/>
        </a:prstGeom>
        <a:solidFill xmlns:a="http://schemas.openxmlformats.org/drawingml/2006/main">
          <a:srgbClr val="B2E4F8"/>
        </a:solidFill>
        <a:ln xmlns:a="http://schemas.openxmlformats.org/drawingml/2006/main">
          <a:solidFill>
            <a:srgbClr val="B2E4F8"/>
          </a:solidFill>
        </a:ln>
      </cdr:spPr>
      <cdr:style>
        <a:lnRef xmlns:a="http://schemas.openxmlformats.org/drawingml/2006/main" idx="2">
          <a:schemeClr val="accent6">
            <a:shade val="50000"/>
          </a:schemeClr>
        </a:lnRef>
        <a:fillRef xmlns:a="http://schemas.openxmlformats.org/drawingml/2006/main" idx="1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ctr" anchorCtr="0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sk-SK" sz="1000" b="1">
              <a:solidFill>
                <a:sysClr val="windowText" lastClr="000000"/>
              </a:solidFill>
              <a:latin typeface="Constantia" panose="02030602050306030303" pitchFamily="18" charset="0"/>
            </a:rPr>
            <a:t>-0,30</a:t>
          </a:r>
        </a:p>
      </cdr:txBody>
    </cdr:sp>
  </cdr:relSizeAnchor>
  <cdr:relSizeAnchor xmlns:cdr="http://schemas.openxmlformats.org/drawingml/2006/chartDrawing">
    <cdr:from>
      <cdr:x>0.16627</cdr:x>
      <cdr:y>0.70985</cdr:y>
    </cdr:from>
    <cdr:to>
      <cdr:x>0.41018</cdr:x>
      <cdr:y>0.86828</cdr:y>
    </cdr:to>
    <cdr:sp macro="" textlink="">
      <cdr:nvSpPr>
        <cdr:cNvPr id="3" name="Oval 22"/>
        <cdr:cNvSpPr/>
      </cdr:nvSpPr>
      <cdr:spPr>
        <a:xfrm xmlns:a="http://schemas.openxmlformats.org/drawingml/2006/main">
          <a:off x="469900" y="2190749"/>
          <a:ext cx="689287" cy="488951"/>
        </a:xfrm>
        <a:prstGeom xmlns:a="http://schemas.openxmlformats.org/drawingml/2006/main" prst="ellipse">
          <a:avLst/>
        </a:prstGeom>
        <a:solidFill xmlns:a="http://schemas.openxmlformats.org/drawingml/2006/main">
          <a:schemeClr val="bg1">
            <a:lumMod val="75000"/>
          </a:schemeClr>
        </a:solidFill>
        <a:ln xmlns:a="http://schemas.openxmlformats.org/drawingml/2006/main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2">
          <a:schemeClr val="accent6">
            <a:shade val="50000"/>
          </a:schemeClr>
        </a:lnRef>
        <a:fillRef xmlns:a="http://schemas.openxmlformats.org/drawingml/2006/main" idx="1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ctr" anchorCtr="0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sk-SK" sz="1000" b="1">
              <a:solidFill>
                <a:sysClr val="windowText" lastClr="000000"/>
              </a:solidFill>
              <a:latin typeface="Constantia" panose="02030602050306030303" pitchFamily="18" charset="0"/>
            </a:rPr>
            <a:t>-0,08</a:t>
          </a:r>
        </a:p>
      </cdr:txBody>
    </cdr:sp>
  </cdr:relSizeAnchor>
  <cdr:relSizeAnchor xmlns:cdr="http://schemas.openxmlformats.org/drawingml/2006/chartDrawing">
    <cdr:from>
      <cdr:x>0.82474</cdr:x>
      <cdr:y>0.08772</cdr:y>
    </cdr:from>
    <cdr:to>
      <cdr:x>1</cdr:x>
      <cdr:y>0.18678</cdr:y>
    </cdr:to>
    <cdr:sp macro="" textlink="">
      <cdr:nvSpPr>
        <cdr:cNvPr id="4" name="Obdĺžnik 3"/>
        <cdr:cNvSpPr/>
      </cdr:nvSpPr>
      <cdr:spPr>
        <a:xfrm xmlns:a="http://schemas.openxmlformats.org/drawingml/2006/main">
          <a:off x="2330763" y="269875"/>
          <a:ext cx="495298" cy="30480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9050">
          <a:solidFill>
            <a:sysClr val="windowText" lastClr="000000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sk-SK" sz="1000" b="1">
              <a:solidFill>
                <a:sysClr val="windowText" lastClr="000000"/>
              </a:solidFill>
              <a:latin typeface="Constantia" panose="02030602050306030303" pitchFamily="18" charset="0"/>
            </a:rPr>
            <a:t>-0,39</a:t>
          </a:r>
        </a:p>
      </cdr:txBody>
    </cdr:sp>
  </cdr:relSizeAnchor>
</c:userShapes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238126</xdr:colOff>
      <xdr:row>9</xdr:row>
      <xdr:rowOff>133350</xdr:rowOff>
    </xdr:from>
    <xdr:to>
      <xdr:col>6</xdr:col>
      <xdr:colOff>180976</xdr:colOff>
      <xdr:row>28</xdr:row>
      <xdr:rowOff>180975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8</xdr:row>
      <xdr:rowOff>0</xdr:rowOff>
    </xdr:from>
    <xdr:to>
      <xdr:col>9</xdr:col>
      <xdr:colOff>536494</xdr:colOff>
      <xdr:row>9</xdr:row>
      <xdr:rowOff>77747</xdr:rowOff>
    </xdr:to>
    <xdr:pic>
      <xdr:nvPicPr>
        <xdr:cNvPr id="3" name="Obrázok 2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1021675" y="190500"/>
          <a:ext cx="536494" cy="26824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0</xdr:colOff>
      <xdr:row>1</xdr:row>
      <xdr:rowOff>0</xdr:rowOff>
    </xdr:from>
    <xdr:to>
      <xdr:col>11</xdr:col>
      <xdr:colOff>536494</xdr:colOff>
      <xdr:row>2</xdr:row>
      <xdr:rowOff>106322</xdr:rowOff>
    </xdr:to>
    <xdr:pic>
      <xdr:nvPicPr>
        <xdr:cNvPr id="2" name="Obrázok 1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467475" y="209550"/>
          <a:ext cx="536494" cy="268247"/>
        </a:xfrm>
        <a:prstGeom prst="rect">
          <a:avLst/>
        </a:prstGeom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11</xdr:row>
      <xdr:rowOff>171456</xdr:rowOff>
    </xdr:from>
    <xdr:to>
      <xdr:col>4</xdr:col>
      <xdr:colOff>433388</xdr:colOff>
      <xdr:row>31</xdr:row>
      <xdr:rowOff>95250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0</xdr:colOff>
      <xdr:row>9</xdr:row>
      <xdr:rowOff>1</xdr:rowOff>
    </xdr:from>
    <xdr:to>
      <xdr:col>7</xdr:col>
      <xdr:colOff>495300</xdr:colOff>
      <xdr:row>10</xdr:row>
      <xdr:rowOff>87965</xdr:rowOff>
    </xdr:to>
    <xdr:pic>
      <xdr:nvPicPr>
        <xdr:cNvPr id="3" name="Obrázok 2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543675" y="1485901"/>
          <a:ext cx="495300" cy="278464"/>
        </a:xfrm>
        <a:prstGeom prst="rect">
          <a:avLst/>
        </a:prstGeom>
      </xdr:spPr>
    </xdr:pic>
    <xdr:clientData/>
  </xdr:twoCellAnchor>
</xdr:wsDr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0.08853</cdr:x>
      <cdr:y>0.09701</cdr:y>
    </cdr:from>
    <cdr:to>
      <cdr:x>0.43453</cdr:x>
      <cdr:y>0.19109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414338" y="314319"/>
          <a:ext cx="161925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sk-SK" sz="1100" b="1">
              <a:solidFill>
                <a:srgbClr val="00B0F0"/>
              </a:solidFill>
              <a:latin typeface="Arial" panose="020B0604020202020204" pitchFamily="34" charset="0"/>
              <a:cs typeface="Arial" panose="020B0604020202020204" pitchFamily="34" charset="0"/>
            </a:rPr>
            <a:t>↑ </a:t>
          </a:r>
          <a:r>
            <a:rPr lang="sk-SK" sz="1100" b="1">
              <a:solidFill>
                <a:srgbClr val="00B0F0"/>
              </a:solidFill>
              <a:latin typeface="Constantia" panose="02030602050306030303" pitchFamily="18" charset="0"/>
            </a:rPr>
            <a:t>+ pozitívne zmeny</a:t>
          </a:r>
        </a:p>
      </cdr:txBody>
    </cdr:sp>
  </cdr:relSizeAnchor>
  <cdr:relSizeAnchor xmlns:cdr="http://schemas.openxmlformats.org/drawingml/2006/chartDrawing">
    <cdr:from>
      <cdr:x>0.09633</cdr:x>
      <cdr:y>0.6889</cdr:y>
    </cdr:from>
    <cdr:to>
      <cdr:x>0.44233</cdr:x>
      <cdr:y>0.78297</cdr:y>
    </cdr:to>
    <cdr:sp macro="" textlink="">
      <cdr:nvSpPr>
        <cdr:cNvPr id="4" name="TextBox 1"/>
        <cdr:cNvSpPr txBox="1"/>
      </cdr:nvSpPr>
      <cdr:spPr>
        <a:xfrm xmlns:a="http://schemas.openxmlformats.org/drawingml/2006/main">
          <a:off x="450842" y="2232027"/>
          <a:ext cx="1619280" cy="30478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sk-SK" sz="1100" b="1">
              <a:solidFill>
                <a:srgbClr val="FF0000"/>
              </a:solidFill>
              <a:latin typeface="Constantia" panose="02030602050306030303" pitchFamily="18" charset="0"/>
            </a:rPr>
            <a:t>↓ - negatívne zmeny</a:t>
          </a:r>
        </a:p>
      </cdr:txBody>
    </cdr:sp>
  </cdr:relSizeAnchor>
  <cdr:relSizeAnchor xmlns:cdr="http://schemas.openxmlformats.org/drawingml/2006/chartDrawing">
    <cdr:from>
      <cdr:x>0.22693</cdr:x>
      <cdr:y>0.5321</cdr:y>
    </cdr:from>
    <cdr:to>
      <cdr:x>0.30834</cdr:x>
      <cdr:y>0.67322</cdr:y>
    </cdr:to>
    <cdr:cxnSp macro="">
      <cdr:nvCxnSpPr>
        <cdr:cNvPr id="5" name="Straight Arrow Connector 4"/>
        <cdr:cNvCxnSpPr/>
      </cdr:nvCxnSpPr>
      <cdr:spPr>
        <a:xfrm xmlns:a="http://schemas.openxmlformats.org/drawingml/2006/main" flipV="1">
          <a:off x="1062038" y="1724019"/>
          <a:ext cx="381000" cy="457200"/>
        </a:xfrm>
        <a:prstGeom xmlns:a="http://schemas.openxmlformats.org/drawingml/2006/main" prst="straightConnector1">
          <a:avLst/>
        </a:prstGeom>
        <a:ln xmlns:a="http://schemas.openxmlformats.org/drawingml/2006/main">
          <a:tailEnd type="triangle"/>
        </a:ln>
      </cdr:spPr>
      <cdr:style>
        <a:lnRef xmlns:a="http://schemas.openxmlformats.org/drawingml/2006/main" idx="1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0.66824</cdr:x>
      <cdr:y>0.59972</cdr:y>
    </cdr:from>
    <cdr:to>
      <cdr:x>0.76017</cdr:x>
      <cdr:y>0.79179</cdr:y>
    </cdr:to>
    <cdr:cxnSp macro="">
      <cdr:nvCxnSpPr>
        <cdr:cNvPr id="6" name="Straight Arrow Connector 5"/>
        <cdr:cNvCxnSpPr/>
      </cdr:nvCxnSpPr>
      <cdr:spPr>
        <a:xfrm xmlns:a="http://schemas.openxmlformats.org/drawingml/2006/main" flipV="1">
          <a:off x="3127375" y="1943094"/>
          <a:ext cx="430213" cy="622308"/>
        </a:xfrm>
        <a:prstGeom xmlns:a="http://schemas.openxmlformats.org/drawingml/2006/main" prst="straightConnector1">
          <a:avLst/>
        </a:prstGeom>
        <a:ln xmlns:a="http://schemas.openxmlformats.org/drawingml/2006/main">
          <a:tailEnd type="triangle"/>
        </a:ln>
      </cdr:spPr>
      <cdr:style>
        <a:lnRef xmlns:a="http://schemas.openxmlformats.org/drawingml/2006/main" idx="1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0.42808</cdr:x>
      <cdr:y>0.21559</cdr:y>
    </cdr:from>
    <cdr:to>
      <cdr:x>0.54443</cdr:x>
      <cdr:y>0.40275</cdr:y>
    </cdr:to>
    <cdr:cxnSp macro="">
      <cdr:nvCxnSpPr>
        <cdr:cNvPr id="11" name="Straight Arrow Connector 10"/>
        <cdr:cNvCxnSpPr/>
      </cdr:nvCxnSpPr>
      <cdr:spPr>
        <a:xfrm xmlns:a="http://schemas.openxmlformats.org/drawingml/2006/main">
          <a:off x="2003425" y="698500"/>
          <a:ext cx="544513" cy="606419"/>
        </a:xfrm>
        <a:prstGeom xmlns:a="http://schemas.openxmlformats.org/drawingml/2006/main" prst="straightConnector1">
          <a:avLst/>
        </a:prstGeom>
        <a:ln xmlns:a="http://schemas.openxmlformats.org/drawingml/2006/main">
          <a:tailEnd type="triangle"/>
        </a:ln>
      </cdr:spPr>
      <cdr:style>
        <a:lnRef xmlns:a="http://schemas.openxmlformats.org/drawingml/2006/main" idx="1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0.84531</cdr:x>
      <cdr:y>0.22147</cdr:y>
    </cdr:from>
    <cdr:to>
      <cdr:x>0.96166</cdr:x>
      <cdr:y>0.40863</cdr:y>
    </cdr:to>
    <cdr:cxnSp macro="">
      <cdr:nvCxnSpPr>
        <cdr:cNvPr id="13" name="Straight Arrow Connector 12"/>
        <cdr:cNvCxnSpPr/>
      </cdr:nvCxnSpPr>
      <cdr:spPr>
        <a:xfrm xmlns:a="http://schemas.openxmlformats.org/drawingml/2006/main">
          <a:off x="3956050" y="717550"/>
          <a:ext cx="544513" cy="606419"/>
        </a:xfrm>
        <a:prstGeom xmlns:a="http://schemas.openxmlformats.org/drawingml/2006/main" prst="straightConnector1">
          <a:avLst/>
        </a:prstGeom>
        <a:ln xmlns:a="http://schemas.openxmlformats.org/drawingml/2006/main">
          <a:tailEnd type="triangle"/>
        </a:ln>
      </cdr:spPr>
      <cdr:style>
        <a:lnRef xmlns:a="http://schemas.openxmlformats.org/drawingml/2006/main" idx="1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20</xdr:row>
      <xdr:rowOff>95249</xdr:rowOff>
    </xdr:from>
    <xdr:to>
      <xdr:col>2</xdr:col>
      <xdr:colOff>314325</xdr:colOff>
      <xdr:row>40</xdr:row>
      <xdr:rowOff>133350</xdr:rowOff>
    </xdr:to>
    <xdr:graphicFrame macro="">
      <xdr:nvGraphicFramePr>
        <xdr:cNvPr id="2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342898</xdr:colOff>
      <xdr:row>20</xdr:row>
      <xdr:rowOff>38099</xdr:rowOff>
    </xdr:from>
    <xdr:to>
      <xdr:col>13</xdr:col>
      <xdr:colOff>269923</xdr:colOff>
      <xdr:row>41</xdr:row>
      <xdr:rowOff>77699</xdr:rowOff>
    </xdr:to>
    <xdr:graphicFrame macro="">
      <xdr:nvGraphicFramePr>
        <xdr:cNvPr id="3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0</xdr:colOff>
      <xdr:row>17</xdr:row>
      <xdr:rowOff>0</xdr:rowOff>
    </xdr:from>
    <xdr:to>
      <xdr:col>15</xdr:col>
      <xdr:colOff>571500</xdr:colOff>
      <xdr:row>18</xdr:row>
      <xdr:rowOff>130351</xdr:rowOff>
    </xdr:to>
    <xdr:pic>
      <xdr:nvPicPr>
        <xdr:cNvPr id="7" name="Obrázok 6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1525250" y="2609850"/>
          <a:ext cx="571500" cy="320851"/>
        </a:xfrm>
        <a:prstGeom prst="rect">
          <a:avLst/>
        </a:prstGeom>
      </xdr:spPr>
    </xdr:pic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590550</xdr:colOff>
      <xdr:row>17</xdr:row>
      <xdr:rowOff>119062</xdr:rowOff>
    </xdr:from>
    <xdr:to>
      <xdr:col>9</xdr:col>
      <xdr:colOff>393750</xdr:colOff>
      <xdr:row>37</xdr:row>
      <xdr:rowOff>120562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12</xdr:col>
      <xdr:colOff>0</xdr:colOff>
      <xdr:row>16</xdr:row>
      <xdr:rowOff>0</xdr:rowOff>
    </xdr:from>
    <xdr:to>
      <xdr:col>12</xdr:col>
      <xdr:colOff>536494</xdr:colOff>
      <xdr:row>17</xdr:row>
      <xdr:rowOff>134897</xdr:rowOff>
    </xdr:to>
    <xdr:pic>
      <xdr:nvPicPr>
        <xdr:cNvPr id="3" name="Obrázok 2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200900" y="2295525"/>
          <a:ext cx="536494" cy="296822"/>
        </a:xfrm>
        <a:prstGeom prst="rect">
          <a:avLst/>
        </a:prstGeom>
      </xdr:spPr>
    </xdr:pic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200025</xdr:colOff>
      <xdr:row>14</xdr:row>
      <xdr:rowOff>28575</xdr:rowOff>
    </xdr:from>
    <xdr:to>
      <xdr:col>8</xdr:col>
      <xdr:colOff>552450</xdr:colOff>
      <xdr:row>31</xdr:row>
      <xdr:rowOff>104775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12</xdr:col>
      <xdr:colOff>0</xdr:colOff>
      <xdr:row>13</xdr:row>
      <xdr:rowOff>0</xdr:rowOff>
    </xdr:from>
    <xdr:to>
      <xdr:col>12</xdr:col>
      <xdr:colOff>536494</xdr:colOff>
      <xdr:row>14</xdr:row>
      <xdr:rowOff>106322</xdr:rowOff>
    </xdr:to>
    <xdr:pic>
      <xdr:nvPicPr>
        <xdr:cNvPr id="3" name="Obrázok 2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305925" y="2095500"/>
          <a:ext cx="536494" cy="268247"/>
        </a:xfrm>
        <a:prstGeom prst="rect">
          <a:avLst/>
        </a:prstGeom>
      </xdr:spPr>
    </xdr:pic>
    <xdr:clientData/>
  </xdr:twoCellAnchor>
</xdr:wsDr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0.80808</cdr:x>
      <cdr:y>0.04928</cdr:y>
    </cdr:from>
    <cdr:to>
      <cdr:x>0.94343</cdr:x>
      <cdr:y>0.91014</cdr:y>
    </cdr:to>
    <cdr:sp macro="" textlink="">
      <cdr:nvSpPr>
        <cdr:cNvPr id="2" name="Rectangle 1"/>
        <cdr:cNvSpPr/>
      </cdr:nvSpPr>
      <cdr:spPr>
        <a:xfrm xmlns:a="http://schemas.openxmlformats.org/drawingml/2006/main">
          <a:off x="3810000" y="161940"/>
          <a:ext cx="638155" cy="2828894"/>
        </a:xfrm>
        <a:prstGeom xmlns:a="http://schemas.openxmlformats.org/drawingml/2006/main" prst="rect">
          <a:avLst/>
        </a:prstGeom>
        <a:solidFill xmlns:a="http://schemas.openxmlformats.org/drawingml/2006/main">
          <a:srgbClr val="00B0F0">
            <a:alpha val="17000"/>
          </a:srgb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sk-SK"/>
        </a:p>
      </cdr:txBody>
    </cdr:sp>
  </cdr:relSizeAnchor>
</c:userShapes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417737</xdr:colOff>
      <xdr:row>10</xdr:row>
      <xdr:rowOff>12247</xdr:rowOff>
    </xdr:from>
    <xdr:to>
      <xdr:col>10</xdr:col>
      <xdr:colOff>114300</xdr:colOff>
      <xdr:row>28</xdr:row>
      <xdr:rowOff>66675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12</xdr:col>
      <xdr:colOff>0</xdr:colOff>
      <xdr:row>11</xdr:row>
      <xdr:rowOff>0</xdr:rowOff>
    </xdr:from>
    <xdr:to>
      <xdr:col>12</xdr:col>
      <xdr:colOff>536494</xdr:colOff>
      <xdr:row>12</xdr:row>
      <xdr:rowOff>77747</xdr:rowOff>
    </xdr:to>
    <xdr:pic>
      <xdr:nvPicPr>
        <xdr:cNvPr id="3" name="Obrázok 2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5525750" y="381000"/>
          <a:ext cx="536494" cy="268247"/>
        </a:xfrm>
        <a:prstGeom prst="rect">
          <a:avLst/>
        </a:prstGeom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304800</xdr:colOff>
      <xdr:row>14</xdr:row>
      <xdr:rowOff>76200</xdr:rowOff>
    </xdr:from>
    <xdr:to>
      <xdr:col>7</xdr:col>
      <xdr:colOff>247650</xdr:colOff>
      <xdr:row>29</xdr:row>
      <xdr:rowOff>98700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0</xdr:colOff>
      <xdr:row>16</xdr:row>
      <xdr:rowOff>0</xdr:rowOff>
    </xdr:from>
    <xdr:to>
      <xdr:col>10</xdr:col>
      <xdr:colOff>536494</xdr:colOff>
      <xdr:row>17</xdr:row>
      <xdr:rowOff>77747</xdr:rowOff>
    </xdr:to>
    <xdr:pic>
      <xdr:nvPicPr>
        <xdr:cNvPr id="3" name="Obrázok 2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5525750" y="381000"/>
          <a:ext cx="536494" cy="268247"/>
        </a:xfrm>
        <a:prstGeom prst="rect">
          <a:avLst/>
        </a:prstGeom>
      </xdr:spPr>
    </xdr:pic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280023</xdr:colOff>
      <xdr:row>2</xdr:row>
      <xdr:rowOff>87464</xdr:rowOff>
    </xdr:from>
    <xdr:to>
      <xdr:col>17</xdr:col>
      <xdr:colOff>445076</xdr:colOff>
      <xdr:row>16</xdr:row>
      <xdr:rowOff>85725</xdr:rowOff>
    </xdr:to>
    <xdr:grpSp>
      <xdr:nvGrpSpPr>
        <xdr:cNvPr id="2" name="Skupina 1"/>
        <xdr:cNvGrpSpPr/>
      </xdr:nvGrpSpPr>
      <xdr:grpSpPr>
        <a:xfrm>
          <a:off x="10319373" y="468464"/>
          <a:ext cx="3822653" cy="2665261"/>
          <a:chOff x="13724856" y="9975552"/>
          <a:chExt cx="4320335" cy="2700000"/>
        </a:xfrm>
      </xdr:grpSpPr>
      <xdr:graphicFrame macro="">
        <xdr:nvGraphicFramePr>
          <xdr:cNvPr id="3" name="Graf 2"/>
          <xdr:cNvGraphicFramePr/>
        </xdr:nvGraphicFramePr>
        <xdr:xfrm>
          <a:off x="13724856" y="9975552"/>
          <a:ext cx="4320335" cy="270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">
        <xdr:nvSpPr>
          <xdr:cNvPr id="4" name="Obdĺžnik 3"/>
          <xdr:cNvSpPr/>
        </xdr:nvSpPr>
        <xdr:spPr>
          <a:xfrm>
            <a:off x="16692988" y="10060738"/>
            <a:ext cx="1341174" cy="2208449"/>
          </a:xfrm>
          <a:prstGeom prst="rect">
            <a:avLst/>
          </a:prstGeom>
          <a:solidFill>
            <a:schemeClr val="bg1">
              <a:lumMod val="50000"/>
              <a:alpha val="23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GB" sz="1100"/>
          </a:p>
        </xdr:txBody>
      </xdr:sp>
    </xdr:grpSp>
    <xdr:clientData/>
  </xdr:twoCellAnchor>
  <xdr:twoCellAnchor editAs="oneCell">
    <xdr:from>
      <xdr:col>20</xdr:col>
      <xdr:colOff>0</xdr:colOff>
      <xdr:row>2</xdr:row>
      <xdr:rowOff>0</xdr:rowOff>
    </xdr:from>
    <xdr:to>
      <xdr:col>20</xdr:col>
      <xdr:colOff>536494</xdr:colOff>
      <xdr:row>3</xdr:row>
      <xdr:rowOff>77747</xdr:rowOff>
    </xdr:to>
    <xdr:pic>
      <xdr:nvPicPr>
        <xdr:cNvPr id="5" name="Obrázok 4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5525750" y="381000"/>
          <a:ext cx="536494" cy="268247"/>
        </a:xfrm>
        <a:prstGeom prst="rect">
          <a:avLst/>
        </a:prstGeom>
      </xdr:spPr>
    </xdr:pic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absolute">
    <xdr:from>
      <xdr:col>4</xdr:col>
      <xdr:colOff>602974</xdr:colOff>
      <xdr:row>1</xdr:row>
      <xdr:rowOff>25676</xdr:rowOff>
    </xdr:from>
    <xdr:to>
      <xdr:col>12</xdr:col>
      <xdr:colOff>46174</xdr:colOff>
      <xdr:row>14</xdr:row>
      <xdr:rowOff>125351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13</xdr:col>
      <xdr:colOff>0</xdr:colOff>
      <xdr:row>2</xdr:row>
      <xdr:rowOff>0</xdr:rowOff>
    </xdr:from>
    <xdr:to>
      <xdr:col>13</xdr:col>
      <xdr:colOff>536494</xdr:colOff>
      <xdr:row>3</xdr:row>
      <xdr:rowOff>68222</xdr:rowOff>
    </xdr:to>
    <xdr:pic>
      <xdr:nvPicPr>
        <xdr:cNvPr id="3" name="Obrázok 2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515725" y="400050"/>
          <a:ext cx="536494" cy="26824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1</xdr:row>
      <xdr:rowOff>0</xdr:rowOff>
    </xdr:from>
    <xdr:to>
      <xdr:col>7</xdr:col>
      <xdr:colOff>536494</xdr:colOff>
      <xdr:row>2</xdr:row>
      <xdr:rowOff>77747</xdr:rowOff>
    </xdr:to>
    <xdr:pic>
      <xdr:nvPicPr>
        <xdr:cNvPr id="2" name="Obrázok 1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467475" y="209550"/>
          <a:ext cx="536494" cy="268247"/>
        </a:xfrm>
        <a:prstGeom prst="rect">
          <a:avLst/>
        </a:prstGeom>
      </xdr:spPr>
    </xdr:pic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16565</xdr:colOff>
      <xdr:row>2</xdr:row>
      <xdr:rowOff>36030</xdr:rowOff>
    </xdr:from>
    <xdr:to>
      <xdr:col>13</xdr:col>
      <xdr:colOff>211049</xdr:colOff>
      <xdr:row>19</xdr:row>
      <xdr:rowOff>141916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14</xdr:col>
      <xdr:colOff>0</xdr:colOff>
      <xdr:row>1</xdr:row>
      <xdr:rowOff>0</xdr:rowOff>
    </xdr:from>
    <xdr:to>
      <xdr:col>14</xdr:col>
      <xdr:colOff>536494</xdr:colOff>
      <xdr:row>2</xdr:row>
      <xdr:rowOff>115847</xdr:rowOff>
    </xdr:to>
    <xdr:pic>
      <xdr:nvPicPr>
        <xdr:cNvPr id="4" name="Obrázok 3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534400" y="304800"/>
          <a:ext cx="536494" cy="268247"/>
        </a:xfrm>
        <a:prstGeom prst="rect">
          <a:avLst/>
        </a:prstGeom>
      </xdr:spPr>
    </xdr:pic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27384</xdr:colOff>
      <xdr:row>1</xdr:row>
      <xdr:rowOff>28574</xdr:rowOff>
    </xdr:from>
    <xdr:to>
      <xdr:col>8</xdr:col>
      <xdr:colOff>100584</xdr:colOff>
      <xdr:row>23</xdr:row>
      <xdr:rowOff>37649</xdr:rowOff>
    </xdr:to>
    <xdr:pic>
      <xdr:nvPicPr>
        <xdr:cNvPr id="3" name="Obrázok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6984" y="352424"/>
          <a:ext cx="4950000" cy="360000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</xdr:row>
      <xdr:rowOff>0</xdr:rowOff>
    </xdr:from>
    <xdr:to>
      <xdr:col>10</xdr:col>
      <xdr:colOff>536494</xdr:colOff>
      <xdr:row>3</xdr:row>
      <xdr:rowOff>106322</xdr:rowOff>
    </xdr:to>
    <xdr:pic>
      <xdr:nvPicPr>
        <xdr:cNvPr id="4" name="Obrázok 3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5039975" y="161925"/>
          <a:ext cx="536494" cy="268247"/>
        </a:xfrm>
        <a:prstGeom prst="rect">
          <a:avLst/>
        </a:prstGeom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56247</xdr:colOff>
      <xdr:row>1</xdr:row>
      <xdr:rowOff>47624</xdr:rowOff>
    </xdr:from>
    <xdr:to>
      <xdr:col>8</xdr:col>
      <xdr:colOff>126081</xdr:colOff>
      <xdr:row>23</xdr:row>
      <xdr:rowOff>85274</xdr:rowOff>
    </xdr:to>
    <xdr:pic>
      <xdr:nvPicPr>
        <xdr:cNvPr id="2" name="Obrázok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5847" y="371474"/>
          <a:ext cx="4946634" cy="3600000"/>
        </a:xfrm>
        <a:prstGeom prst="rect">
          <a:avLst/>
        </a:prstGeom>
      </xdr:spPr>
    </xdr:pic>
    <xdr:clientData/>
  </xdr:twoCellAnchor>
  <xdr:twoCellAnchor editAs="oneCell">
    <xdr:from>
      <xdr:col>9</xdr:col>
      <xdr:colOff>409575</xdr:colOff>
      <xdr:row>4</xdr:row>
      <xdr:rowOff>38100</xdr:rowOff>
    </xdr:from>
    <xdr:to>
      <xdr:col>10</xdr:col>
      <xdr:colOff>336469</xdr:colOff>
      <xdr:row>5</xdr:row>
      <xdr:rowOff>144422</xdr:rowOff>
    </xdr:to>
    <xdr:pic>
      <xdr:nvPicPr>
        <xdr:cNvPr id="3" name="Obrázok 2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895975" y="685800"/>
          <a:ext cx="536494" cy="268247"/>
        </a:xfrm>
        <a:prstGeom prst="rect">
          <a:avLst/>
        </a:prstGeom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19050</xdr:rowOff>
    </xdr:from>
    <xdr:to>
      <xdr:col>8</xdr:col>
      <xdr:colOff>69834</xdr:colOff>
      <xdr:row>23</xdr:row>
      <xdr:rowOff>56700</xdr:rowOff>
    </xdr:to>
    <xdr:pic>
      <xdr:nvPicPr>
        <xdr:cNvPr id="2" name="Obrázok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0075" y="533400"/>
          <a:ext cx="4946634" cy="360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</xdr:row>
      <xdr:rowOff>0</xdr:rowOff>
    </xdr:from>
    <xdr:to>
      <xdr:col>9</xdr:col>
      <xdr:colOff>536494</xdr:colOff>
      <xdr:row>4</xdr:row>
      <xdr:rowOff>106322</xdr:rowOff>
    </xdr:to>
    <xdr:pic>
      <xdr:nvPicPr>
        <xdr:cNvPr id="7" name="Obrázok 6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486400" y="514350"/>
          <a:ext cx="536494" cy="268247"/>
        </a:xfrm>
        <a:prstGeom prst="rect">
          <a:avLst/>
        </a:prstGeom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38100</xdr:rowOff>
    </xdr:from>
    <xdr:to>
      <xdr:col>8</xdr:col>
      <xdr:colOff>218250</xdr:colOff>
      <xdr:row>24</xdr:row>
      <xdr:rowOff>21825</xdr:rowOff>
    </xdr:to>
    <xdr:pic>
      <xdr:nvPicPr>
        <xdr:cNvPr id="2" name="Obrázok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0084" y="847725"/>
          <a:ext cx="5095050" cy="3708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4</xdr:row>
      <xdr:rowOff>0</xdr:rowOff>
    </xdr:from>
    <xdr:to>
      <xdr:col>9</xdr:col>
      <xdr:colOff>536494</xdr:colOff>
      <xdr:row>5</xdr:row>
      <xdr:rowOff>106322</xdr:rowOff>
    </xdr:to>
    <xdr:pic>
      <xdr:nvPicPr>
        <xdr:cNvPr id="3" name="Obrázok 2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486400" y="647700"/>
          <a:ext cx="536494" cy="268247"/>
        </a:xfrm>
        <a:prstGeom prst="rect">
          <a:avLst/>
        </a:prstGeom>
      </xdr:spPr>
    </xdr:pic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104775</xdr:colOff>
      <xdr:row>1</xdr:row>
      <xdr:rowOff>100012</xdr:rowOff>
    </xdr:from>
    <xdr:to>
      <xdr:col>14</xdr:col>
      <xdr:colOff>409575</xdr:colOff>
      <xdr:row>15</xdr:row>
      <xdr:rowOff>176212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16</xdr:col>
      <xdr:colOff>0</xdr:colOff>
      <xdr:row>1</xdr:row>
      <xdr:rowOff>0</xdr:rowOff>
    </xdr:from>
    <xdr:to>
      <xdr:col>16</xdr:col>
      <xdr:colOff>536494</xdr:colOff>
      <xdr:row>2</xdr:row>
      <xdr:rowOff>77747</xdr:rowOff>
    </xdr:to>
    <xdr:pic>
      <xdr:nvPicPr>
        <xdr:cNvPr id="3" name="Obrázok 2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5039975" y="161925"/>
          <a:ext cx="536494" cy="268247"/>
        </a:xfrm>
        <a:prstGeom prst="rect">
          <a:avLst/>
        </a:prstGeom>
      </xdr:spPr>
    </xdr:pic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523875</xdr:colOff>
      <xdr:row>1</xdr:row>
      <xdr:rowOff>38100</xdr:rowOff>
    </xdr:from>
    <xdr:to>
      <xdr:col>14</xdr:col>
      <xdr:colOff>219075</xdr:colOff>
      <xdr:row>15</xdr:row>
      <xdr:rowOff>114300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16</xdr:col>
      <xdr:colOff>0</xdr:colOff>
      <xdr:row>1</xdr:row>
      <xdr:rowOff>0</xdr:rowOff>
    </xdr:from>
    <xdr:to>
      <xdr:col>16</xdr:col>
      <xdr:colOff>536494</xdr:colOff>
      <xdr:row>2</xdr:row>
      <xdr:rowOff>77747</xdr:rowOff>
    </xdr:to>
    <xdr:pic>
      <xdr:nvPicPr>
        <xdr:cNvPr id="3" name="Obrázok 2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5039975" y="161925"/>
          <a:ext cx="536494" cy="268247"/>
        </a:xfrm>
        <a:prstGeom prst="rect">
          <a:avLst/>
        </a:prstGeom>
      </xdr:spPr>
    </xdr:pic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495300</xdr:colOff>
      <xdr:row>1</xdr:row>
      <xdr:rowOff>114300</xdr:rowOff>
    </xdr:from>
    <xdr:to>
      <xdr:col>13</xdr:col>
      <xdr:colOff>295275</xdr:colOff>
      <xdr:row>16</xdr:row>
      <xdr:rowOff>0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16</xdr:col>
      <xdr:colOff>0</xdr:colOff>
      <xdr:row>2</xdr:row>
      <xdr:rowOff>0</xdr:rowOff>
    </xdr:from>
    <xdr:to>
      <xdr:col>16</xdr:col>
      <xdr:colOff>536494</xdr:colOff>
      <xdr:row>3</xdr:row>
      <xdr:rowOff>77747</xdr:rowOff>
    </xdr:to>
    <xdr:pic>
      <xdr:nvPicPr>
        <xdr:cNvPr id="3" name="Obrázok 2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5039975" y="161925"/>
          <a:ext cx="536494" cy="268247"/>
        </a:xfrm>
        <a:prstGeom prst="rect">
          <a:avLst/>
        </a:prstGeom>
      </xdr:spPr>
    </xdr:pic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114300</xdr:colOff>
      <xdr:row>1</xdr:row>
      <xdr:rowOff>95250</xdr:rowOff>
    </xdr:from>
    <xdr:to>
      <xdr:col>14</xdr:col>
      <xdr:colOff>419100</xdr:colOff>
      <xdr:row>19</xdr:row>
      <xdr:rowOff>85725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16</xdr:col>
      <xdr:colOff>0</xdr:colOff>
      <xdr:row>2</xdr:row>
      <xdr:rowOff>0</xdr:rowOff>
    </xdr:from>
    <xdr:to>
      <xdr:col>16</xdr:col>
      <xdr:colOff>536494</xdr:colOff>
      <xdr:row>3</xdr:row>
      <xdr:rowOff>106322</xdr:rowOff>
    </xdr:to>
    <xdr:pic>
      <xdr:nvPicPr>
        <xdr:cNvPr id="3" name="Obrázok 2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5039975" y="161925"/>
          <a:ext cx="536494" cy="268247"/>
        </a:xfrm>
        <a:prstGeom prst="rect">
          <a:avLst/>
        </a:prstGeom>
      </xdr:spPr>
    </xdr:pic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542925</xdr:colOff>
      <xdr:row>1</xdr:row>
      <xdr:rowOff>76201</xdr:rowOff>
    </xdr:from>
    <xdr:to>
      <xdr:col>12</xdr:col>
      <xdr:colOff>533400</xdr:colOff>
      <xdr:row>15</xdr:row>
      <xdr:rowOff>104776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14</xdr:col>
      <xdr:colOff>0</xdr:colOff>
      <xdr:row>2</xdr:row>
      <xdr:rowOff>0</xdr:rowOff>
    </xdr:from>
    <xdr:to>
      <xdr:col>14</xdr:col>
      <xdr:colOff>536494</xdr:colOff>
      <xdr:row>3</xdr:row>
      <xdr:rowOff>106322</xdr:rowOff>
    </xdr:to>
    <xdr:pic>
      <xdr:nvPicPr>
        <xdr:cNvPr id="3" name="Obrázok 2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5039975" y="161925"/>
          <a:ext cx="536494" cy="26824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1</xdr:row>
      <xdr:rowOff>0</xdr:rowOff>
    </xdr:from>
    <xdr:to>
      <xdr:col>8</xdr:col>
      <xdr:colOff>536494</xdr:colOff>
      <xdr:row>2</xdr:row>
      <xdr:rowOff>77747</xdr:rowOff>
    </xdr:to>
    <xdr:pic>
      <xdr:nvPicPr>
        <xdr:cNvPr id="2" name="Obrázok 1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467475" y="209550"/>
          <a:ext cx="536494" cy="268247"/>
        </a:xfrm>
        <a:prstGeom prst="rect">
          <a:avLst/>
        </a:prstGeom>
      </xdr:spPr>
    </xdr:pic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628651</xdr:colOff>
      <xdr:row>9</xdr:row>
      <xdr:rowOff>0</xdr:rowOff>
    </xdr:from>
    <xdr:to>
      <xdr:col>20</xdr:col>
      <xdr:colOff>523876</xdr:colOff>
      <xdr:row>26</xdr:row>
      <xdr:rowOff>123825</xdr:rowOff>
    </xdr:to>
    <xdr:grpSp>
      <xdr:nvGrpSpPr>
        <xdr:cNvPr id="10" name="Skupina 9"/>
        <xdr:cNvGrpSpPr/>
      </xdr:nvGrpSpPr>
      <xdr:grpSpPr>
        <a:xfrm>
          <a:off x="2057401" y="1714500"/>
          <a:ext cx="11182350" cy="3362325"/>
          <a:chOff x="2085976" y="1714500"/>
          <a:chExt cx="11182350" cy="3362325"/>
        </a:xfrm>
      </xdr:grpSpPr>
      <xdr:graphicFrame macro="">
        <xdr:nvGraphicFramePr>
          <xdr:cNvPr id="3" name="Graf 2"/>
          <xdr:cNvGraphicFramePr>
            <a:graphicFrameLocks/>
          </xdr:cNvGraphicFramePr>
        </xdr:nvGraphicFramePr>
        <xdr:xfrm>
          <a:off x="2085976" y="1714500"/>
          <a:ext cx="5595560" cy="3283674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graphicFrame macro="">
        <xdr:nvGraphicFramePr>
          <xdr:cNvPr id="4" name="Graf 3"/>
          <xdr:cNvGraphicFramePr>
            <a:graphicFrameLocks/>
          </xdr:cNvGraphicFramePr>
        </xdr:nvGraphicFramePr>
        <xdr:xfrm>
          <a:off x="7672766" y="1793151"/>
          <a:ext cx="5595560" cy="3283674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">
        <xdr:nvSpPr>
          <xdr:cNvPr id="5" name="Notched Right Arrow 1"/>
          <xdr:cNvSpPr/>
        </xdr:nvSpPr>
        <xdr:spPr>
          <a:xfrm rot="1329807">
            <a:off x="7376324" y="2891259"/>
            <a:ext cx="1916104" cy="361106"/>
          </a:xfrm>
          <a:prstGeom prst="notchedRightArrow">
            <a:avLst/>
          </a:prstGeom>
          <a:solidFill>
            <a:schemeClr val="bg1">
              <a:lumMod val="85000"/>
            </a:schemeClr>
          </a:solidFill>
          <a:ln>
            <a:solidFill>
              <a:schemeClr val="bg1">
                <a:lumMod val="7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sk-SK" sz="1100"/>
          </a:p>
        </xdr:txBody>
      </xdr:sp>
      <xdr:cxnSp macro="">
        <xdr:nvCxnSpPr>
          <xdr:cNvPr id="7" name="Rovná spojnica 6"/>
          <xdr:cNvCxnSpPr/>
        </xdr:nvCxnSpPr>
        <xdr:spPr>
          <a:xfrm flipV="1">
            <a:off x="4352925" y="3048000"/>
            <a:ext cx="3295650" cy="9525"/>
          </a:xfrm>
          <a:prstGeom prst="line">
            <a:avLst/>
          </a:prstGeom>
          <a:ln w="19050">
            <a:solidFill>
              <a:srgbClr val="00206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9" name="BlokTextu 8"/>
          <xdr:cNvSpPr txBox="1"/>
        </xdr:nvSpPr>
        <xdr:spPr>
          <a:xfrm>
            <a:off x="4305299" y="3019426"/>
            <a:ext cx="1933575" cy="23320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sk-SK" sz="900" b="1">
                <a:solidFill>
                  <a:srgbClr val="002060"/>
                </a:solidFill>
                <a:latin typeface="Constantia" panose="02030602050306030303" pitchFamily="18" charset="0"/>
              </a:rPr>
              <a:t>pravidlo Paktu stability</a:t>
            </a:r>
            <a:r>
              <a:rPr lang="sk-SK" sz="900" b="1" baseline="0">
                <a:solidFill>
                  <a:srgbClr val="002060"/>
                </a:solidFill>
                <a:latin typeface="Constantia" panose="02030602050306030303" pitchFamily="18" charset="0"/>
              </a:rPr>
              <a:t> a rastu</a:t>
            </a:r>
            <a:endParaRPr lang="sk-SK" sz="900" b="1">
              <a:solidFill>
                <a:srgbClr val="002060"/>
              </a:solidFill>
              <a:latin typeface="Constantia" panose="02030602050306030303" pitchFamily="18" charset="0"/>
            </a:endParaRPr>
          </a:p>
        </xdr:txBody>
      </xdr:sp>
    </xdr:grpSp>
    <xdr:clientData/>
  </xdr:twoCellAnchor>
  <xdr:twoCellAnchor editAs="oneCell">
    <xdr:from>
      <xdr:col>24</xdr:col>
      <xdr:colOff>0</xdr:colOff>
      <xdr:row>8</xdr:row>
      <xdr:rowOff>0</xdr:rowOff>
    </xdr:from>
    <xdr:to>
      <xdr:col>24</xdr:col>
      <xdr:colOff>536494</xdr:colOff>
      <xdr:row>9</xdr:row>
      <xdr:rowOff>77747</xdr:rowOff>
    </xdr:to>
    <xdr:pic>
      <xdr:nvPicPr>
        <xdr:cNvPr id="8" name="Obrázok 7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5154275" y="1524000"/>
          <a:ext cx="536494" cy="268247"/>
        </a:xfrm>
        <a:prstGeom prst="rect">
          <a:avLst/>
        </a:prstGeom>
      </xdr:spPr>
    </xdr:pic>
    <xdr:clientData/>
  </xdr:twoCellAnchor>
</xdr:wsDr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0.84429</cdr:x>
      <cdr:y>0</cdr:y>
    </cdr:from>
    <cdr:to>
      <cdr:x>0.99319</cdr:x>
      <cdr:y>1</cdr:y>
    </cdr:to>
    <cdr:sp macro="" textlink="">
      <cdr:nvSpPr>
        <cdr:cNvPr id="2" name="Rectangle 1"/>
        <cdr:cNvSpPr/>
      </cdr:nvSpPr>
      <cdr:spPr>
        <a:xfrm xmlns:a="http://schemas.openxmlformats.org/drawingml/2006/main">
          <a:off x="4724281" y="0"/>
          <a:ext cx="833179" cy="3283674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1">
            <a:lumMod val="20000"/>
            <a:lumOff val="80000"/>
            <a:alpha val="35000"/>
          </a:schemeClr>
        </a:solidFill>
        <a:ln xmlns:a="http://schemas.openxmlformats.org/drawingml/2006/main" w="12700">
          <a:solidFill>
            <a:schemeClr val="accent1">
              <a:lumMod val="20000"/>
              <a:lumOff val="80000"/>
            </a:schemeClr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sk-SK"/>
        </a:p>
      </cdr:txBody>
    </cdr: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0.59561</cdr:x>
      <cdr:y>0</cdr:y>
    </cdr:from>
    <cdr:to>
      <cdr:x>1</cdr:x>
      <cdr:y>1</cdr:y>
    </cdr:to>
    <cdr:sp macro="" textlink="">
      <cdr:nvSpPr>
        <cdr:cNvPr id="2" name="Rectangle 1"/>
        <cdr:cNvSpPr/>
      </cdr:nvSpPr>
      <cdr:spPr>
        <a:xfrm xmlns:a="http://schemas.openxmlformats.org/drawingml/2006/main">
          <a:off x="3619492" y="0"/>
          <a:ext cx="2457458" cy="3181350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1">
            <a:lumMod val="20000"/>
            <a:lumOff val="80000"/>
            <a:alpha val="35000"/>
          </a:schemeClr>
        </a:solidFill>
        <a:ln xmlns:a="http://schemas.openxmlformats.org/drawingml/2006/main" w="12700">
          <a:solidFill>
            <a:schemeClr val="accent1">
              <a:lumMod val="20000"/>
              <a:lumOff val="80000"/>
            </a:schemeClr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sk-SK"/>
        </a:p>
      </cdr:txBody>
    </cdr:sp>
  </cdr:relSizeAnchor>
</c:userShapes>
</file>

<file path=xl/drawings/drawing83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152399</xdr:colOff>
      <xdr:row>22</xdr:row>
      <xdr:rowOff>80961</xdr:rowOff>
    </xdr:from>
    <xdr:to>
      <xdr:col>21</xdr:col>
      <xdr:colOff>133350</xdr:colOff>
      <xdr:row>41</xdr:row>
      <xdr:rowOff>9525</xdr:rowOff>
    </xdr:to>
    <xdr:grpSp>
      <xdr:nvGrpSpPr>
        <xdr:cNvPr id="3" name="Skupina 2"/>
        <xdr:cNvGrpSpPr/>
      </xdr:nvGrpSpPr>
      <xdr:grpSpPr>
        <a:xfrm>
          <a:off x="10658474" y="3643311"/>
          <a:ext cx="4810126" cy="3005139"/>
          <a:chOff x="4914899" y="4881561"/>
          <a:chExt cx="4733925" cy="2843213"/>
        </a:xfrm>
      </xdr:grpSpPr>
      <xdr:graphicFrame macro="">
        <xdr:nvGraphicFramePr>
          <xdr:cNvPr id="4" name="Graf 3"/>
          <xdr:cNvGraphicFramePr>
            <a:graphicFrameLocks/>
          </xdr:cNvGraphicFramePr>
        </xdr:nvGraphicFramePr>
        <xdr:xfrm>
          <a:off x="4914899" y="4881561"/>
          <a:ext cx="4733925" cy="2843213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">
        <xdr:nvSpPr>
          <xdr:cNvPr id="5" name="Obdĺžnik 4"/>
          <xdr:cNvSpPr/>
        </xdr:nvSpPr>
        <xdr:spPr>
          <a:xfrm>
            <a:off x="5372250" y="5181598"/>
            <a:ext cx="721635" cy="2514601"/>
          </a:xfrm>
          <a:prstGeom prst="rect">
            <a:avLst/>
          </a:prstGeom>
          <a:solidFill>
            <a:schemeClr val="accent1">
              <a:lumMod val="40000"/>
              <a:lumOff val="60000"/>
              <a:alpha val="37000"/>
            </a:schemeClr>
          </a:solidFill>
          <a:ln w="19050">
            <a:solidFill>
              <a:srgbClr val="0070C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sk-SK" sz="1100"/>
          </a:p>
        </xdr:txBody>
      </xdr:sp>
      <xdr:sp macro="" textlink="">
        <xdr:nvSpPr>
          <xdr:cNvPr id="6" name="Ovál 5"/>
          <xdr:cNvSpPr/>
        </xdr:nvSpPr>
        <xdr:spPr>
          <a:xfrm>
            <a:off x="7324725" y="5219700"/>
            <a:ext cx="1279699" cy="1057275"/>
          </a:xfrm>
          <a:prstGeom prst="ellipse">
            <a:avLst/>
          </a:prstGeom>
          <a:noFill/>
          <a:ln w="19050">
            <a:solidFill>
              <a:srgbClr val="C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sk-SK" sz="1100"/>
          </a:p>
        </xdr:txBody>
      </xdr:sp>
      <xdr:sp macro="" textlink="">
        <xdr:nvSpPr>
          <xdr:cNvPr id="7" name="Ovál 6"/>
          <xdr:cNvSpPr/>
        </xdr:nvSpPr>
        <xdr:spPr>
          <a:xfrm>
            <a:off x="6191250" y="6038850"/>
            <a:ext cx="413737" cy="838200"/>
          </a:xfrm>
          <a:prstGeom prst="ellipse">
            <a:avLst/>
          </a:prstGeom>
          <a:noFill/>
          <a:ln w="19050">
            <a:solidFill>
              <a:srgbClr val="C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sk-SK" sz="1100"/>
          </a:p>
        </xdr:txBody>
      </xdr:sp>
      <xdr:sp macro="" textlink="">
        <xdr:nvSpPr>
          <xdr:cNvPr id="8" name="BlokTextu 7"/>
          <xdr:cNvSpPr txBox="1"/>
        </xdr:nvSpPr>
        <xdr:spPr>
          <a:xfrm>
            <a:off x="5676900" y="7324725"/>
            <a:ext cx="692770" cy="37407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sk-SK" sz="900">
                <a:solidFill>
                  <a:srgbClr val="0070C0"/>
                </a:solidFill>
                <a:latin typeface="Constantia" panose="02030602050306030303" pitchFamily="18" charset="0"/>
              </a:rPr>
              <a:t>vplyv krízy</a:t>
            </a:r>
          </a:p>
        </xdr:txBody>
      </xdr:sp>
      <xdr:sp macro="" textlink="">
        <xdr:nvSpPr>
          <xdr:cNvPr id="9" name="Ovál 8"/>
          <xdr:cNvSpPr/>
        </xdr:nvSpPr>
        <xdr:spPr>
          <a:xfrm>
            <a:off x="6648452" y="5829301"/>
            <a:ext cx="606172" cy="628650"/>
          </a:xfrm>
          <a:prstGeom prst="ellipse">
            <a:avLst/>
          </a:prstGeom>
          <a:noFill/>
          <a:ln w="19050"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sk-SK" sz="1100"/>
          </a:p>
        </xdr:txBody>
      </xdr:sp>
    </xdr:grpSp>
    <xdr:clientData/>
  </xdr:twoCellAnchor>
  <xdr:twoCellAnchor editAs="oneCell">
    <xdr:from>
      <xdr:col>23</xdr:col>
      <xdr:colOff>0</xdr:colOff>
      <xdr:row>20</xdr:row>
      <xdr:rowOff>0</xdr:rowOff>
    </xdr:from>
    <xdr:to>
      <xdr:col>23</xdr:col>
      <xdr:colOff>536494</xdr:colOff>
      <xdr:row>21</xdr:row>
      <xdr:rowOff>106322</xdr:rowOff>
    </xdr:to>
    <xdr:pic>
      <xdr:nvPicPr>
        <xdr:cNvPr id="10" name="Obrázok 9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6554450" y="3238500"/>
          <a:ext cx="536494" cy="268247"/>
        </a:xfrm>
        <a:prstGeom prst="rect">
          <a:avLst/>
        </a:prstGeom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504825</xdr:colOff>
      <xdr:row>1</xdr:row>
      <xdr:rowOff>190500</xdr:rowOff>
    </xdr:from>
    <xdr:to>
      <xdr:col>16</xdr:col>
      <xdr:colOff>200025</xdr:colOff>
      <xdr:row>14</xdr:row>
      <xdr:rowOff>152400</xdr:rowOff>
    </xdr:to>
    <xdr:grpSp>
      <xdr:nvGrpSpPr>
        <xdr:cNvPr id="2" name="Skupina 1"/>
        <xdr:cNvGrpSpPr/>
      </xdr:nvGrpSpPr>
      <xdr:grpSpPr>
        <a:xfrm>
          <a:off x="7867650" y="381000"/>
          <a:ext cx="4572000" cy="2743200"/>
          <a:chOff x="7867650" y="4000500"/>
          <a:chExt cx="4572000" cy="2743200"/>
        </a:xfrm>
      </xdr:grpSpPr>
      <xdr:graphicFrame macro="">
        <xdr:nvGraphicFramePr>
          <xdr:cNvPr id="3" name="Graf 2"/>
          <xdr:cNvGraphicFramePr>
            <a:graphicFrameLocks/>
          </xdr:cNvGraphicFramePr>
        </xdr:nvGraphicFramePr>
        <xdr:xfrm>
          <a:off x="7867650" y="4000500"/>
          <a:ext cx="4572000" cy="27432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grpSp>
        <xdr:nvGrpSpPr>
          <xdr:cNvPr id="4" name="Skupina 3"/>
          <xdr:cNvGrpSpPr/>
        </xdr:nvGrpSpPr>
        <xdr:grpSpPr>
          <a:xfrm>
            <a:off x="9034155" y="4501937"/>
            <a:ext cx="2545993" cy="2026784"/>
            <a:chOff x="10448996" y="4501937"/>
            <a:chExt cx="3008492" cy="2026784"/>
          </a:xfrm>
        </xdr:grpSpPr>
        <xdr:sp macro="" textlink="">
          <xdr:nvSpPr>
            <xdr:cNvPr id="5" name="BlokTextu 4"/>
            <xdr:cNvSpPr txBox="1"/>
          </xdr:nvSpPr>
          <xdr:spPr>
            <a:xfrm rot="20552161">
              <a:off x="10637319" y="4501937"/>
              <a:ext cx="2820169" cy="295275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lang="sk-SK" sz="900" b="1">
                  <a:solidFill>
                    <a:srgbClr val="C00000"/>
                  </a:solidFill>
                  <a:latin typeface="Constantia" panose="02030602050306030303" pitchFamily="18" charset="0"/>
                </a:rPr>
                <a:t>zvýšenie daňových príjmov o 3,4</a:t>
              </a:r>
              <a:r>
                <a:rPr lang="sk-SK" sz="900" b="1" baseline="0">
                  <a:solidFill>
                    <a:srgbClr val="C00000"/>
                  </a:solidFill>
                  <a:latin typeface="Constantia" panose="02030602050306030303" pitchFamily="18" charset="0"/>
                </a:rPr>
                <a:t> </a:t>
              </a:r>
              <a:r>
                <a:rPr lang="sk-SK" sz="900" b="1">
                  <a:solidFill>
                    <a:srgbClr val="C00000"/>
                  </a:solidFill>
                  <a:latin typeface="Constantia" panose="02030602050306030303" pitchFamily="18" charset="0"/>
                </a:rPr>
                <a:t>% HDP</a:t>
              </a:r>
            </a:p>
          </xdr:txBody>
        </xdr:sp>
        <xdr:sp macro="" textlink="">
          <xdr:nvSpPr>
            <xdr:cNvPr id="6" name="BlokTextu 5"/>
            <xdr:cNvSpPr txBox="1"/>
          </xdr:nvSpPr>
          <xdr:spPr>
            <a:xfrm rot="302076">
              <a:off x="10448996" y="6249826"/>
              <a:ext cx="2767459" cy="278895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lang="sk-SK" sz="900" b="1">
                  <a:solidFill>
                    <a:srgbClr val="C00000"/>
                  </a:solidFill>
                  <a:latin typeface="Constantia" panose="02030602050306030303" pitchFamily="18" charset="0"/>
                </a:rPr>
                <a:t>zhoršenie cieľa</a:t>
              </a:r>
              <a:r>
                <a:rPr lang="sk-SK" sz="900" b="1" baseline="0">
                  <a:solidFill>
                    <a:srgbClr val="C00000"/>
                  </a:solidFill>
                  <a:latin typeface="Constantia" panose="02030602050306030303" pitchFamily="18" charset="0"/>
                </a:rPr>
                <a:t> deficitu VS o 0,8 % HDP</a:t>
              </a:r>
              <a:endParaRPr lang="sk-SK" sz="900" b="1">
                <a:solidFill>
                  <a:srgbClr val="C00000"/>
                </a:solidFill>
                <a:latin typeface="Constantia" panose="02030602050306030303" pitchFamily="18" charset="0"/>
              </a:endParaRPr>
            </a:p>
          </xdr:txBody>
        </xdr:sp>
      </xdr:grpSp>
    </xdr:grpSp>
    <xdr:clientData/>
  </xdr:twoCellAnchor>
  <xdr:twoCellAnchor editAs="oneCell">
    <xdr:from>
      <xdr:col>18</xdr:col>
      <xdr:colOff>0</xdr:colOff>
      <xdr:row>1</xdr:row>
      <xdr:rowOff>0</xdr:rowOff>
    </xdr:from>
    <xdr:to>
      <xdr:col>18</xdr:col>
      <xdr:colOff>536494</xdr:colOff>
      <xdr:row>1</xdr:row>
      <xdr:rowOff>268247</xdr:rowOff>
    </xdr:to>
    <xdr:pic>
      <xdr:nvPicPr>
        <xdr:cNvPr id="7" name="Obrázok 6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5039975" y="161925"/>
          <a:ext cx="536494" cy="268247"/>
        </a:xfrm>
        <a:prstGeom prst="rect">
          <a:avLst/>
        </a:prstGeom>
      </xdr:spPr>
    </xdr:pic>
    <xdr:clientData/>
  </xdr:twoCellAnchor>
</xdr:wsDr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0.26629</cdr:x>
      <cdr:y>0.12153</cdr:y>
    </cdr:from>
    <cdr:to>
      <cdr:x>0.82868</cdr:x>
      <cdr:y>0.42708</cdr:y>
    </cdr:to>
    <cdr:cxnSp macro="">
      <cdr:nvCxnSpPr>
        <cdr:cNvPr id="4" name="Rovná spojovacia šípka 3"/>
        <cdr:cNvCxnSpPr/>
      </cdr:nvCxnSpPr>
      <cdr:spPr>
        <a:xfrm xmlns:a="http://schemas.openxmlformats.org/drawingml/2006/main" flipV="1">
          <a:off x="1362075" y="333375"/>
          <a:ext cx="2876550" cy="838200"/>
        </a:xfrm>
        <a:prstGeom xmlns:a="http://schemas.openxmlformats.org/drawingml/2006/main" prst="straightConnector1">
          <a:avLst/>
        </a:prstGeom>
        <a:ln xmlns:a="http://schemas.openxmlformats.org/drawingml/2006/main" w="19050">
          <a:solidFill>
            <a:srgbClr val="C00000"/>
          </a:solidFill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0.07409</cdr:x>
      <cdr:y>0</cdr:y>
    </cdr:from>
    <cdr:to>
      <cdr:x>0.85661</cdr:x>
      <cdr:y>0.86111</cdr:y>
    </cdr:to>
    <cdr:grpSp>
      <cdr:nvGrpSpPr>
        <cdr:cNvPr id="9" name="Skupina 8"/>
        <cdr:cNvGrpSpPr/>
      </cdr:nvGrpSpPr>
      <cdr:grpSpPr>
        <a:xfrm xmlns:a="http://schemas.openxmlformats.org/drawingml/2006/main">
          <a:off x="338739" y="0"/>
          <a:ext cx="3577682" cy="2362197"/>
          <a:chOff x="378946" y="1"/>
          <a:chExt cx="4002554" cy="2362199"/>
        </a:xfrm>
      </cdr:grpSpPr>
      <cdr:sp macro="" textlink="">
        <cdr:nvSpPr>
          <cdr:cNvPr id="2" name="BlokTextu 1"/>
          <cdr:cNvSpPr txBox="1"/>
        </cdr:nvSpPr>
        <cdr:spPr>
          <a:xfrm xmlns:a="http://schemas.openxmlformats.org/drawingml/2006/main" rot="16200000">
            <a:off x="163047" y="215900"/>
            <a:ext cx="655576" cy="223778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vertOverflow="clip" wrap="square" rtlCol="0"/>
          <a:lstStyle xmlns:a="http://schemas.openxmlformats.org/drawingml/2006/main"/>
          <a:p xmlns:a="http://schemas.openxmlformats.org/drawingml/2006/main">
            <a:r>
              <a:rPr lang="sk-SK" sz="800" i="1">
                <a:latin typeface="Constantia" panose="02030602050306030303" pitchFamily="18" charset="0"/>
              </a:rPr>
              <a:t>(% HDP)</a:t>
            </a:r>
          </a:p>
        </cdr:txBody>
      </cdr:sp>
      <cdr:cxnSp macro="">
        <cdr:nvCxnSpPr>
          <cdr:cNvPr id="5" name="Rovná spojovacia šípka 4"/>
          <cdr:cNvCxnSpPr/>
        </cdr:nvCxnSpPr>
        <cdr:spPr>
          <a:xfrm xmlns:a="http://schemas.openxmlformats.org/drawingml/2006/main">
            <a:off x="993775" y="2079625"/>
            <a:ext cx="3387725" cy="282575"/>
          </a:xfrm>
          <a:prstGeom xmlns:a="http://schemas.openxmlformats.org/drawingml/2006/main" prst="straightConnector1">
            <a:avLst/>
          </a:prstGeom>
          <a:ln xmlns:a="http://schemas.openxmlformats.org/drawingml/2006/main" w="19050">
            <a:solidFill>
              <a:srgbClr val="C00000"/>
            </a:solidFill>
            <a:tailEnd type="triangle"/>
          </a:ln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</cdr:cxnSp>
    </cdr:grpSp>
  </cdr:relSizeAnchor>
</c:userShapes>
</file>

<file path=xl/drawings/drawing8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590550</xdr:colOff>
      <xdr:row>1</xdr:row>
      <xdr:rowOff>9525</xdr:rowOff>
    </xdr:from>
    <xdr:to>
      <xdr:col>18</xdr:col>
      <xdr:colOff>38100</xdr:colOff>
      <xdr:row>17</xdr:row>
      <xdr:rowOff>95250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19</xdr:col>
      <xdr:colOff>571500</xdr:colOff>
      <xdr:row>1</xdr:row>
      <xdr:rowOff>47626</xdr:rowOff>
    </xdr:from>
    <xdr:to>
      <xdr:col>29</xdr:col>
      <xdr:colOff>19050</xdr:colOff>
      <xdr:row>17</xdr:row>
      <xdr:rowOff>66676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31</xdr:col>
      <xdr:colOff>0</xdr:colOff>
      <xdr:row>1</xdr:row>
      <xdr:rowOff>0</xdr:rowOff>
    </xdr:from>
    <xdr:to>
      <xdr:col>31</xdr:col>
      <xdr:colOff>536494</xdr:colOff>
      <xdr:row>2</xdr:row>
      <xdr:rowOff>77747</xdr:rowOff>
    </xdr:to>
    <xdr:pic>
      <xdr:nvPicPr>
        <xdr:cNvPr id="4" name="Obrázok 3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5039975" y="161925"/>
          <a:ext cx="536494" cy="268247"/>
        </a:xfrm>
        <a:prstGeom prst="rect">
          <a:avLst/>
        </a:prstGeom>
      </xdr:spPr>
    </xdr:pic>
    <xdr:clientData/>
  </xdr:twoCellAnchor>
</xdr:wsDr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0.27606</cdr:x>
      <cdr:y>0.27356</cdr:y>
    </cdr:from>
    <cdr:to>
      <cdr:x>0.96303</cdr:x>
      <cdr:y>0.55319</cdr:y>
    </cdr:to>
    <cdr:cxnSp macro="">
      <cdr:nvCxnSpPr>
        <cdr:cNvPr id="4" name="Straight Arrow Connector 3"/>
        <cdr:cNvCxnSpPr/>
      </cdr:nvCxnSpPr>
      <cdr:spPr>
        <a:xfrm xmlns:a="http://schemas.openxmlformats.org/drawingml/2006/main">
          <a:off x="1564536" y="857262"/>
          <a:ext cx="3893289" cy="876288"/>
        </a:xfrm>
        <a:prstGeom xmlns:a="http://schemas.openxmlformats.org/drawingml/2006/main" prst="straightConnector1">
          <a:avLst/>
        </a:prstGeom>
        <a:ln xmlns:a="http://schemas.openxmlformats.org/drawingml/2006/main" w="28575">
          <a:solidFill>
            <a:srgbClr val="FF0000"/>
          </a:solidFill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0.24324</cdr:x>
      <cdr:y>0.44377</cdr:y>
    </cdr:from>
    <cdr:to>
      <cdr:x>0.55019</cdr:x>
      <cdr:y>0.84802</cdr:y>
    </cdr:to>
    <cdr:sp macro="" textlink="">
      <cdr:nvSpPr>
        <cdr:cNvPr id="16" name="Up Arrow Callout 15"/>
        <cdr:cNvSpPr/>
      </cdr:nvSpPr>
      <cdr:spPr>
        <a:xfrm xmlns:a="http://schemas.openxmlformats.org/drawingml/2006/main">
          <a:off x="1200150" y="1390650"/>
          <a:ext cx="1514475" cy="1266825"/>
        </a:xfrm>
        <a:prstGeom xmlns:a="http://schemas.openxmlformats.org/drawingml/2006/main" prst="upArrowCallout">
          <a:avLst>
            <a:gd name="adj1" fmla="val 5373"/>
            <a:gd name="adj2" fmla="val 6879"/>
            <a:gd name="adj3" fmla="val 25000"/>
            <a:gd name="adj4" fmla="val 64977"/>
          </a:avLst>
        </a:prstGeom>
        <a:solidFill xmlns:a="http://schemas.openxmlformats.org/drawingml/2006/main">
          <a:srgbClr val="B2DCF8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k-SK" sz="1100" i="1">
              <a:solidFill>
                <a:schemeClr val="tx1"/>
              </a:solidFill>
              <a:effectLst/>
              <a:latin typeface="Constantia" panose="02030602050306030303" pitchFamily="18" charset="0"/>
              <a:ea typeface="+mn-ea"/>
              <a:cs typeface="+mn-cs"/>
            </a:rPr>
            <a:t>V roku 2012 celú výšku prekvapení tvoria</a:t>
          </a:r>
          <a:r>
            <a:rPr lang="sk-SK" sz="1100" i="1" baseline="0">
              <a:solidFill>
                <a:schemeClr val="tx1"/>
              </a:solidFill>
              <a:effectLst/>
              <a:latin typeface="Constantia" panose="02030602050306030303" pitchFamily="18" charset="0"/>
              <a:ea typeface="+mn-ea"/>
              <a:cs typeface="+mn-cs"/>
            </a:rPr>
            <a:t> legislatívne zmeny v daniach a odvodoch.</a:t>
          </a:r>
          <a:endParaRPr lang="sk-SK" i="1">
            <a:solidFill>
              <a:schemeClr val="tx1"/>
            </a:solidFill>
            <a:effectLst/>
            <a:latin typeface="Constantia" panose="02030602050306030303" pitchFamily="18" charset="0"/>
          </a:endParaRPr>
        </a:p>
        <a:p xmlns:a="http://schemas.openxmlformats.org/drawingml/2006/main">
          <a:endParaRPr lang="sk-SK">
            <a:solidFill>
              <a:schemeClr val="tx1"/>
            </a:solidFill>
          </a:endParaRPr>
        </a:p>
      </cdr:txBody>
    </cdr:sp>
  </cdr:relSizeAnchor>
  <cdr:relSizeAnchor xmlns:cdr="http://schemas.openxmlformats.org/drawingml/2006/chartDrawing">
    <cdr:from>
      <cdr:x>0.57014</cdr:x>
      <cdr:y>0.01216</cdr:y>
    </cdr:from>
    <cdr:to>
      <cdr:x>1</cdr:x>
      <cdr:y>0.95441</cdr:y>
    </cdr:to>
    <cdr:sp macro="" textlink="">
      <cdr:nvSpPr>
        <cdr:cNvPr id="17" name="Oval 16"/>
        <cdr:cNvSpPr/>
      </cdr:nvSpPr>
      <cdr:spPr>
        <a:xfrm xmlns:a="http://schemas.openxmlformats.org/drawingml/2006/main">
          <a:off x="2813050" y="38100"/>
          <a:ext cx="2120900" cy="2952749"/>
        </a:xfrm>
        <a:prstGeom xmlns:a="http://schemas.openxmlformats.org/drawingml/2006/main" prst="ellipse">
          <a:avLst/>
        </a:prstGeom>
        <a:solidFill xmlns:a="http://schemas.openxmlformats.org/drawingml/2006/main">
          <a:srgbClr val="FF0000">
            <a:alpha val="16000"/>
          </a:srgb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sk-SK"/>
        </a:p>
      </cdr:txBody>
    </cdr:sp>
  </cdr:relSizeAnchor>
  <cdr:relSizeAnchor xmlns:cdr="http://schemas.openxmlformats.org/drawingml/2006/chartDrawing">
    <cdr:from>
      <cdr:x>0.06628</cdr:x>
      <cdr:y>0.32219</cdr:y>
    </cdr:from>
    <cdr:to>
      <cdr:x>0.20463</cdr:x>
      <cdr:y>0.90375</cdr:y>
    </cdr:to>
    <cdr:sp macro="" textlink="">
      <cdr:nvSpPr>
        <cdr:cNvPr id="18" name="Oval 17"/>
        <cdr:cNvSpPr/>
      </cdr:nvSpPr>
      <cdr:spPr>
        <a:xfrm xmlns:a="http://schemas.openxmlformats.org/drawingml/2006/main">
          <a:off x="327025" y="1009650"/>
          <a:ext cx="682625" cy="1822449"/>
        </a:xfrm>
        <a:prstGeom xmlns:a="http://schemas.openxmlformats.org/drawingml/2006/main" prst="ellipse">
          <a:avLst/>
        </a:prstGeom>
        <a:solidFill xmlns:a="http://schemas.openxmlformats.org/drawingml/2006/main">
          <a:srgbClr val="FF0000">
            <a:alpha val="16000"/>
          </a:srgb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sk-SK"/>
        </a:p>
      </cdr:txBody>
    </cdr:sp>
  </cdr:relSizeAnchor>
</c:userShapes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0.07722</cdr:x>
      <cdr:y>0.48632</cdr:y>
    </cdr:from>
    <cdr:to>
      <cdr:x>0.22201</cdr:x>
      <cdr:y>0.95745</cdr:y>
    </cdr:to>
    <cdr:sp macro="" textlink="">
      <cdr:nvSpPr>
        <cdr:cNvPr id="2" name="Oval 1"/>
        <cdr:cNvSpPr/>
      </cdr:nvSpPr>
      <cdr:spPr>
        <a:xfrm xmlns:a="http://schemas.openxmlformats.org/drawingml/2006/main">
          <a:off x="381000" y="1524000"/>
          <a:ext cx="714375" cy="1476375"/>
        </a:xfrm>
        <a:prstGeom xmlns:a="http://schemas.openxmlformats.org/drawingml/2006/main" prst="ellipse">
          <a:avLst/>
        </a:prstGeom>
        <a:solidFill xmlns:a="http://schemas.openxmlformats.org/drawingml/2006/main">
          <a:srgbClr val="FF0000">
            <a:alpha val="16000"/>
          </a:srgb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sk-SK"/>
        </a:p>
      </cdr:txBody>
    </cdr:sp>
  </cdr:relSizeAnchor>
  <cdr:relSizeAnchor xmlns:cdr="http://schemas.openxmlformats.org/drawingml/2006/chartDrawing">
    <cdr:from>
      <cdr:x>0.57014</cdr:x>
      <cdr:y>0.00709</cdr:y>
    </cdr:from>
    <cdr:to>
      <cdr:x>1</cdr:x>
      <cdr:y>0.47822</cdr:y>
    </cdr:to>
    <cdr:sp macro="" textlink="">
      <cdr:nvSpPr>
        <cdr:cNvPr id="3" name="Oval 2"/>
        <cdr:cNvSpPr/>
      </cdr:nvSpPr>
      <cdr:spPr>
        <a:xfrm xmlns:a="http://schemas.openxmlformats.org/drawingml/2006/main">
          <a:off x="2813050" y="22225"/>
          <a:ext cx="2120900" cy="1476375"/>
        </a:xfrm>
        <a:prstGeom xmlns:a="http://schemas.openxmlformats.org/drawingml/2006/main" prst="ellipse">
          <a:avLst/>
        </a:prstGeom>
        <a:solidFill xmlns:a="http://schemas.openxmlformats.org/drawingml/2006/main">
          <a:srgbClr val="FF0000">
            <a:alpha val="16000"/>
          </a:srgb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sk-SK"/>
        </a:p>
      </cdr:txBody>
    </cdr:sp>
  </cdr:relSizeAnchor>
</c:userShapes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171450</xdr:colOff>
      <xdr:row>4</xdr:row>
      <xdr:rowOff>95250</xdr:rowOff>
    </xdr:from>
    <xdr:to>
      <xdr:col>16</xdr:col>
      <xdr:colOff>406276</xdr:colOff>
      <xdr:row>29</xdr:row>
      <xdr:rowOff>122626</xdr:rowOff>
    </xdr:to>
    <xdr:grpSp>
      <xdr:nvGrpSpPr>
        <xdr:cNvPr id="2" name="Skupina 1"/>
        <xdr:cNvGrpSpPr/>
      </xdr:nvGrpSpPr>
      <xdr:grpSpPr>
        <a:xfrm>
          <a:off x="4429125" y="857250"/>
          <a:ext cx="10245601" cy="4789876"/>
          <a:chOff x="10118482" y="10470173"/>
          <a:chExt cx="9896839" cy="4789876"/>
        </a:xfrm>
        <a:noFill/>
        <a:effectLst>
          <a:outerShdw blurRad="50800" dist="50800" dir="5400000" algn="ctr" rotWithShape="0">
            <a:schemeClr val="bg1"/>
          </a:outerShdw>
        </a:effectLst>
      </xdr:grpSpPr>
      <xdr:grpSp>
        <xdr:nvGrpSpPr>
          <xdr:cNvPr id="3" name="Skupina 2"/>
          <xdr:cNvGrpSpPr/>
        </xdr:nvGrpSpPr>
        <xdr:grpSpPr>
          <a:xfrm>
            <a:off x="10155115" y="12573000"/>
            <a:ext cx="9860206" cy="2687049"/>
            <a:chOff x="8668638" y="9380284"/>
            <a:chExt cx="9895794" cy="2687049"/>
          </a:xfrm>
          <a:grpFill/>
        </xdr:grpSpPr>
        <xdr:graphicFrame macro="">
          <xdr:nvGraphicFramePr>
            <xdr:cNvPr id="8" name="Chart 12"/>
            <xdr:cNvGraphicFramePr>
              <a:graphicFrameLocks/>
            </xdr:cNvGraphicFramePr>
          </xdr:nvGraphicFramePr>
          <xdr:xfrm>
            <a:off x="8668638" y="9380284"/>
            <a:ext cx="4584245" cy="2676524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1"/>
            </a:graphicData>
          </a:graphic>
        </xdr:graphicFrame>
        <xdr:graphicFrame macro="">
          <xdr:nvGraphicFramePr>
            <xdr:cNvPr id="9" name="Chart 15"/>
            <xdr:cNvGraphicFramePr>
              <a:graphicFrameLocks/>
            </xdr:cNvGraphicFramePr>
          </xdr:nvGraphicFramePr>
          <xdr:xfrm>
            <a:off x="14021006" y="9411871"/>
            <a:ext cx="4543426" cy="2655462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2"/>
            </a:graphicData>
          </a:graphic>
        </xdr:graphicFrame>
        <xdr:graphicFrame macro="">
          <xdr:nvGraphicFramePr>
            <xdr:cNvPr id="10" name="Chart 10"/>
            <xdr:cNvGraphicFramePr>
              <a:graphicFrameLocks/>
            </xdr:cNvGraphicFramePr>
          </xdr:nvGraphicFramePr>
          <xdr:xfrm>
            <a:off x="11290734" y="9388929"/>
            <a:ext cx="4534374" cy="2655462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3"/>
            </a:graphicData>
          </a:graphic>
        </xdr:graphicFrame>
      </xdr:grpSp>
      <xdr:graphicFrame macro="">
        <xdr:nvGraphicFramePr>
          <xdr:cNvPr id="4" name="Chart 1"/>
          <xdr:cNvGraphicFramePr>
            <a:graphicFrameLocks/>
          </xdr:cNvGraphicFramePr>
        </xdr:nvGraphicFramePr>
        <xdr:xfrm>
          <a:off x="10118482" y="10470173"/>
          <a:ext cx="9655876" cy="2007577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4"/>
          </a:graphicData>
        </a:graphic>
      </xdr:graphicFrame>
      <xdr:pic>
        <xdr:nvPicPr>
          <xdr:cNvPr id="5" name="Obrázok 4"/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 rot="20911953" flipH="1">
            <a:off x="12315721" y="11747819"/>
            <a:ext cx="214448" cy="951377"/>
          </a:xfrm>
          <a:prstGeom prst="rect">
            <a:avLst/>
          </a:prstGeom>
          <a:grpFill/>
          <a:ln>
            <a:solidFill>
              <a:schemeClr val="bg1"/>
            </a:solidFill>
          </a:ln>
          <a:effectLst>
            <a:outerShdw blurRad="50800" dist="50800" dir="5400000" algn="ctr" rotWithShape="0">
              <a:srgbClr val="000000">
                <a:alpha val="0"/>
              </a:srgbClr>
            </a:outerShdw>
          </a:effectLst>
        </xdr:spPr>
      </xdr:pic>
      <xdr:pic>
        <xdr:nvPicPr>
          <xdr:cNvPr id="6" name="Obrázok 5"/>
          <xdr:cNvPicPr>
            <a:picLocks noChangeAspect="1"/>
          </xdr:cNvPicPr>
        </xdr:nvPicPr>
        <xdr:blipFill>
          <a:blip xmlns:r="http://schemas.openxmlformats.org/officeDocument/2006/relationships" r:embed="rId6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 rot="20395615" flipH="1">
            <a:off x="14599396" y="11722539"/>
            <a:ext cx="199060" cy="1016011"/>
          </a:xfrm>
          <a:prstGeom prst="rect">
            <a:avLst/>
          </a:prstGeom>
          <a:grpFill/>
          <a:ln>
            <a:solidFill>
              <a:schemeClr val="bg1"/>
            </a:solidFill>
          </a:ln>
        </xdr:spPr>
      </xdr:pic>
      <xdr:pic>
        <xdr:nvPicPr>
          <xdr:cNvPr id="7" name="Obrázok 6"/>
          <xdr:cNvPicPr>
            <a:picLocks noChangeAspect="1"/>
          </xdr:cNvPicPr>
        </xdr:nvPicPr>
        <xdr:blipFill>
          <a:blip xmlns:r="http://schemas.openxmlformats.org/officeDocument/2006/relationships" r:embed="rId6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 rot="20710252">
            <a:off x="16805260" y="11735737"/>
            <a:ext cx="226926" cy="1116193"/>
          </a:xfrm>
          <a:prstGeom prst="rect">
            <a:avLst/>
          </a:prstGeom>
          <a:grpFill/>
          <a:ln>
            <a:solidFill>
              <a:schemeClr val="bg1"/>
            </a:solidFill>
          </a:ln>
          <a:effectLst>
            <a:outerShdw blurRad="50800" dist="50800" dir="5400000" algn="ctr" rotWithShape="0">
              <a:schemeClr val="bg1"/>
            </a:outerShdw>
          </a:effectLst>
        </xdr:spPr>
      </xdr:pic>
    </xdr:grpSp>
    <xdr:clientData/>
  </xdr:twoCellAnchor>
  <xdr:twoCellAnchor editAs="oneCell">
    <xdr:from>
      <xdr:col>18</xdr:col>
      <xdr:colOff>0</xdr:colOff>
      <xdr:row>1</xdr:row>
      <xdr:rowOff>0</xdr:rowOff>
    </xdr:from>
    <xdr:to>
      <xdr:col>18</xdr:col>
      <xdr:colOff>536494</xdr:colOff>
      <xdr:row>2</xdr:row>
      <xdr:rowOff>77747</xdr:rowOff>
    </xdr:to>
    <xdr:pic>
      <xdr:nvPicPr>
        <xdr:cNvPr id="11" name="Obrázok 10">
          <a:hlinkClick xmlns:r="http://schemas.openxmlformats.org/officeDocument/2006/relationships" r:id="rId7"/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5487650" y="190500"/>
          <a:ext cx="536494" cy="268247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1</xdr:row>
      <xdr:rowOff>0</xdr:rowOff>
    </xdr:from>
    <xdr:to>
      <xdr:col>9</xdr:col>
      <xdr:colOff>536494</xdr:colOff>
      <xdr:row>2</xdr:row>
      <xdr:rowOff>77747</xdr:rowOff>
    </xdr:to>
    <xdr:pic>
      <xdr:nvPicPr>
        <xdr:cNvPr id="2" name="Obrázok 1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467475" y="209550"/>
          <a:ext cx="536494" cy="268247"/>
        </a:xfrm>
        <a:prstGeom prst="rect">
          <a:avLst/>
        </a:prstGeom>
      </xdr:spPr>
    </xdr:pic>
    <xdr:clientData/>
  </xdr:twoCellAnchor>
</xdr:wsDr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0.40222</cdr:x>
      <cdr:y>0.16518</cdr:y>
    </cdr:from>
    <cdr:to>
      <cdr:x>0.52436</cdr:x>
      <cdr:y>0.29171</cdr:y>
    </cdr:to>
    <cdr:sp macro="" textlink="">
      <cdr:nvSpPr>
        <cdr:cNvPr id="2" name="BlokTextu 1"/>
        <cdr:cNvSpPr txBox="1"/>
      </cdr:nvSpPr>
      <cdr:spPr>
        <a:xfrm xmlns:a="http://schemas.openxmlformats.org/drawingml/2006/main">
          <a:off x="1901994" y="442107"/>
          <a:ext cx="577567" cy="33866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sk-SK" sz="1050" b="1">
              <a:solidFill>
                <a:schemeClr val="tx1">
                  <a:lumMod val="85000"/>
                  <a:lumOff val="15000"/>
                </a:schemeClr>
              </a:solidFill>
              <a:latin typeface="Constantia" panose="02030602050306030303" pitchFamily="18" charset="0"/>
            </a:rPr>
            <a:t>-475</a:t>
          </a:r>
        </a:p>
      </cdr:txBody>
    </cdr:sp>
  </cdr:relSizeAnchor>
  <cdr:relSizeAnchor xmlns:cdr="http://schemas.openxmlformats.org/drawingml/2006/chartDrawing">
    <cdr:from>
      <cdr:x>0.33716</cdr:x>
      <cdr:y>0.72321</cdr:y>
    </cdr:from>
    <cdr:to>
      <cdr:x>0.45929</cdr:x>
      <cdr:y>0.84974</cdr:y>
    </cdr:to>
    <cdr:sp macro="" textlink="">
      <cdr:nvSpPr>
        <cdr:cNvPr id="3" name="BlokTextu 1"/>
        <cdr:cNvSpPr txBox="1"/>
      </cdr:nvSpPr>
      <cdr:spPr>
        <a:xfrm xmlns:a="http://schemas.openxmlformats.org/drawingml/2006/main">
          <a:off x="1594330" y="1935700"/>
          <a:ext cx="577519" cy="3386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sk-SK" sz="1050" b="1">
              <a:solidFill>
                <a:schemeClr val="tx1">
                  <a:lumMod val="85000"/>
                  <a:lumOff val="15000"/>
                </a:schemeClr>
              </a:solidFill>
              <a:latin typeface="Constantia" panose="02030602050306030303" pitchFamily="18" charset="0"/>
            </a:rPr>
            <a:t>-143</a:t>
          </a:r>
        </a:p>
      </cdr:txBody>
    </cdr:sp>
  </cdr:relSizeAnchor>
  <cdr:relSizeAnchor xmlns:cdr="http://schemas.openxmlformats.org/drawingml/2006/chartDrawing">
    <cdr:from>
      <cdr:x>0.52015</cdr:x>
      <cdr:y>0.76156</cdr:y>
    </cdr:from>
    <cdr:to>
      <cdr:x>0.64228</cdr:x>
      <cdr:y>0.88809</cdr:y>
    </cdr:to>
    <cdr:sp macro="" textlink="">
      <cdr:nvSpPr>
        <cdr:cNvPr id="4" name="BlokTextu 1"/>
        <cdr:cNvSpPr txBox="1"/>
      </cdr:nvSpPr>
      <cdr:spPr>
        <a:xfrm xmlns:a="http://schemas.openxmlformats.org/drawingml/2006/main">
          <a:off x="2459640" y="2038344"/>
          <a:ext cx="577519" cy="33866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sk-SK" sz="1050" b="1">
              <a:solidFill>
                <a:schemeClr val="tx1">
                  <a:lumMod val="85000"/>
                  <a:lumOff val="15000"/>
                </a:schemeClr>
              </a:solidFill>
              <a:latin typeface="Constantia" panose="02030602050306030303" pitchFamily="18" charset="0"/>
            </a:rPr>
            <a:t>-98</a:t>
          </a:r>
        </a:p>
      </cdr:txBody>
    </cdr:sp>
  </cdr:relSizeAnchor>
  <cdr:relSizeAnchor xmlns:cdr="http://schemas.openxmlformats.org/drawingml/2006/chartDrawing">
    <cdr:from>
      <cdr:x>0.6251</cdr:x>
      <cdr:y>0.58482</cdr:y>
    </cdr:from>
    <cdr:to>
      <cdr:x>0.74724</cdr:x>
      <cdr:y>0.71135</cdr:y>
    </cdr:to>
    <cdr:sp macro="" textlink="">
      <cdr:nvSpPr>
        <cdr:cNvPr id="5" name="BlokTextu 1"/>
        <cdr:cNvSpPr txBox="1"/>
      </cdr:nvSpPr>
      <cdr:spPr>
        <a:xfrm xmlns:a="http://schemas.openxmlformats.org/drawingml/2006/main">
          <a:off x="2955925" y="1565275"/>
          <a:ext cx="577567" cy="33866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sk-SK" sz="1050" b="1">
              <a:solidFill>
                <a:schemeClr val="tx1">
                  <a:lumMod val="85000"/>
                  <a:lumOff val="15000"/>
                </a:schemeClr>
              </a:solidFill>
              <a:latin typeface="Constantia" panose="02030602050306030303" pitchFamily="18" charset="0"/>
            </a:rPr>
            <a:t>-85</a:t>
          </a:r>
        </a:p>
      </cdr:txBody>
    </cdr:sp>
  </cdr:relSizeAnchor>
</c:userShapes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0.24167</cdr:x>
      <cdr:y>0.33957</cdr:y>
    </cdr:from>
    <cdr:to>
      <cdr:x>0.3649</cdr:x>
      <cdr:y>0.4671</cdr:y>
    </cdr:to>
    <cdr:sp macro="" textlink="">
      <cdr:nvSpPr>
        <cdr:cNvPr id="2" name="BlokTextu 1"/>
        <cdr:cNvSpPr txBox="1"/>
      </cdr:nvSpPr>
      <cdr:spPr>
        <a:xfrm xmlns:a="http://schemas.openxmlformats.org/drawingml/2006/main">
          <a:off x="1132613" y="901707"/>
          <a:ext cx="577532" cy="33865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sk-SK" sz="1050" b="1">
              <a:solidFill>
                <a:schemeClr val="tx1">
                  <a:lumMod val="85000"/>
                  <a:lumOff val="15000"/>
                </a:schemeClr>
              </a:solidFill>
              <a:latin typeface="Constantia" panose="02030602050306030303" pitchFamily="18" charset="0"/>
            </a:rPr>
            <a:t>+819</a:t>
          </a:r>
        </a:p>
      </cdr:txBody>
    </cdr:sp>
  </cdr:relSizeAnchor>
  <cdr:relSizeAnchor xmlns:cdr="http://schemas.openxmlformats.org/drawingml/2006/chartDrawing">
    <cdr:from>
      <cdr:x>0.60085</cdr:x>
      <cdr:y>0.39895</cdr:y>
    </cdr:from>
    <cdr:to>
      <cdr:x>0.72407</cdr:x>
      <cdr:y>0.52649</cdr:y>
    </cdr:to>
    <cdr:sp macro="" textlink="">
      <cdr:nvSpPr>
        <cdr:cNvPr id="3" name="BlokTextu 1"/>
        <cdr:cNvSpPr txBox="1"/>
      </cdr:nvSpPr>
      <cdr:spPr>
        <a:xfrm xmlns:a="http://schemas.openxmlformats.org/drawingml/2006/main">
          <a:off x="2815938" y="1059389"/>
          <a:ext cx="577485" cy="33867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sk-SK" sz="1050" b="1">
              <a:solidFill>
                <a:schemeClr val="tx1">
                  <a:lumMod val="85000"/>
                  <a:lumOff val="15000"/>
                </a:schemeClr>
              </a:solidFill>
              <a:latin typeface="Constantia" panose="02030602050306030303" pitchFamily="18" charset="0"/>
            </a:rPr>
            <a:t>+13</a:t>
          </a:r>
        </a:p>
      </cdr:txBody>
    </cdr:sp>
  </cdr:relSizeAnchor>
  <cdr:relSizeAnchor xmlns:cdr="http://schemas.openxmlformats.org/drawingml/2006/chartDrawing">
    <cdr:from>
      <cdr:x>0.60871</cdr:x>
      <cdr:y>0.4946</cdr:y>
    </cdr:from>
    <cdr:to>
      <cdr:x>0.73194</cdr:x>
      <cdr:y>0.62214</cdr:y>
    </cdr:to>
    <cdr:sp macro="" textlink="">
      <cdr:nvSpPr>
        <cdr:cNvPr id="4" name="BlokTextu 1"/>
        <cdr:cNvSpPr txBox="1"/>
      </cdr:nvSpPr>
      <cdr:spPr>
        <a:xfrm xmlns:a="http://schemas.openxmlformats.org/drawingml/2006/main">
          <a:off x="2852792" y="1313386"/>
          <a:ext cx="577533" cy="33867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sk-SK" sz="1050" b="1">
              <a:solidFill>
                <a:schemeClr val="tx1">
                  <a:lumMod val="85000"/>
                  <a:lumOff val="15000"/>
                </a:schemeClr>
              </a:solidFill>
              <a:latin typeface="Constantia" panose="02030602050306030303" pitchFamily="18" charset="0"/>
            </a:rPr>
            <a:t>+73</a:t>
          </a:r>
        </a:p>
      </cdr:txBody>
    </cdr:sp>
  </cdr:relSizeAnchor>
  <cdr:relSizeAnchor xmlns:cdr="http://schemas.openxmlformats.org/drawingml/2006/chartDrawing">
    <cdr:from>
      <cdr:x>0.59466</cdr:x>
      <cdr:y>0.32402</cdr:y>
    </cdr:from>
    <cdr:to>
      <cdr:x>0.71789</cdr:x>
      <cdr:y>0.45155</cdr:y>
    </cdr:to>
    <cdr:sp macro="" textlink="">
      <cdr:nvSpPr>
        <cdr:cNvPr id="5" name="BlokTextu 1"/>
        <cdr:cNvSpPr txBox="1"/>
      </cdr:nvSpPr>
      <cdr:spPr>
        <a:xfrm xmlns:a="http://schemas.openxmlformats.org/drawingml/2006/main">
          <a:off x="2786966" y="860430"/>
          <a:ext cx="577532" cy="33865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sk-SK" sz="1050" b="1">
              <a:solidFill>
                <a:schemeClr val="tx1">
                  <a:lumMod val="85000"/>
                  <a:lumOff val="15000"/>
                </a:schemeClr>
              </a:solidFill>
              <a:latin typeface="Constantia" panose="02030602050306030303" pitchFamily="18" charset="0"/>
            </a:rPr>
            <a:t>+37</a:t>
          </a:r>
        </a:p>
      </cdr:txBody>
    </cdr:sp>
  </cdr:relSizeAnchor>
</c:userShapes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0.36173</cdr:x>
      <cdr:y>0.17496</cdr:y>
    </cdr:from>
    <cdr:to>
      <cdr:x>0.48521</cdr:x>
      <cdr:y>0.30249</cdr:y>
    </cdr:to>
    <cdr:sp macro="" textlink="">
      <cdr:nvSpPr>
        <cdr:cNvPr id="2" name="BlokTextu 1"/>
        <cdr:cNvSpPr txBox="1"/>
      </cdr:nvSpPr>
      <cdr:spPr>
        <a:xfrm xmlns:a="http://schemas.openxmlformats.org/drawingml/2006/main">
          <a:off x="1691922" y="464612"/>
          <a:ext cx="577551" cy="33865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sk-SK" sz="1050" b="1">
              <a:solidFill>
                <a:schemeClr val="tx1">
                  <a:lumMod val="85000"/>
                  <a:lumOff val="15000"/>
                </a:schemeClr>
              </a:solidFill>
              <a:latin typeface="Constantia" panose="02030602050306030303" pitchFamily="18" charset="0"/>
            </a:rPr>
            <a:t>-93</a:t>
          </a:r>
        </a:p>
      </cdr:txBody>
    </cdr:sp>
  </cdr:relSizeAnchor>
  <cdr:relSizeAnchor xmlns:cdr="http://schemas.openxmlformats.org/drawingml/2006/chartDrawing">
    <cdr:from>
      <cdr:x>0.27156</cdr:x>
      <cdr:y>0.49978</cdr:y>
    </cdr:from>
    <cdr:to>
      <cdr:x>0.39504</cdr:x>
      <cdr:y>0.62732</cdr:y>
    </cdr:to>
    <cdr:sp macro="" textlink="">
      <cdr:nvSpPr>
        <cdr:cNvPr id="3" name="BlokTextu 1"/>
        <cdr:cNvSpPr txBox="1"/>
      </cdr:nvSpPr>
      <cdr:spPr>
        <a:xfrm xmlns:a="http://schemas.openxmlformats.org/drawingml/2006/main">
          <a:off x="1270162" y="1327148"/>
          <a:ext cx="577551" cy="33867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sk-SK" sz="1050" b="1">
              <a:solidFill>
                <a:schemeClr val="tx1">
                  <a:lumMod val="85000"/>
                  <a:lumOff val="15000"/>
                </a:schemeClr>
              </a:solidFill>
              <a:latin typeface="Constantia" panose="02030602050306030303" pitchFamily="18" charset="0"/>
            </a:rPr>
            <a:t>-155</a:t>
          </a:r>
        </a:p>
      </cdr:txBody>
    </cdr:sp>
  </cdr:relSizeAnchor>
  <cdr:relSizeAnchor xmlns:cdr="http://schemas.openxmlformats.org/drawingml/2006/chartDrawing">
    <cdr:from>
      <cdr:x>0.60936</cdr:x>
      <cdr:y>0.62174</cdr:y>
    </cdr:from>
    <cdr:to>
      <cdr:x>0.73283</cdr:x>
      <cdr:y>0.74927</cdr:y>
    </cdr:to>
    <cdr:sp macro="" textlink="">
      <cdr:nvSpPr>
        <cdr:cNvPr id="5" name="BlokTextu 1"/>
        <cdr:cNvSpPr txBox="1"/>
      </cdr:nvSpPr>
      <cdr:spPr>
        <a:xfrm xmlns:a="http://schemas.openxmlformats.org/drawingml/2006/main">
          <a:off x="2850156" y="1651012"/>
          <a:ext cx="577504" cy="33865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sk-SK" sz="1050" b="1">
              <a:solidFill>
                <a:schemeClr val="tx1">
                  <a:lumMod val="85000"/>
                  <a:lumOff val="15000"/>
                </a:schemeClr>
              </a:solidFill>
              <a:latin typeface="Constantia" panose="02030602050306030303" pitchFamily="18" charset="0"/>
            </a:rPr>
            <a:t>-312</a:t>
          </a:r>
        </a:p>
      </cdr:txBody>
    </cdr:sp>
  </cdr:relSizeAnchor>
</c:userShapes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0.16381</cdr:x>
      <cdr:y>0.72819</cdr:y>
    </cdr:from>
    <cdr:to>
      <cdr:x>0.2819</cdr:x>
      <cdr:y>0.78523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819151" y="2066925"/>
          <a:ext cx="590550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sk-SK" sz="1100"/>
        </a:p>
      </cdr:txBody>
    </cdr:sp>
  </cdr:relSizeAnchor>
  <cdr:relSizeAnchor xmlns:cdr="http://schemas.openxmlformats.org/drawingml/2006/chartDrawing">
    <cdr:from>
      <cdr:x>0.23431</cdr:x>
      <cdr:y>0.6832</cdr:y>
    </cdr:from>
    <cdr:to>
      <cdr:x>0.38288</cdr:x>
      <cdr:y>0.80433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2342203" y="1371577"/>
          <a:ext cx="1485127" cy="24317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sk-SK" sz="900" b="1">
              <a:solidFill>
                <a:srgbClr val="13B5EA"/>
              </a:solidFill>
            </a:rPr>
            <a:t>-</a:t>
          </a:r>
          <a:r>
            <a:rPr lang="sk-SK" sz="900" b="1">
              <a:solidFill>
                <a:srgbClr val="13B5EA"/>
              </a:solidFill>
              <a:latin typeface="Constantia" panose="02030602050306030303" pitchFamily="18" charset="0"/>
            </a:rPr>
            <a:t>801</a:t>
          </a:r>
        </a:p>
      </cdr:txBody>
    </cdr:sp>
  </cdr:relSizeAnchor>
  <cdr:relSizeAnchor xmlns:cdr="http://schemas.openxmlformats.org/drawingml/2006/chartDrawing">
    <cdr:from>
      <cdr:x>0.42189</cdr:x>
      <cdr:y>0.67076</cdr:y>
    </cdr:from>
    <cdr:to>
      <cdr:x>0.57046</cdr:x>
      <cdr:y>0.74794</cdr:y>
    </cdr:to>
    <cdr:sp macro="" textlink="">
      <cdr:nvSpPr>
        <cdr:cNvPr id="4" name="TextBox 1"/>
        <cdr:cNvSpPr txBox="1"/>
      </cdr:nvSpPr>
      <cdr:spPr>
        <a:xfrm xmlns:a="http://schemas.openxmlformats.org/drawingml/2006/main">
          <a:off x="4217279" y="1346595"/>
          <a:ext cx="1485127" cy="15494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sk-SK" sz="900" b="1">
              <a:solidFill>
                <a:srgbClr val="13B5EA"/>
              </a:solidFill>
            </a:rPr>
            <a:t>-</a:t>
          </a:r>
          <a:r>
            <a:rPr lang="sk-SK" sz="900" b="1">
              <a:solidFill>
                <a:srgbClr val="13B5EA"/>
              </a:solidFill>
              <a:latin typeface="Constantia" panose="02030602050306030303" pitchFamily="18" charset="0"/>
            </a:rPr>
            <a:t>559</a:t>
          </a:r>
        </a:p>
      </cdr:txBody>
    </cdr:sp>
  </cdr:relSizeAnchor>
  <cdr:relSizeAnchor xmlns:cdr="http://schemas.openxmlformats.org/drawingml/2006/chartDrawing">
    <cdr:from>
      <cdr:x>0.61512</cdr:x>
      <cdr:y>0.65357</cdr:y>
    </cdr:from>
    <cdr:to>
      <cdr:x>0.7637</cdr:x>
      <cdr:y>0.73075</cdr:y>
    </cdr:to>
    <cdr:sp macro="" textlink="">
      <cdr:nvSpPr>
        <cdr:cNvPr id="5" name="TextBox 1"/>
        <cdr:cNvSpPr txBox="1"/>
      </cdr:nvSpPr>
      <cdr:spPr>
        <a:xfrm xmlns:a="http://schemas.openxmlformats.org/drawingml/2006/main">
          <a:off x="6148875" y="1312098"/>
          <a:ext cx="1485228" cy="15494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sk-SK" sz="900" b="1">
              <a:solidFill>
                <a:srgbClr val="13B5EA"/>
              </a:solidFill>
              <a:latin typeface="Constantia" panose="02030602050306030303" pitchFamily="18" charset="0"/>
            </a:rPr>
            <a:t>941</a:t>
          </a:r>
        </a:p>
      </cdr:txBody>
    </cdr:sp>
  </cdr:relSizeAnchor>
  <cdr:relSizeAnchor xmlns:cdr="http://schemas.openxmlformats.org/drawingml/2006/chartDrawing">
    <cdr:from>
      <cdr:x>0.78975</cdr:x>
      <cdr:y>0.64667</cdr:y>
    </cdr:from>
    <cdr:to>
      <cdr:x>0.93832</cdr:x>
      <cdr:y>0.72385</cdr:y>
    </cdr:to>
    <cdr:sp macro="" textlink="">
      <cdr:nvSpPr>
        <cdr:cNvPr id="6" name="TextBox 1"/>
        <cdr:cNvSpPr txBox="1"/>
      </cdr:nvSpPr>
      <cdr:spPr>
        <a:xfrm xmlns:a="http://schemas.openxmlformats.org/drawingml/2006/main">
          <a:off x="7894503" y="1298249"/>
          <a:ext cx="1485127" cy="15494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sk-SK" sz="900" b="1">
              <a:solidFill>
                <a:srgbClr val="13B5EA"/>
              </a:solidFill>
              <a:latin typeface="Constantia" panose="02030602050306030303" pitchFamily="18" charset="0"/>
            </a:rPr>
            <a:t>331</a:t>
          </a:r>
        </a:p>
      </cdr:txBody>
    </cdr:sp>
  </cdr:relSizeAnchor>
  <cdr:relSizeAnchor xmlns:cdr="http://schemas.openxmlformats.org/drawingml/2006/chartDrawing">
    <cdr:from>
      <cdr:x>0.34402</cdr:x>
      <cdr:y>0.6894</cdr:y>
    </cdr:from>
    <cdr:to>
      <cdr:x>0.49259</cdr:x>
      <cdr:y>0.82435</cdr:y>
    </cdr:to>
    <cdr:sp macro="" textlink="">
      <cdr:nvSpPr>
        <cdr:cNvPr id="7" name="TextBox 1"/>
        <cdr:cNvSpPr txBox="1"/>
      </cdr:nvSpPr>
      <cdr:spPr>
        <a:xfrm xmlns:a="http://schemas.openxmlformats.org/drawingml/2006/main">
          <a:off x="3438837" y="1384033"/>
          <a:ext cx="1485127" cy="2709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sk-SK" sz="900" b="1">
              <a:solidFill>
                <a:srgbClr val="13B5EA"/>
              </a:solidFill>
              <a:latin typeface="Constantia" panose="02030602050306030303" pitchFamily="18" charset="0"/>
            </a:rPr>
            <a:t>-78</a:t>
          </a:r>
        </a:p>
      </cdr:txBody>
    </cdr:sp>
  </cdr:relSizeAnchor>
  <cdr:relSizeAnchor xmlns:cdr="http://schemas.openxmlformats.org/drawingml/2006/chartDrawing">
    <cdr:from>
      <cdr:x>0.23383</cdr:x>
      <cdr:y>0.15844</cdr:y>
    </cdr:from>
    <cdr:to>
      <cdr:x>0.3824</cdr:x>
      <cdr:y>0.23563</cdr:y>
    </cdr:to>
    <cdr:sp macro="" textlink="">
      <cdr:nvSpPr>
        <cdr:cNvPr id="8" name="TextBox 1"/>
        <cdr:cNvSpPr txBox="1"/>
      </cdr:nvSpPr>
      <cdr:spPr>
        <a:xfrm xmlns:a="http://schemas.openxmlformats.org/drawingml/2006/main">
          <a:off x="2337432" y="318090"/>
          <a:ext cx="1485127" cy="15496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sk-SK" sz="900" b="1">
              <a:solidFill>
                <a:srgbClr val="13B5EA"/>
              </a:solidFill>
            </a:rPr>
            <a:t>-</a:t>
          </a:r>
          <a:r>
            <a:rPr lang="sk-SK" sz="900" b="1">
              <a:solidFill>
                <a:srgbClr val="13B5EA"/>
              </a:solidFill>
              <a:latin typeface="Constantia" panose="02030602050306030303" pitchFamily="18" charset="0"/>
            </a:rPr>
            <a:t>1,0</a:t>
          </a:r>
          <a:r>
            <a:rPr lang="sk-SK" sz="900" b="1">
              <a:solidFill>
                <a:srgbClr val="13B5EA"/>
              </a:solidFill>
            </a:rPr>
            <a:t> </a:t>
          </a:r>
        </a:p>
      </cdr:txBody>
    </cdr:sp>
  </cdr:relSizeAnchor>
  <cdr:relSizeAnchor xmlns:cdr="http://schemas.openxmlformats.org/drawingml/2006/chartDrawing">
    <cdr:from>
      <cdr:x>0.34164</cdr:x>
      <cdr:y>0.14588</cdr:y>
    </cdr:from>
    <cdr:to>
      <cdr:x>0.49021</cdr:x>
      <cdr:y>0.25933</cdr:y>
    </cdr:to>
    <cdr:sp macro="" textlink="">
      <cdr:nvSpPr>
        <cdr:cNvPr id="9" name="TextBox 1"/>
        <cdr:cNvSpPr txBox="1"/>
      </cdr:nvSpPr>
      <cdr:spPr>
        <a:xfrm xmlns:a="http://schemas.openxmlformats.org/drawingml/2006/main">
          <a:off x="3415131" y="292858"/>
          <a:ext cx="1485128" cy="2277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sk-SK" sz="900" b="1">
              <a:solidFill>
                <a:srgbClr val="13B5EA"/>
              </a:solidFill>
              <a:latin typeface="Constantia" panose="02030602050306030303" pitchFamily="18" charset="0"/>
            </a:rPr>
            <a:t>-0,1</a:t>
          </a:r>
        </a:p>
      </cdr:txBody>
    </cdr:sp>
  </cdr:relSizeAnchor>
  <cdr:relSizeAnchor xmlns:cdr="http://schemas.openxmlformats.org/drawingml/2006/chartDrawing">
    <cdr:from>
      <cdr:x>0.41924</cdr:x>
      <cdr:y>0.16793</cdr:y>
    </cdr:from>
    <cdr:to>
      <cdr:x>0.51569</cdr:x>
      <cdr:y>0.24511</cdr:y>
    </cdr:to>
    <cdr:sp macro="" textlink="">
      <cdr:nvSpPr>
        <cdr:cNvPr id="10" name="TextBox 1"/>
        <cdr:cNvSpPr txBox="1"/>
      </cdr:nvSpPr>
      <cdr:spPr>
        <a:xfrm xmlns:a="http://schemas.openxmlformats.org/drawingml/2006/main">
          <a:off x="4190760" y="337140"/>
          <a:ext cx="964128" cy="15494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sk-SK" sz="900" b="1">
              <a:solidFill>
                <a:srgbClr val="13B5EA"/>
              </a:solidFill>
            </a:rPr>
            <a:t>-</a:t>
          </a:r>
          <a:r>
            <a:rPr lang="sk-SK" sz="900" b="1">
              <a:solidFill>
                <a:srgbClr val="13B5EA"/>
              </a:solidFill>
              <a:latin typeface="Constantia" panose="02030602050306030303" pitchFamily="18" charset="0"/>
            </a:rPr>
            <a:t>0,7</a:t>
          </a:r>
        </a:p>
      </cdr:txBody>
    </cdr:sp>
  </cdr:relSizeAnchor>
  <cdr:relSizeAnchor xmlns:cdr="http://schemas.openxmlformats.org/drawingml/2006/chartDrawing">
    <cdr:from>
      <cdr:x>0.61322</cdr:x>
      <cdr:y>0.17318</cdr:y>
    </cdr:from>
    <cdr:to>
      <cdr:x>0.76179</cdr:x>
      <cdr:y>0.25036</cdr:y>
    </cdr:to>
    <cdr:sp macro="" textlink="">
      <cdr:nvSpPr>
        <cdr:cNvPr id="11" name="TextBox 1"/>
        <cdr:cNvSpPr txBox="1"/>
      </cdr:nvSpPr>
      <cdr:spPr>
        <a:xfrm xmlns:a="http://schemas.openxmlformats.org/drawingml/2006/main">
          <a:off x="6129797" y="347679"/>
          <a:ext cx="1485128" cy="15494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sk-SK" sz="900" b="1">
              <a:solidFill>
                <a:srgbClr val="13B5EA"/>
              </a:solidFill>
              <a:latin typeface="Constantia" panose="02030602050306030303" pitchFamily="18" charset="0"/>
            </a:rPr>
            <a:t>1,1</a:t>
          </a:r>
        </a:p>
      </cdr:txBody>
    </cdr:sp>
  </cdr:relSizeAnchor>
  <cdr:relSizeAnchor xmlns:cdr="http://schemas.openxmlformats.org/drawingml/2006/chartDrawing">
    <cdr:from>
      <cdr:x>0.72941</cdr:x>
      <cdr:y>0.1559</cdr:y>
    </cdr:from>
    <cdr:to>
      <cdr:x>0.76897</cdr:x>
      <cdr:y>0.23723</cdr:y>
    </cdr:to>
    <cdr:sp macro="" textlink="">
      <cdr:nvSpPr>
        <cdr:cNvPr id="12" name="TextBox 1"/>
        <cdr:cNvSpPr txBox="1"/>
      </cdr:nvSpPr>
      <cdr:spPr>
        <a:xfrm xmlns:a="http://schemas.openxmlformats.org/drawingml/2006/main">
          <a:off x="7291271" y="312979"/>
          <a:ext cx="395448" cy="16327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sk-SK" sz="900" b="1">
              <a:solidFill>
                <a:srgbClr val="13B5EA"/>
              </a:solidFill>
              <a:latin typeface="Constantia" panose="02030602050306030303" pitchFamily="18" charset="0"/>
            </a:rPr>
            <a:t>0,2</a:t>
          </a:r>
        </a:p>
      </cdr:txBody>
    </cdr:sp>
  </cdr:relSizeAnchor>
  <cdr:relSizeAnchor xmlns:cdr="http://schemas.openxmlformats.org/drawingml/2006/chartDrawing">
    <cdr:from>
      <cdr:x>0.0265</cdr:x>
      <cdr:y>0.17562</cdr:y>
    </cdr:from>
    <cdr:to>
      <cdr:x>0.17507</cdr:x>
      <cdr:y>0.27356</cdr:y>
    </cdr:to>
    <cdr:sp macro="" textlink="">
      <cdr:nvSpPr>
        <cdr:cNvPr id="13" name="TextBox 1"/>
        <cdr:cNvSpPr txBox="1"/>
      </cdr:nvSpPr>
      <cdr:spPr>
        <a:xfrm xmlns:a="http://schemas.openxmlformats.org/drawingml/2006/main">
          <a:off x="205897" y="314482"/>
          <a:ext cx="1154341" cy="1753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sk-SK" sz="900" b="1">
              <a:solidFill>
                <a:srgbClr val="13B5EA"/>
              </a:solidFill>
              <a:latin typeface="Constantia" panose="02030602050306030303" pitchFamily="18" charset="0"/>
            </a:rPr>
            <a:t>v % HDP:</a:t>
          </a:r>
        </a:p>
      </cdr:txBody>
    </cdr:sp>
  </cdr:relSizeAnchor>
  <cdr:relSizeAnchor xmlns:cdr="http://schemas.openxmlformats.org/drawingml/2006/chartDrawing">
    <cdr:from>
      <cdr:x>0.02693</cdr:x>
      <cdr:y>0.68277</cdr:y>
    </cdr:from>
    <cdr:to>
      <cdr:x>0.1755</cdr:x>
      <cdr:y>0.80547</cdr:y>
    </cdr:to>
    <cdr:sp macro="" textlink="">
      <cdr:nvSpPr>
        <cdr:cNvPr id="14" name="TextBox 1"/>
        <cdr:cNvSpPr txBox="1"/>
      </cdr:nvSpPr>
      <cdr:spPr>
        <a:xfrm xmlns:a="http://schemas.openxmlformats.org/drawingml/2006/main">
          <a:off x="209237" y="1222636"/>
          <a:ext cx="1154342" cy="2197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sk-SK" sz="900" b="1">
              <a:solidFill>
                <a:srgbClr val="13B5EA"/>
              </a:solidFill>
              <a:latin typeface="Constantia" panose="02030602050306030303" pitchFamily="18" charset="0"/>
            </a:rPr>
            <a:t>v mil. eur:</a:t>
          </a:r>
        </a:p>
      </cdr:txBody>
    </cdr:sp>
  </cdr:relSizeAnchor>
  <cdr:relSizeAnchor xmlns:cdr="http://schemas.openxmlformats.org/drawingml/2006/chartDrawing">
    <cdr:from>
      <cdr:x>0.31119</cdr:x>
      <cdr:y>0.02469</cdr:y>
    </cdr:from>
    <cdr:to>
      <cdr:x>0.51533</cdr:x>
      <cdr:y>0.13993</cdr:y>
    </cdr:to>
    <cdr:sp macro="" textlink="">
      <cdr:nvSpPr>
        <cdr:cNvPr id="15" name="TextBox 14"/>
        <cdr:cNvSpPr txBox="1"/>
      </cdr:nvSpPr>
      <cdr:spPr>
        <a:xfrm xmlns:a="http://schemas.openxmlformats.org/drawingml/2006/main">
          <a:off x="2417863" y="44212"/>
          <a:ext cx="1586103" cy="20636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sk-SK" sz="1100" b="1">
              <a:solidFill>
                <a:schemeClr val="bg2">
                  <a:lumMod val="25000"/>
                </a:schemeClr>
              </a:solidFill>
              <a:latin typeface="Constantia" panose="02030602050306030303" pitchFamily="18" charset="0"/>
            </a:rPr>
            <a:t>Financované</a:t>
          </a:r>
          <a:r>
            <a:rPr lang="sk-SK" sz="1100" b="1">
              <a:solidFill>
                <a:schemeClr val="bg2">
                  <a:lumMod val="25000"/>
                </a:schemeClr>
              </a:solidFill>
            </a:rPr>
            <a:t> </a:t>
          </a:r>
          <a:r>
            <a:rPr lang="sk-SK" sz="1100" b="1">
              <a:solidFill>
                <a:schemeClr val="bg2">
                  <a:lumMod val="25000"/>
                </a:schemeClr>
              </a:solidFill>
              <a:latin typeface="Constantia" panose="02030602050306030303" pitchFamily="18" charset="0"/>
            </a:rPr>
            <a:t>oblasti</a:t>
          </a:r>
        </a:p>
      </cdr:txBody>
    </cdr:sp>
  </cdr:relSizeAnchor>
  <cdr:relSizeAnchor xmlns:cdr="http://schemas.openxmlformats.org/drawingml/2006/chartDrawing">
    <cdr:from>
      <cdr:x>0.5078</cdr:x>
      <cdr:y>0.02449</cdr:y>
    </cdr:from>
    <cdr:to>
      <cdr:x>0.71194</cdr:x>
      <cdr:y>0.13973</cdr:y>
    </cdr:to>
    <cdr:sp macro="" textlink="">
      <cdr:nvSpPr>
        <cdr:cNvPr id="16" name="TextBox 1"/>
        <cdr:cNvSpPr txBox="1"/>
      </cdr:nvSpPr>
      <cdr:spPr>
        <a:xfrm xmlns:a="http://schemas.openxmlformats.org/drawingml/2006/main">
          <a:off x="4877734" y="44323"/>
          <a:ext cx="1960886" cy="2085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sk-SK" sz="1100" b="1">
              <a:solidFill>
                <a:schemeClr val="bg2">
                  <a:lumMod val="25000"/>
                </a:schemeClr>
              </a:solidFill>
              <a:latin typeface="Constantia" panose="02030602050306030303" pitchFamily="18" charset="0"/>
            </a:rPr>
            <a:t>Zdroje financovania</a:t>
          </a:r>
        </a:p>
      </cdr:txBody>
    </cdr:sp>
  </cdr:relSizeAnchor>
  <cdr:relSizeAnchor xmlns:cdr="http://schemas.openxmlformats.org/drawingml/2006/chartDrawing">
    <cdr:from>
      <cdr:x>0.73021</cdr:x>
      <cdr:y>0.65633</cdr:y>
    </cdr:from>
    <cdr:to>
      <cdr:x>0.7804</cdr:x>
      <cdr:y>0.75438</cdr:y>
    </cdr:to>
    <cdr:sp macro="" textlink="">
      <cdr:nvSpPr>
        <cdr:cNvPr id="17" name="TextBox 1"/>
        <cdr:cNvSpPr txBox="1"/>
      </cdr:nvSpPr>
      <cdr:spPr>
        <a:xfrm xmlns:a="http://schemas.openxmlformats.org/drawingml/2006/main">
          <a:off x="7299291" y="1317631"/>
          <a:ext cx="501706" cy="1968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sk-SK" sz="900" b="1">
              <a:solidFill>
                <a:srgbClr val="13B5EA"/>
              </a:solidFill>
              <a:latin typeface="Constantia" panose="02030602050306030303" pitchFamily="18" charset="0"/>
            </a:rPr>
            <a:t>166</a:t>
          </a:r>
        </a:p>
      </cdr:txBody>
    </cdr:sp>
  </cdr:relSizeAnchor>
  <cdr:relSizeAnchor xmlns:cdr="http://schemas.openxmlformats.org/drawingml/2006/chartDrawing">
    <cdr:from>
      <cdr:x>0.78834</cdr:x>
      <cdr:y>0.15816</cdr:y>
    </cdr:from>
    <cdr:to>
      <cdr:x>0.82423</cdr:x>
      <cdr:y>0.24672</cdr:y>
    </cdr:to>
    <cdr:sp macro="" textlink="">
      <cdr:nvSpPr>
        <cdr:cNvPr id="18" name="TextBox 1"/>
        <cdr:cNvSpPr txBox="1"/>
      </cdr:nvSpPr>
      <cdr:spPr>
        <a:xfrm xmlns:a="http://schemas.openxmlformats.org/drawingml/2006/main">
          <a:off x="7880359" y="317509"/>
          <a:ext cx="358762" cy="17779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sk-SK" sz="900" b="1">
              <a:solidFill>
                <a:srgbClr val="13B5EA"/>
              </a:solidFill>
              <a:latin typeface="Constantia" panose="02030602050306030303" pitchFamily="18" charset="0"/>
            </a:rPr>
            <a:t>0,4</a:t>
          </a:r>
        </a:p>
      </cdr:txBody>
    </cdr:sp>
  </cdr:relSizeAnchor>
</c:userShapes>
</file>

<file path=xl/drawings/drawing94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600075</xdr:colOff>
      <xdr:row>1</xdr:row>
      <xdr:rowOff>28575</xdr:rowOff>
    </xdr:from>
    <xdr:to>
      <xdr:col>33</xdr:col>
      <xdr:colOff>161925</xdr:colOff>
      <xdr:row>15</xdr:row>
      <xdr:rowOff>104775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35</xdr:col>
      <xdr:colOff>0</xdr:colOff>
      <xdr:row>1</xdr:row>
      <xdr:rowOff>0</xdr:rowOff>
    </xdr:from>
    <xdr:to>
      <xdr:col>35</xdr:col>
      <xdr:colOff>536494</xdr:colOff>
      <xdr:row>2</xdr:row>
      <xdr:rowOff>77747</xdr:rowOff>
    </xdr:to>
    <xdr:pic>
      <xdr:nvPicPr>
        <xdr:cNvPr id="3" name="Obrázok 2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5039975" y="161925"/>
          <a:ext cx="536494" cy="268247"/>
        </a:xfrm>
        <a:prstGeom prst="rect">
          <a:avLst/>
        </a:prstGeom>
      </xdr:spPr>
    </xdr:pic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590550</xdr:colOff>
      <xdr:row>1</xdr:row>
      <xdr:rowOff>166687</xdr:rowOff>
    </xdr:from>
    <xdr:to>
      <xdr:col>18</xdr:col>
      <xdr:colOff>295275</xdr:colOff>
      <xdr:row>16</xdr:row>
      <xdr:rowOff>52387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20</xdr:col>
      <xdr:colOff>0</xdr:colOff>
      <xdr:row>2</xdr:row>
      <xdr:rowOff>0</xdr:rowOff>
    </xdr:from>
    <xdr:to>
      <xdr:col>20</xdr:col>
      <xdr:colOff>536494</xdr:colOff>
      <xdr:row>3</xdr:row>
      <xdr:rowOff>77747</xdr:rowOff>
    </xdr:to>
    <xdr:pic>
      <xdr:nvPicPr>
        <xdr:cNvPr id="3" name="Obrázok 2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5039975" y="161925"/>
          <a:ext cx="536494" cy="268247"/>
        </a:xfrm>
        <a:prstGeom prst="rect">
          <a:avLst/>
        </a:prstGeom>
      </xdr:spPr>
    </xdr:pic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152399</xdr:colOff>
      <xdr:row>1</xdr:row>
      <xdr:rowOff>142876</xdr:rowOff>
    </xdr:from>
    <xdr:to>
      <xdr:col>22</xdr:col>
      <xdr:colOff>295274</xdr:colOff>
      <xdr:row>17</xdr:row>
      <xdr:rowOff>104775</xdr:rowOff>
    </xdr:to>
    <xdr:graphicFrame macro="">
      <xdr:nvGraphicFramePr>
        <xdr:cNvPr id="3" name="Graf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38100</xdr:colOff>
      <xdr:row>2</xdr:row>
      <xdr:rowOff>47625</xdr:rowOff>
    </xdr:from>
    <xdr:to>
      <xdr:col>15</xdr:col>
      <xdr:colOff>180975</xdr:colOff>
      <xdr:row>18</xdr:row>
      <xdr:rowOff>9524</xdr:rowOff>
    </xdr:to>
    <xdr:graphicFrame macro="">
      <xdr:nvGraphicFramePr>
        <xdr:cNvPr id="12" name="Graf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24</xdr:col>
      <xdr:colOff>0</xdr:colOff>
      <xdr:row>1</xdr:row>
      <xdr:rowOff>0</xdr:rowOff>
    </xdr:from>
    <xdr:to>
      <xdr:col>24</xdr:col>
      <xdr:colOff>536494</xdr:colOff>
      <xdr:row>2</xdr:row>
      <xdr:rowOff>106322</xdr:rowOff>
    </xdr:to>
    <xdr:pic>
      <xdr:nvPicPr>
        <xdr:cNvPr id="4" name="Obrázok 3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5039975" y="161925"/>
          <a:ext cx="536494" cy="268247"/>
        </a:xfrm>
        <a:prstGeom prst="rect">
          <a:avLst/>
        </a:prstGeom>
      </xdr:spPr>
    </xdr:pic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581025</xdr:colOff>
      <xdr:row>13</xdr:row>
      <xdr:rowOff>123824</xdr:rowOff>
    </xdr:from>
    <xdr:to>
      <xdr:col>16</xdr:col>
      <xdr:colOff>581025</xdr:colOff>
      <xdr:row>31</xdr:row>
      <xdr:rowOff>152399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21</xdr:col>
      <xdr:colOff>0</xdr:colOff>
      <xdr:row>12</xdr:row>
      <xdr:rowOff>0</xdr:rowOff>
    </xdr:from>
    <xdr:to>
      <xdr:col>21</xdr:col>
      <xdr:colOff>536494</xdr:colOff>
      <xdr:row>13</xdr:row>
      <xdr:rowOff>106322</xdr:rowOff>
    </xdr:to>
    <xdr:pic>
      <xdr:nvPicPr>
        <xdr:cNvPr id="3" name="Obrázok 2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706475" y="1943100"/>
          <a:ext cx="536494" cy="268247"/>
        </a:xfrm>
        <a:prstGeom prst="rect">
          <a:avLst/>
        </a:prstGeom>
      </xdr:spPr>
    </xdr:pic>
    <xdr:clientData/>
  </xdr:twoCellAnchor>
</xdr:wsDr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0.80859</cdr:x>
      <cdr:y>0</cdr:y>
    </cdr:from>
    <cdr:to>
      <cdr:x>0.95573</cdr:x>
      <cdr:y>1</cdr:y>
    </cdr:to>
    <cdr:sp macro="" textlink="">
      <cdr:nvSpPr>
        <cdr:cNvPr id="2" name="Rectangle 1"/>
        <cdr:cNvSpPr/>
      </cdr:nvSpPr>
      <cdr:spPr>
        <a:xfrm xmlns:a="http://schemas.openxmlformats.org/drawingml/2006/main">
          <a:off x="5915025" y="0"/>
          <a:ext cx="1076326" cy="2943225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1">
            <a:lumMod val="20000"/>
            <a:lumOff val="80000"/>
            <a:alpha val="35000"/>
          </a:schemeClr>
        </a:solidFill>
        <a:ln xmlns:a="http://schemas.openxmlformats.org/drawingml/2006/main" w="12700">
          <a:solidFill>
            <a:schemeClr val="accent1">
              <a:lumMod val="20000"/>
              <a:lumOff val="80000"/>
            </a:schemeClr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sk-SK"/>
        </a:p>
      </cdr:txBody>
    </cdr:sp>
  </cdr:relSizeAnchor>
</c:userShapes>
</file>

<file path=xl/drawings/drawing99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57150</xdr:colOff>
      <xdr:row>1</xdr:row>
      <xdr:rowOff>76200</xdr:rowOff>
    </xdr:from>
    <xdr:to>
      <xdr:col>29</xdr:col>
      <xdr:colOff>590549</xdr:colOff>
      <xdr:row>16</xdr:row>
      <xdr:rowOff>4762</xdr:rowOff>
    </xdr:to>
    <xdr:graphicFrame macro="">
      <xdr:nvGraphicFramePr>
        <xdr:cNvPr id="2" name="Chart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66675</xdr:colOff>
      <xdr:row>1</xdr:row>
      <xdr:rowOff>85725</xdr:rowOff>
    </xdr:from>
    <xdr:to>
      <xdr:col>20</xdr:col>
      <xdr:colOff>381000</xdr:colOff>
      <xdr:row>15</xdr:row>
      <xdr:rowOff>157162</xdr:rowOff>
    </xdr:to>
    <xdr:graphicFrame macro="">
      <xdr:nvGraphicFramePr>
        <xdr:cNvPr id="3" name="Chart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31</xdr:col>
      <xdr:colOff>0</xdr:colOff>
      <xdr:row>2</xdr:row>
      <xdr:rowOff>0</xdr:rowOff>
    </xdr:from>
    <xdr:to>
      <xdr:col>31</xdr:col>
      <xdr:colOff>536494</xdr:colOff>
      <xdr:row>3</xdr:row>
      <xdr:rowOff>77747</xdr:rowOff>
    </xdr:to>
    <xdr:pic>
      <xdr:nvPicPr>
        <xdr:cNvPr id="4" name="Obrázok 3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9544050" y="4533900"/>
          <a:ext cx="536494" cy="268247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idrozd\Desktop\NPC_2013_2015_OS_09\NPC_2010\DATA\C3\CZE\REER\REERTOT99%20revised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\WE\NLD\WEO\Current\WEO138annual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eur\WIN\Temporary%20Internet%20Files\OLK3035\Bopfeb00r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/WE/NLD/WEO/Current/WEO138annual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ATA\WE\NLD\WEO\Current\WEO138annual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idrozd/Desktop/NPC_2013_2015_OS_09/NPC_2010/Documents%20and%20Settings/PANTOLIN/My%20Local%20Documents/Slovenia/Wages_employment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Documents%20and%20Settings\idrozd\Desktop\NPC_2013_2015_OS_09\NPC_2010\Documents%20and%20Settings\PANTOLIN\My%20Local%20Documents\Slovenia\Wages_employment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Users\ebugyi\AppData\Local\Microsoft\Windows\Temporary%20Internet%20Files\Content.Outlook\JG459QFK\Documents%20and%20Settings\PANTOLIN\My%20Local%20Documents\Slovenia\Wages_employment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ebugyi\AppData\Local\Microsoft\Windows\Temporary%20Internet%20Files\Content.Outlook\JG459QFK\Documents%20and%20Settings\PANTOLIN\My%20Local%20Documents\Slovenia\Wages_employment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ebugyi/AppData/Local/Microsoft/Windows/Temporary%20Internet%20Files/Content.Outlook/JG459QFK/Documents%20and%20Settings/PANTOLIN/My%20Local%20Documents/Slovenia/Wages_employment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PANTOLIN/My%20Local%20Documents/Slovenia/Wages_employment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ebugyi\AppData\Local\Microsoft\Windows\Temporary%20Internet%20Files\Content.Outlook\JG459QFK\DATA\C3\CZE\REER\REERTOT99%20revised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PANTOLIN\My%20Local%20Documents\Slovenia\Wages_employment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idrozd\Desktop\NPC_2013_2015_OS_09\NPC_2010\Documents%20and%20Settings\PANTOLIN\My%20Local%20Documents\Slovenia\Wages_employment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idrozd\Desktop\NPC_2013_2015_OS_09\NPC_2010\Documents%20and%20Settings\PANTOLIN\My%20Local%20Documents\Slovenia\Wages_employment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eur\DATA\C3\SVN\BOP\SV%20BOP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01%20-%20RRZ\01%20-%20Verejne%20financie\07%20-%20Eurostat_EDP\01%20-%20Notifik&#225;cie\NT_2016_okt&#243;ber\01%20-%20Podklady\JAVYS%20account%202006%202015%20v20160920.xlsx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WIN\Temporary%20Internet%20Files\OLK93A2\Macedonia\Missions\July2000\BriefingPaper\MacroframeworkJun00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\Temporary%20Internet%20Files\OLK93A2\Macedonia\Missions\July2000\BriefingPaper\MacroframeworkJun00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/WIN/Temporary%20Internet%20Files/OLK93A2/Macedonia/Missions/July2000/BriefingPaper/MacroframeworkJun00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eur\WINDOWS\TEMP\CRI-BOP-01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eur\DATA\CA\CRI\EXTERNAL\Output\CRI-BOP-0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idrozd/Desktop/NPC_2013_2015_OS_09/NPC_2010/DATA/C3/CZE/REER/REERTOT99%20revised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ebugyi\AppData\Local\Microsoft\Windows\Temporary%20Internet%20Files\Content.Outlook\JG459QFK\DATA\O2\MKD\REP\TABLES\red98\Mk-red98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idrozd/Desktop/NPC_2013_2015_OS_09/NPC_2010/DATA/O2/MKD/REP/TABLES/red98/Mk-red98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idrozd\Desktop\NPC_2013_2015_OS_09\NPC_2010\DATA\O2\MKD\REP\TABLES\red98\Mk-red98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Documents%20and%20Settings\idrozd\Desktop\NPC_2013_2015_OS_09\NPC_2010\DATA\O2\MKD\REP\TABLES\red98\Mk-red98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DATA\O2\MKD\REP\TABLES\red98\Mk-red98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eur\DATA\CA\CRI\Dbase\Dinput\CRI-INPUT-ABOP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eur\DATA\CA\CRI\EXTERNAL\Output\Other-2002\CRI-INPUT-ABOP-4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\CA\CRI\Dbase\Dinput\CRI-INPUT-ABOP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Documents%20and%20Settings\idrozd\Desktop\NPC_2013_2015_OS_09\NPC_2010\DATA\C3\CZE\REER\REERTOT99%20revised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DATA\C3\CZE\REER\REERTOT99%20revised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y%20Documents\moldova\Oct2000mission\data\eff9911b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eur\DATA\PA\CHL\SECTORS\BOP\Bop0209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My%20Documents/moldova/Oct2000mission/data/eff9911b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My%20Documents\moldova\Oct2000mission\data\eff9911b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CT-NEER"/>
      <sheetName val="CT-REERCPI"/>
      <sheetName val="CT-REERULC"/>
      <sheetName val="CT-REERPPI"/>
      <sheetName val="ct-neer2"/>
      <sheetName val="CT-reercpi2"/>
      <sheetName val="CT-reerulc2"/>
      <sheetName val="CT-reerppi2"/>
      <sheetName val="ChartVH_temp"/>
      <sheetName val="ControlSheet"/>
      <sheetName val="input_NSA"/>
      <sheetName val="inpu_SA"/>
      <sheetName val="REER ULC rev"/>
      <sheetName val="REER"/>
      <sheetName val="C"/>
      <sheetName val="D"/>
      <sheetName val="E"/>
      <sheetName val="F"/>
      <sheetName val="tables"/>
      <sheetName val="H"/>
      <sheetName val="Chart1"/>
      <sheetName val="Transfer EDDS"/>
      <sheetName val="Chart_reera1"/>
      <sheetName val="Chart_reera2"/>
      <sheetName val="Chart_reera3"/>
      <sheetName val="Panel1"/>
      <sheetName val="Sheet1"/>
      <sheetName val="Panel2"/>
      <sheetName val="CT_NEER"/>
      <sheetName val="Chart2"/>
      <sheetName val="Chart3"/>
      <sheetName val="Fig8"/>
      <sheetName val="CT_reer_INS"/>
      <sheetName val="CT_REER CPI_INS"/>
      <sheetName val="Chart4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/>
      <sheetData sheetId="14" refreshError="1">
        <row r="1">
          <cell r="F1" t="str">
            <v>CPI111</v>
          </cell>
        </row>
        <row r="11">
          <cell r="C11" t="str">
            <v>Mar90</v>
          </cell>
        </row>
        <row r="14">
          <cell r="C14" t="str">
            <v>Jun</v>
          </cell>
        </row>
        <row r="17">
          <cell r="C17" t="str">
            <v>Sep</v>
          </cell>
        </row>
        <row r="20">
          <cell r="C20" t="str">
            <v>Dec</v>
          </cell>
        </row>
        <row r="23">
          <cell r="C23" t="str">
            <v>Mar91</v>
          </cell>
        </row>
        <row r="26">
          <cell r="C26" t="str">
            <v>Jun</v>
          </cell>
        </row>
        <row r="29">
          <cell r="C29" t="str">
            <v>Sep</v>
          </cell>
        </row>
        <row r="32">
          <cell r="C32" t="str">
            <v>Dec</v>
          </cell>
        </row>
        <row r="35">
          <cell r="C35" t="str">
            <v>Mar92</v>
          </cell>
        </row>
        <row r="38">
          <cell r="C38" t="str">
            <v>Jun</v>
          </cell>
        </row>
        <row r="41">
          <cell r="C41" t="str">
            <v>Sep</v>
          </cell>
        </row>
        <row r="44">
          <cell r="C44" t="str">
            <v>Dec</v>
          </cell>
        </row>
        <row r="47">
          <cell r="C47" t="str">
            <v>Mar93</v>
          </cell>
        </row>
        <row r="50">
          <cell r="C50" t="str">
            <v>Jun</v>
          </cell>
        </row>
        <row r="53">
          <cell r="C53" t="str">
            <v>Sep</v>
          </cell>
        </row>
        <row r="56">
          <cell r="C56" t="str">
            <v>Dec</v>
          </cell>
        </row>
        <row r="59">
          <cell r="C59" t="str">
            <v>Mar94</v>
          </cell>
        </row>
        <row r="62">
          <cell r="C62" t="str">
            <v>Jun</v>
          </cell>
        </row>
        <row r="65">
          <cell r="C65" t="str">
            <v>Sep</v>
          </cell>
        </row>
        <row r="68">
          <cell r="C68" t="str">
            <v>Dec</v>
          </cell>
        </row>
        <row r="71">
          <cell r="C71" t="str">
            <v>Mar95</v>
          </cell>
        </row>
        <row r="74">
          <cell r="C74" t="str">
            <v>Jun</v>
          </cell>
        </row>
        <row r="140">
          <cell r="BK140">
            <v>90.145299612313636</v>
          </cell>
          <cell r="BN140">
            <v>112.36460206325194</v>
          </cell>
        </row>
        <row r="146">
          <cell r="BR146" t="str">
            <v>$NULCG6</v>
          </cell>
        </row>
        <row r="147">
          <cell r="BB147" t="str">
            <v>Index, Jan-Sept 1990=100</v>
          </cell>
        </row>
        <row r="149">
          <cell r="AY149" t="str">
            <v>Index, Jan-Sept 1990=100</v>
          </cell>
          <cell r="BR149" t="str">
            <v>$NULCG6</v>
          </cell>
        </row>
        <row r="150">
          <cell r="AY150" t="str">
            <v>NEER</v>
          </cell>
          <cell r="AZ150" t="str">
            <v>REER</v>
          </cell>
          <cell r="BB150" t="str">
            <v>REER</v>
          </cell>
        </row>
        <row r="151">
          <cell r="AY151" t="str">
            <v>(czech/</v>
          </cell>
          <cell r="AZ151" t="str">
            <v>(CPI based)</v>
          </cell>
          <cell r="BB151" t="str">
            <v>(PPI based)</v>
          </cell>
        </row>
        <row r="152">
          <cell r="AY152" t="str">
            <v>$nomxrg6)</v>
          </cell>
        </row>
        <row r="153">
          <cell r="AY153" t="str">
            <v>neer</v>
          </cell>
          <cell r="AZ153" t="str">
            <v>reerc</v>
          </cell>
          <cell r="BB153" t="str">
            <v>reerp</v>
          </cell>
        </row>
        <row r="154">
          <cell r="AY154">
            <v>102.86789797269462</v>
          </cell>
          <cell r="AZ154">
            <v>1.009642963192813</v>
          </cell>
          <cell r="BB154">
            <v>99.628468216542174</v>
          </cell>
          <cell r="BR154">
            <v>95.691962942667203</v>
          </cell>
        </row>
        <row r="155">
          <cell r="AY155">
            <v>99.947925183606046</v>
          </cell>
          <cell r="AZ155">
            <v>0.90584955274081691</v>
          </cell>
          <cell r="BB155">
            <v>95.434709131531818</v>
          </cell>
          <cell r="BR155">
            <v>97.295901743191223</v>
          </cell>
        </row>
        <row r="156">
          <cell r="AY156">
            <v>100.91072848615903</v>
          </cell>
          <cell r="AZ156">
            <v>1.0486060074945365</v>
          </cell>
          <cell r="BB156">
            <v>95.744050870788996</v>
          </cell>
          <cell r="BR156">
            <v>96.411216455223325</v>
          </cell>
        </row>
        <row r="157">
          <cell r="AY157">
            <v>100.37548391924503</v>
          </cell>
          <cell r="AZ157">
            <v>1.0096271689377452</v>
          </cell>
          <cell r="BB157">
            <v>95.834237220419894</v>
          </cell>
          <cell r="BR157">
            <v>98.084662018047695</v>
          </cell>
        </row>
        <row r="158">
          <cell r="AY158">
            <v>100.24539209966674</v>
          </cell>
          <cell r="AZ158">
            <v>1.0162113742847021</v>
          </cell>
          <cell r="BB158">
            <v>96.390366140930439</v>
          </cell>
          <cell r="BR158">
            <v>100.4380590649068</v>
          </cell>
        </row>
        <row r="159">
          <cell r="AY159">
            <v>99.406466786284071</v>
          </cell>
          <cell r="AZ159">
            <v>1.0058013162293933</v>
          </cell>
          <cell r="BB159">
            <v>96.891987257323052</v>
          </cell>
          <cell r="BR159">
            <v>99.255834884469436</v>
          </cell>
        </row>
        <row r="160">
          <cell r="AY160">
            <v>99.043344271983258</v>
          </cell>
          <cell r="AZ160">
            <v>0.99825031296119759</v>
          </cell>
          <cell r="BB160">
            <v>104.75520681254494</v>
          </cell>
          <cell r="BR160">
            <v>101.59603165985909</v>
          </cell>
        </row>
        <row r="161">
          <cell r="AY161">
            <v>98.224383732714244</v>
          </cell>
          <cell r="AZ161">
            <v>0.90352240973764386</v>
          </cell>
          <cell r="BB161">
            <v>106.43162390008962</v>
          </cell>
          <cell r="BR161">
            <v>105.45309736673832</v>
          </cell>
        </row>
        <row r="162">
          <cell r="AY162">
            <v>99.270019289441464</v>
          </cell>
          <cell r="AZ162">
            <v>0.91320229072180292</v>
          </cell>
          <cell r="BB162">
            <v>108.51287026828214</v>
          </cell>
          <cell r="BR162">
            <v>105.77323386489692</v>
          </cell>
        </row>
        <row r="163">
          <cell r="AY163">
            <v>75.108316466956168</v>
          </cell>
          <cell r="AZ163">
            <v>0.74689509092898387</v>
          </cell>
          <cell r="BB163">
            <v>83.098393824811879</v>
          </cell>
          <cell r="BR163">
            <v>109.03270591450871</v>
          </cell>
        </row>
        <row r="164">
          <cell r="AY164">
            <v>62.85120983133713</v>
          </cell>
          <cell r="AZ164">
            <v>0.69176599641183467</v>
          </cell>
          <cell r="BB164">
            <v>70.658774539049006</v>
          </cell>
          <cell r="BR164">
            <v>111.45691523948409</v>
          </cell>
        </row>
        <row r="165">
          <cell r="AY165">
            <v>61.776502297974325</v>
          </cell>
          <cell r="AZ165">
            <v>0.63812772138269314</v>
          </cell>
          <cell r="BB165">
            <v>69.310923367402808</v>
          </cell>
          <cell r="BR165">
            <v>111.18025598994335</v>
          </cell>
        </row>
        <row r="166">
          <cell r="AY166">
            <v>54.558086574227595</v>
          </cell>
          <cell r="AZ166">
            <v>0.52270821897392594</v>
          </cell>
          <cell r="BB166">
            <v>74.876734071685775</v>
          </cell>
          <cell r="BR166">
            <v>110.29792595046035</v>
          </cell>
        </row>
        <row r="167">
          <cell r="AY167">
            <v>54.015349274176515</v>
          </cell>
          <cell r="AZ167">
            <v>0.47988117591450397</v>
          </cell>
          <cell r="BB167">
            <v>77.700151743643303</v>
          </cell>
          <cell r="BR167">
            <v>112.61713711212916</v>
          </cell>
        </row>
        <row r="168">
          <cell r="AY168">
            <v>55.290903978447936</v>
          </cell>
          <cell r="AZ168">
            <v>0.56039049020909004</v>
          </cell>
          <cell r="BB168">
            <v>82.650913539433446</v>
          </cell>
          <cell r="BR168">
            <v>106.1393269872501</v>
          </cell>
        </row>
        <row r="169">
          <cell r="AY169">
            <v>55.912880617050263</v>
          </cell>
          <cell r="AZ169">
            <v>0.54919522992492209</v>
          </cell>
          <cell r="BB169">
            <v>85.696392246293911</v>
          </cell>
          <cell r="BR169">
            <v>102.14514072132152</v>
          </cell>
        </row>
        <row r="170">
          <cell r="AY170">
            <v>56.055952541289635</v>
          </cell>
          <cell r="AZ170">
            <v>0.55724065940892986</v>
          </cell>
          <cell r="BB170">
            <v>88.494629135030536</v>
          </cell>
          <cell r="BR170">
            <v>102.4437403724986</v>
          </cell>
        </row>
        <row r="171">
          <cell r="AY171">
            <v>56.615537036050299</v>
          </cell>
          <cell r="AZ171">
            <v>0.55913778196545905</v>
          </cell>
          <cell r="BB171">
            <v>91.651718075236374</v>
          </cell>
          <cell r="BR171">
            <v>98.610193879527401</v>
          </cell>
        </row>
        <row r="172">
          <cell r="AY172">
            <v>56.49905789331369</v>
          </cell>
          <cell r="AZ172">
            <v>0.55047749176402194</v>
          </cell>
          <cell r="BB172">
            <v>91.357517662392098</v>
          </cell>
          <cell r="BR172">
            <v>97.854489402868367</v>
          </cell>
        </row>
        <row r="173">
          <cell r="AY173">
            <v>56.157780520566568</v>
          </cell>
          <cell r="AZ173">
            <v>0.50339852751922243</v>
          </cell>
          <cell r="BB173">
            <v>91.426603220650108</v>
          </cell>
          <cell r="BR173">
            <v>99.735028326539265</v>
          </cell>
        </row>
        <row r="174">
          <cell r="AY174">
            <v>55.715493594823606</v>
          </cell>
          <cell r="AZ174">
            <v>0.49966963053337499</v>
          </cell>
          <cell r="BB174">
            <v>91.31354856636348</v>
          </cell>
          <cell r="BR174">
            <v>102.7981466749476</v>
          </cell>
        </row>
        <row r="175">
          <cell r="AY175">
            <v>55.752640753576912</v>
          </cell>
          <cell r="AZ175">
            <v>0.53751826927998125</v>
          </cell>
          <cell r="BB175">
            <v>91.889365073420862</v>
          </cell>
          <cell r="BR175">
            <v>104.02007099628467</v>
          </cell>
        </row>
        <row r="176">
          <cell r="AY176">
            <v>55.215393479311601</v>
          </cell>
          <cell r="AZ176">
            <v>0.58819341531803637</v>
          </cell>
          <cell r="BB176">
            <v>91.827677077459356</v>
          </cell>
          <cell r="BR176">
            <v>108.32028665722207</v>
          </cell>
        </row>
        <row r="177">
          <cell r="AY177">
            <v>54.700026761852506</v>
          </cell>
          <cell r="AZ177">
            <v>0.54520374429306806</v>
          </cell>
          <cell r="BB177">
            <v>91.481117726075098</v>
          </cell>
          <cell r="BR177">
            <v>111.37038443362279</v>
          </cell>
        </row>
        <row r="178">
          <cell r="AY178">
            <v>55.259209273165851</v>
          </cell>
          <cell r="AZ178">
            <v>0.50191922404464284</v>
          </cell>
          <cell r="BB178">
            <v>90.926560824615621</v>
          </cell>
          <cell r="BR178">
            <v>110.47021413309579</v>
          </cell>
        </row>
        <row r="179">
          <cell r="AY179">
            <v>55.725338712473693</v>
          </cell>
          <cell r="AZ179">
            <v>0.47289124089802442</v>
          </cell>
          <cell r="BB179">
            <v>91.014189822846134</v>
          </cell>
          <cell r="BR179">
            <v>107.69599003388875</v>
          </cell>
        </row>
        <row r="180">
          <cell r="AY180">
            <v>56.338311050802439</v>
          </cell>
          <cell r="AZ180">
            <v>0.53779372040718754</v>
          </cell>
          <cell r="BB180">
            <v>92.232958779605141</v>
          </cell>
          <cell r="BR180">
            <v>105.59519621476437</v>
          </cell>
        </row>
        <row r="181">
          <cell r="AY181">
            <v>56.12819460661035</v>
          </cell>
          <cell r="AZ181">
            <v>0.52031027090067539</v>
          </cell>
          <cell r="BB181">
            <v>92.772626968143811</v>
          </cell>
          <cell r="BR181">
            <v>106.78641712218815</v>
          </cell>
        </row>
        <row r="182">
          <cell r="AY182">
            <v>55.606727354075247</v>
          </cell>
          <cell r="AZ182">
            <v>0.52875625203352927</v>
          </cell>
          <cell r="BB182">
            <v>93.001698001445021</v>
          </cell>
          <cell r="BR182">
            <v>108.9704112267649</v>
          </cell>
        </row>
        <row r="183">
          <cell r="AY183">
            <v>54.97563313774311</v>
          </cell>
          <cell r="AZ183">
            <v>0.51822981815012714</v>
          </cell>
          <cell r="BB183">
            <v>92.865824432529138</v>
          </cell>
          <cell r="BR183">
            <v>112.47219189814078</v>
          </cell>
        </row>
        <row r="184">
          <cell r="AY184">
            <v>56.029281527488742</v>
          </cell>
          <cell r="AZ184">
            <v>0.52196485425297834</v>
          </cell>
          <cell r="BB184">
            <v>96.507376411799996</v>
          </cell>
          <cell r="BR184">
            <v>118.53657121506585</v>
          </cell>
        </row>
        <row r="185">
          <cell r="AY185">
            <v>53.501955004322753</v>
          </cell>
          <cell r="AZ185">
            <v>0.46212444178161682</v>
          </cell>
          <cell r="BB185">
            <v>93.135226312378833</v>
          </cell>
          <cell r="BR185">
            <v>121.89324328227858</v>
          </cell>
        </row>
        <row r="186">
          <cell r="AY186">
            <v>53.984185077433558</v>
          </cell>
          <cell r="AZ186">
            <v>0.46461534940216043</v>
          </cell>
          <cell r="BB186">
            <v>95.833387244499704</v>
          </cell>
          <cell r="BR186">
            <v>121.40140706967321</v>
          </cell>
        </row>
        <row r="187">
          <cell r="AY187">
            <v>55.479366182888569</v>
          </cell>
          <cell r="AZ187">
            <v>0.51685485848213586</v>
          </cell>
          <cell r="BB187">
            <v>100.72685496254793</v>
          </cell>
          <cell r="BR187">
            <v>117.53701277641271</v>
          </cell>
        </row>
        <row r="188">
          <cell r="AY188">
            <v>56.527811581069173</v>
          </cell>
          <cell r="AZ188">
            <v>0.58733078310468356</v>
          </cell>
          <cell r="BB188">
            <v>104.49852848523471</v>
          </cell>
          <cell r="BR188">
            <v>111.00441158319794</v>
          </cell>
        </row>
        <row r="189">
          <cell r="AY189">
            <v>56.466318920958159</v>
          </cell>
          <cell r="AZ189">
            <v>0.54467255674537707</v>
          </cell>
          <cell r="BB189">
            <v>104.67214134739345</v>
          </cell>
          <cell r="BR189">
            <v>110.92576832344108</v>
          </cell>
        </row>
        <row r="190">
          <cell r="AY190">
            <v>57.115684349787053</v>
          </cell>
          <cell r="AZ190">
            <v>0.49491628187393039</v>
          </cell>
          <cell r="BB190">
            <v>112.23791113848783</v>
          </cell>
          <cell r="BR190">
            <v>108.29879700559285</v>
          </cell>
        </row>
        <row r="191">
          <cell r="AY191">
            <v>57.945082835354</v>
          </cell>
          <cell r="AZ191">
            <v>0.47334006101170639</v>
          </cell>
          <cell r="BB191">
            <v>114.56545813830773</v>
          </cell>
          <cell r="BR191">
            <v>106.39483427575698</v>
          </cell>
        </row>
        <row r="192">
          <cell r="AY192">
            <v>58.149865425301343</v>
          </cell>
          <cell r="AZ192">
            <v>0.52731149208694328</v>
          </cell>
          <cell r="BB192">
            <v>115.57642065439403</v>
          </cell>
          <cell r="BR192">
            <v>106.1576239233615</v>
          </cell>
        </row>
        <row r="193">
          <cell r="AY193">
            <v>57.421529417366635</v>
          </cell>
          <cell r="AZ193">
            <v>0.50876388469734279</v>
          </cell>
          <cell r="BB193">
            <v>115.19325046803561</v>
          </cell>
          <cell r="BR193">
            <v>109.74526011834655</v>
          </cell>
        </row>
        <row r="194">
          <cell r="AY194">
            <v>57.129121222526145</v>
          </cell>
          <cell r="AZ194">
            <v>0.52822287627554354</v>
          </cell>
          <cell r="BB194">
            <v>115.95632307977576</v>
          </cell>
          <cell r="BR194">
            <v>110.06813666962888</v>
          </cell>
        </row>
        <row r="195">
          <cell r="AY195">
            <v>57.489793283476899</v>
          </cell>
          <cell r="AZ195">
            <v>0.52333103896538491</v>
          </cell>
          <cell r="BB195">
            <v>118.01739555428223</v>
          </cell>
          <cell r="BR195">
            <v>107.7680015111452</v>
          </cell>
        </row>
        <row r="196">
          <cell r="AY196">
            <v>57.996384480229487</v>
          </cell>
          <cell r="AZ196">
            <v>0.51958168623795009</v>
          </cell>
          <cell r="BB196">
            <v>120.40677174589869</v>
          </cell>
          <cell r="BR196">
            <v>104.2409149423403</v>
          </cell>
        </row>
        <row r="197">
          <cell r="AY197">
            <v>58.01054950005409</v>
          </cell>
          <cell r="AZ197">
            <v>0.48548465689332138</v>
          </cell>
          <cell r="BB197">
            <v>121.74527216982113</v>
          </cell>
          <cell r="BR197">
            <v>104.91547321491366</v>
          </cell>
        </row>
        <row r="198">
          <cell r="AY198">
            <v>57.6212361845689</v>
          </cell>
          <cell r="AZ198">
            <v>0.47719119328193266</v>
          </cell>
          <cell r="BB198">
            <v>122.59863817796432</v>
          </cell>
          <cell r="BR198">
            <v>108.69752125842918</v>
          </cell>
        </row>
        <row r="199">
          <cell r="AY199">
            <v>58.217291803783475</v>
          </cell>
          <cell r="AZ199">
            <v>0.52092006293441795</v>
          </cell>
          <cell r="BB199">
            <v>125.19071254430838</v>
          </cell>
          <cell r="BR199">
            <v>107.19885986473182</v>
          </cell>
        </row>
        <row r="200">
          <cell r="AY200">
            <v>58.506040312859533</v>
          </cell>
          <cell r="AZ200">
            <v>0.5901055816720554</v>
          </cell>
          <cell r="BB200">
            <v>126.22005615382726</v>
          </cell>
          <cell r="BR200">
            <v>104.02696339393587</v>
          </cell>
        </row>
        <row r="201">
          <cell r="AY201">
            <v>58.539475852722923</v>
          </cell>
          <cell r="AZ201">
            <v>0.54002173907925877</v>
          </cell>
          <cell r="BB201">
            <v>127.78599258269801</v>
          </cell>
          <cell r="BR201">
            <v>104.22766650071105</v>
          </cell>
        </row>
        <row r="202">
          <cell r="AY202">
            <v>58.686797979728709</v>
          </cell>
          <cell r="AZ202">
            <v>0.49219152015457668</v>
          </cell>
          <cell r="BB202">
            <v>127.24782485090257</v>
          </cell>
          <cell r="BR202">
            <v>103.71768974334496</v>
          </cell>
        </row>
        <row r="203">
          <cell r="AY203">
            <v>58.512051153900032</v>
          </cell>
          <cell r="AZ203">
            <v>0.46583880811168621</v>
          </cell>
          <cell r="BB203">
            <v>126.72927078211971</v>
          </cell>
          <cell r="BR203">
            <v>104.93841999759694</v>
          </cell>
        </row>
        <row r="204">
          <cell r="AY204">
            <v>58.256436021626691</v>
          </cell>
          <cell r="AZ204">
            <v>0.50706163561399498</v>
          </cell>
          <cell r="BB204">
            <v>126.75091583400464</v>
          </cell>
          <cell r="BR204">
            <v>106.36789359219681</v>
          </cell>
        </row>
        <row r="205">
          <cell r="AY205">
            <v>58.152780907580237</v>
          </cell>
          <cell r="AZ205">
            <v>0.49976394690650044</v>
          </cell>
          <cell r="BB205">
            <v>127.58613590811495</v>
          </cell>
          <cell r="BR205">
            <v>105.38392749462197</v>
          </cell>
        </row>
        <row r="206">
          <cell r="AY206">
            <v>57.830853856170549</v>
          </cell>
          <cell r="AZ206">
            <v>0.52513312910879206</v>
          </cell>
          <cell r="BB206">
            <v>128.02554913621626</v>
          </cell>
          <cell r="BR206">
            <v>106.81663562281649</v>
          </cell>
        </row>
        <row r="207">
          <cell r="AY207">
            <v>57.637037001166128</v>
          </cell>
          <cell r="AZ207">
            <v>0.51348097145076543</v>
          </cell>
          <cell r="BB207">
            <v>129.04483366657445</v>
          </cell>
          <cell r="BR207">
            <v>108.43120270275897</v>
          </cell>
        </row>
        <row r="208">
          <cell r="AY208">
            <v>57.364944804937565</v>
          </cell>
          <cell r="AZ208">
            <v>0.50145143880579912</v>
          </cell>
          <cell r="BB208">
            <v>129.4242727774234</v>
          </cell>
          <cell r="BR208">
            <v>111.89946758639846</v>
          </cell>
        </row>
        <row r="209">
          <cell r="AY209">
            <v>57.418668150083597</v>
          </cell>
          <cell r="AZ209">
            <v>0.47119476502599783</v>
          </cell>
          <cell r="BB209">
            <v>131.11893325059657</v>
          </cell>
          <cell r="BR209">
            <v>111.98683846709983</v>
          </cell>
        </row>
        <row r="210">
          <cell r="AY210">
            <v>57.217147304037255</v>
          </cell>
          <cell r="AZ210">
            <v>0.46201037289063729</v>
          </cell>
          <cell r="BB210">
            <v>132.03606809057149</v>
          </cell>
          <cell r="BR210">
            <v>113.10657987465447</v>
          </cell>
        </row>
        <row r="211">
          <cell r="BB211">
            <v>132.42813896018779</v>
          </cell>
          <cell r="BR211">
            <v>115.24376319109841</v>
          </cell>
        </row>
        <row r="212">
          <cell r="BB212">
            <v>133.55623384377358</v>
          </cell>
        </row>
      </sheetData>
      <sheetData sheetId="15" refreshError="1"/>
      <sheetData sheetId="16"/>
      <sheetData sheetId="17"/>
      <sheetData sheetId="18"/>
      <sheetData sheetId="19" refreshError="1"/>
      <sheetData sheetId="20" refreshError="1"/>
      <sheetData sheetId="21" refreshError="1"/>
      <sheetData sheetId="22"/>
      <sheetData sheetId="23" refreshError="1"/>
      <sheetData sheetId="24" refreshError="1"/>
      <sheetData sheetId="25" refreshError="1"/>
      <sheetData sheetId="26"/>
      <sheetData sheetId="27"/>
      <sheetData sheetId="28"/>
      <sheetData sheetId="29" refreshError="1"/>
      <sheetData sheetId="30" refreshError="1"/>
      <sheetData sheetId="31" refreshError="1"/>
      <sheetData sheetId="32"/>
      <sheetData sheetId="33" refreshError="1"/>
      <sheetData sheetId="34" refreshError="1"/>
      <sheetData sheetId="35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Sheet"/>
      <sheetName val="EdssLlsWeoRequest"/>
      <sheetName val="EdssGeeDatabase"/>
      <sheetName val="EdssGeeGAS"/>
      <sheetName val="IfsMonthly"/>
      <sheetName val="EdssPcpiMonEnd"/>
      <sheetName val="IfsAnnual"/>
      <sheetName val="OecdEo"/>
      <sheetName val="CPB"/>
      <sheetName val="CPB-main_econ_indicators"/>
      <sheetName val="CPB_ GDP"/>
      <sheetName val="CPBFiscal"/>
      <sheetName val="CPBLabor"/>
      <sheetName val="ExportMarketGrowth"/>
      <sheetName val="ControlSheet"/>
      <sheetName val="BasicDataSheet"/>
      <sheetName val="Macros for WEO file"/>
      <sheetName val="MainEconIndicators"/>
      <sheetName val="MediumTermTable"/>
      <sheetName val="SummaryIndic"/>
      <sheetName val="EdssWeoNldBrfData"/>
      <sheetName val="CompNAandBOP"/>
      <sheetName val="BalanceOfPayments"/>
      <sheetName val="NationalAccounts"/>
      <sheetName val="FiscalTable"/>
      <sheetName val="PublicFinance (2)"/>
      <sheetName val="PublicFinance"/>
      <sheetName val="EmplPotentialInflation"/>
      <sheetName val="ExportToWEO"/>
      <sheetName val="ExportToEdss"/>
      <sheetName val="Sheet1"/>
      <sheetName val="CPB table April 2007"/>
      <sheetName val="MoF table April 2007"/>
      <sheetName val="Gov08-11budg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ControlSheet"/>
      <sheetName val="i1-CA"/>
      <sheetName val="i2-KA"/>
      <sheetName val="KA2"/>
      <sheetName val="my table"/>
      <sheetName val="i3-LQ"/>
      <sheetName val="Debt"/>
      <sheetName val="Assu"/>
      <sheetName val="BOP"/>
      <sheetName val="Assu. summary"/>
      <sheetName val="output"/>
      <sheetName val="outmacro"/>
      <sheetName val="WEO"/>
      <sheetName val="trade-struct"/>
      <sheetName val="dir-trade"/>
    </sheetNames>
    <sheetDataSet>
      <sheetData sheetId="0"/>
      <sheetData sheetId="1" refreshError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 refreshError="1"/>
      <sheetData sheetId="11"/>
      <sheetData sheetId="12" refreshError="1"/>
      <sheetData sheetId="13"/>
      <sheetData sheetId="14" refreshError="1"/>
      <sheetData sheetId="15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Sheet"/>
      <sheetName val="EdssLlsWeoRequest"/>
      <sheetName val="EdssGeeDatabase"/>
      <sheetName val="EdssGeeGAS"/>
      <sheetName val="IfsMonthly"/>
      <sheetName val="EdssPcpiMonEnd"/>
      <sheetName val="IfsAnnual"/>
      <sheetName val="OecdEo"/>
      <sheetName val="CPB"/>
      <sheetName val="CPB-main_econ_indicators"/>
      <sheetName val="CPB_ GDP"/>
      <sheetName val="CPBFiscal"/>
      <sheetName val="CPBLabor"/>
      <sheetName val="ExportMarketGrowth"/>
      <sheetName val="ControlSheet"/>
      <sheetName val="BasicDataSheet"/>
      <sheetName val="Macros for WEO file"/>
      <sheetName val="MainEconIndicators"/>
      <sheetName val="MediumTermTable"/>
      <sheetName val="SummaryIndic"/>
      <sheetName val="EdssWeoNldBrfData"/>
      <sheetName val="CompNAandBOP"/>
      <sheetName val="BalanceOfPayments"/>
      <sheetName val="NationalAccounts"/>
      <sheetName val="FiscalTable"/>
      <sheetName val="PublicFinance (2)"/>
      <sheetName val="PublicFinance"/>
      <sheetName val="EmplPotentialInflation"/>
      <sheetName val="ExportToWEO"/>
      <sheetName val="ExportToEdss"/>
      <sheetName val="Sheet1"/>
      <sheetName val="CPB table April 2007"/>
      <sheetName val="MoF table April 2007"/>
      <sheetName val="Gov08-11budg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Sheet"/>
      <sheetName val="EdssLlsWeoRequest"/>
      <sheetName val="EdssGeeDatabase"/>
      <sheetName val="EdssGeeGAS"/>
      <sheetName val="IfsMonthly"/>
      <sheetName val="EdssPcpiMonEnd"/>
      <sheetName val="IfsAnnual"/>
      <sheetName val="OecdEo"/>
      <sheetName val="CPB"/>
      <sheetName val="CPB-main_econ_indicators"/>
      <sheetName val="CPB_ GDP"/>
      <sheetName val="CPBFiscal"/>
      <sheetName val="CPBLabor"/>
      <sheetName val="ExportMarketGrowth"/>
      <sheetName val="ControlSheet"/>
      <sheetName val="BasicDataSheet"/>
      <sheetName val="Macros for WEO file"/>
      <sheetName val="MainEconIndicators"/>
      <sheetName val="MediumTermTable"/>
      <sheetName val="SummaryIndic"/>
      <sheetName val="EdssWeoNldBrfData"/>
      <sheetName val="CompNAandBOP"/>
      <sheetName val="BalanceOfPayments"/>
      <sheetName val="NationalAccounts"/>
      <sheetName val="FiscalTable"/>
      <sheetName val="PublicFinance (2)"/>
      <sheetName val="PublicFinance"/>
      <sheetName val="EmplPotentialInflation"/>
      <sheetName val="ExportToWEO"/>
      <sheetName val="ExportToEdss"/>
      <sheetName val="Sheet1"/>
      <sheetName val="CPB table April 2007"/>
      <sheetName val="MoF table April 2007"/>
      <sheetName val="Gov08-11budg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age Data"/>
      <sheetName val="Wages by sector"/>
      <sheetName val="Wages_sectors"/>
      <sheetName val="Wages"/>
      <sheetName val="Priv S wages"/>
      <sheetName val="Pub S wages"/>
      <sheetName val="Wages_graphs"/>
      <sheetName val="Wages Manuf."/>
      <sheetName val="Real wages"/>
      <sheetName val="Real wages by sector"/>
      <sheetName val="Employment Data Sectors (wages)"/>
      <sheetName val="Employment data by sectors"/>
      <sheetName val="Employment_Full time equivalent"/>
      <sheetName val="Employment data"/>
      <sheetName val="Sheet1"/>
      <sheetName val="Total Employment"/>
      <sheetName val="Employment public services"/>
      <sheetName val="Employment table"/>
      <sheetName val="Balassa-Samuelson"/>
      <sheetName val="Wages and Consumption"/>
      <sheetName val="Wages and tax revenu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>
        <row r="6">
          <cell r="H6">
            <v>31509</v>
          </cell>
        </row>
        <row r="7">
          <cell r="H7">
            <v>31785</v>
          </cell>
        </row>
        <row r="8">
          <cell r="H8">
            <v>32217</v>
          </cell>
        </row>
        <row r="9">
          <cell r="H9">
            <v>32309</v>
          </cell>
        </row>
        <row r="10">
          <cell r="H10">
            <v>32261</v>
          </cell>
        </row>
        <row r="11">
          <cell r="A11" t="str">
            <v>JUL</v>
          </cell>
          <cell r="B11">
            <v>575913</v>
          </cell>
          <cell r="C11">
            <v>8045</v>
          </cell>
          <cell r="H11">
            <v>32480</v>
          </cell>
        </row>
        <row r="12">
          <cell r="A12" t="str">
            <v>AVG</v>
          </cell>
          <cell r="B12">
            <v>574495</v>
          </cell>
          <cell r="C12">
            <v>8070</v>
          </cell>
          <cell r="H12">
            <v>32444</v>
          </cell>
        </row>
        <row r="13">
          <cell r="A13" t="str">
            <v>SEP</v>
          </cell>
          <cell r="B13">
            <v>575282</v>
          </cell>
          <cell r="C13">
            <v>7946</v>
          </cell>
          <cell r="H13">
            <v>32895</v>
          </cell>
        </row>
        <row r="14">
          <cell r="A14" t="str">
            <v>OKT</v>
          </cell>
          <cell r="B14">
            <v>576186</v>
          </cell>
          <cell r="C14">
            <v>7965</v>
          </cell>
          <cell r="H14">
            <v>32892</v>
          </cell>
        </row>
        <row r="15">
          <cell r="A15" t="str">
            <v>NOV</v>
          </cell>
          <cell r="B15">
            <v>576133</v>
          </cell>
          <cell r="C15">
            <v>8164</v>
          </cell>
          <cell r="H15">
            <v>32836</v>
          </cell>
        </row>
        <row r="16">
          <cell r="A16" t="str">
            <v>DEC</v>
          </cell>
          <cell r="B16">
            <v>572807</v>
          </cell>
          <cell r="C16">
            <v>7995</v>
          </cell>
          <cell r="H16">
            <v>32298</v>
          </cell>
        </row>
        <row r="17">
          <cell r="A17">
            <v>1997</v>
          </cell>
          <cell r="B17">
            <v>576225.75</v>
          </cell>
          <cell r="C17">
            <v>8073.416666666667</v>
          </cell>
          <cell r="H17">
            <v>32287.166666666668</v>
          </cell>
        </row>
        <row r="20">
          <cell r="B20" t="str">
            <v>Total</v>
          </cell>
          <cell r="C20" t="str">
            <v>A</v>
          </cell>
        </row>
        <row r="21">
          <cell r="A21" t="str">
            <v>JAN</v>
          </cell>
          <cell r="B21">
            <v>570812</v>
          </cell>
          <cell r="C21">
            <v>7859</v>
          </cell>
        </row>
        <row r="22">
          <cell r="A22" t="str">
            <v>FEB</v>
          </cell>
          <cell r="B22">
            <v>570863</v>
          </cell>
          <cell r="C22">
            <v>7916</v>
          </cell>
        </row>
        <row r="23">
          <cell r="A23" t="str">
            <v>MAR</v>
          </cell>
          <cell r="B23">
            <v>571919</v>
          </cell>
          <cell r="C23">
            <v>7960</v>
          </cell>
        </row>
        <row r="24">
          <cell r="A24" t="str">
            <v>APR</v>
          </cell>
          <cell r="B24">
            <v>574030</v>
          </cell>
          <cell r="C24">
            <v>7953</v>
          </cell>
        </row>
        <row r="25">
          <cell r="A25" t="str">
            <v>MAJ</v>
          </cell>
          <cell r="B25">
            <v>574751</v>
          </cell>
          <cell r="C25">
            <v>7923</v>
          </cell>
        </row>
        <row r="26">
          <cell r="A26" t="str">
            <v>JUN</v>
          </cell>
          <cell r="B26">
            <v>574773</v>
          </cell>
          <cell r="C26">
            <v>8016</v>
          </cell>
        </row>
        <row r="27">
          <cell r="A27" t="str">
            <v>JUL</v>
          </cell>
          <cell r="B27">
            <v>574914</v>
          </cell>
          <cell r="C27">
            <v>7989</v>
          </cell>
        </row>
        <row r="28">
          <cell r="A28" t="str">
            <v>AVG</v>
          </cell>
          <cell r="B28">
            <v>574755</v>
          </cell>
          <cell r="C28">
            <v>7913</v>
          </cell>
        </row>
        <row r="29">
          <cell r="A29" t="str">
            <v>SEP</v>
          </cell>
          <cell r="B29">
            <v>575464</v>
          </cell>
          <cell r="C29">
            <v>7891</v>
          </cell>
        </row>
        <row r="30">
          <cell r="A30" t="str">
            <v>OKT</v>
          </cell>
          <cell r="B30">
            <v>576124</v>
          </cell>
          <cell r="C30">
            <v>7875</v>
          </cell>
        </row>
        <row r="31">
          <cell r="A31" t="str">
            <v>NOV</v>
          </cell>
          <cell r="B31">
            <v>576937</v>
          </cell>
          <cell r="C31">
            <v>7782</v>
          </cell>
        </row>
        <row r="32">
          <cell r="A32" t="str">
            <v>DEC</v>
          </cell>
          <cell r="B32">
            <v>575048</v>
          </cell>
          <cell r="C32">
            <v>7657</v>
          </cell>
        </row>
        <row r="33">
          <cell r="A33">
            <v>1998</v>
          </cell>
          <cell r="B33">
            <v>574202.58333333326</v>
          </cell>
          <cell r="C33">
            <v>7894.5</v>
          </cell>
        </row>
        <row r="36">
          <cell r="B36" t="str">
            <v>Total</v>
          </cell>
          <cell r="C36" t="str">
            <v>A</v>
          </cell>
        </row>
        <row r="37">
          <cell r="A37" t="str">
            <v>JAN</v>
          </cell>
          <cell r="B37">
            <v>576144</v>
          </cell>
          <cell r="C37">
            <v>7583</v>
          </cell>
        </row>
        <row r="38">
          <cell r="A38" t="str">
            <v>FEB</v>
          </cell>
          <cell r="B38">
            <v>578019</v>
          </cell>
          <cell r="C38">
            <v>7557</v>
          </cell>
        </row>
        <row r="39">
          <cell r="A39" t="str">
            <v>MAR</v>
          </cell>
          <cell r="B39">
            <v>579604</v>
          </cell>
          <cell r="C39">
            <v>7656</v>
          </cell>
        </row>
        <row r="40">
          <cell r="A40" t="str">
            <v>APR</v>
          </cell>
          <cell r="B40">
            <v>581047</v>
          </cell>
          <cell r="C40">
            <v>7710</v>
          </cell>
        </row>
        <row r="41">
          <cell r="A41" t="str">
            <v>MAJ</v>
          </cell>
          <cell r="B41">
            <v>582571</v>
          </cell>
          <cell r="C41">
            <v>7747</v>
          </cell>
        </row>
        <row r="42">
          <cell r="A42" t="str">
            <v>JUN</v>
          </cell>
          <cell r="B42">
            <v>584084</v>
          </cell>
          <cell r="C42">
            <v>7782</v>
          </cell>
        </row>
        <row r="43">
          <cell r="A43" t="str">
            <v>JUL</v>
          </cell>
          <cell r="B43">
            <v>585353</v>
          </cell>
          <cell r="C43">
            <v>7821</v>
          </cell>
        </row>
        <row r="44">
          <cell r="A44" t="str">
            <v>AVG</v>
          </cell>
          <cell r="B44">
            <v>584885</v>
          </cell>
          <cell r="C44">
            <v>7517</v>
          </cell>
        </row>
        <row r="45">
          <cell r="A45" t="str">
            <v>SEP</v>
          </cell>
          <cell r="B45">
            <v>587070</v>
          </cell>
          <cell r="C45">
            <v>7692</v>
          </cell>
        </row>
        <row r="46">
          <cell r="A46" t="str">
            <v>OKT</v>
          </cell>
          <cell r="B46">
            <v>589206</v>
          </cell>
          <cell r="C46">
            <v>7710</v>
          </cell>
        </row>
        <row r="47">
          <cell r="A47" t="str">
            <v>NOV</v>
          </cell>
          <cell r="B47">
            <v>589722</v>
          </cell>
          <cell r="C47">
            <v>7550</v>
          </cell>
        </row>
        <row r="48">
          <cell r="A48" t="str">
            <v>DEC</v>
          </cell>
          <cell r="B48">
            <v>587237</v>
          </cell>
          <cell r="C48">
            <v>7214</v>
          </cell>
        </row>
        <row r="49">
          <cell r="A49">
            <v>1999</v>
          </cell>
          <cell r="B49">
            <v>583801</v>
          </cell>
          <cell r="C49">
            <v>7628</v>
          </cell>
        </row>
        <row r="52">
          <cell r="B52" t="str">
            <v>Total</v>
          </cell>
          <cell r="C52" t="str">
            <v>A</v>
          </cell>
        </row>
        <row r="53">
          <cell r="A53" t="str">
            <v>JAN</v>
          </cell>
          <cell r="B53">
            <v>585835</v>
          </cell>
          <cell r="C53">
            <v>7092</v>
          </cell>
        </row>
        <row r="54">
          <cell r="A54" t="str">
            <v>FEB</v>
          </cell>
          <cell r="B54">
            <v>587900</v>
          </cell>
          <cell r="C54">
            <v>7090</v>
          </cell>
        </row>
        <row r="55">
          <cell r="A55" t="str">
            <v>MAR</v>
          </cell>
          <cell r="B55">
            <v>588971</v>
          </cell>
          <cell r="C55">
            <v>7298</v>
          </cell>
        </row>
        <row r="56">
          <cell r="A56" t="str">
            <v>APR</v>
          </cell>
          <cell r="B56">
            <v>590669</v>
          </cell>
          <cell r="C56">
            <v>7325</v>
          </cell>
        </row>
        <row r="57">
          <cell r="A57" t="str">
            <v>MAJ</v>
          </cell>
          <cell r="B57">
            <v>591604</v>
          </cell>
          <cell r="C57">
            <v>7355</v>
          </cell>
        </row>
        <row r="58">
          <cell r="A58" t="str">
            <v>JUN</v>
          </cell>
          <cell r="B58">
            <v>593230</v>
          </cell>
          <cell r="C58">
            <v>7419</v>
          </cell>
        </row>
        <row r="59">
          <cell r="A59" t="str">
            <v>JUL</v>
          </cell>
          <cell r="B59">
            <v>592637</v>
          </cell>
          <cell r="C59">
            <v>7393</v>
          </cell>
        </row>
        <row r="60">
          <cell r="A60" t="str">
            <v>AVG</v>
          </cell>
          <cell r="B60">
            <v>592398</v>
          </cell>
          <cell r="C60">
            <v>7377</v>
          </cell>
        </row>
        <row r="61">
          <cell r="A61" t="str">
            <v>SEP</v>
          </cell>
          <cell r="B61">
            <v>593975</v>
          </cell>
          <cell r="C61">
            <v>7813</v>
          </cell>
        </row>
        <row r="62">
          <cell r="A62" t="str">
            <v>OKT</v>
          </cell>
          <cell r="B62">
            <v>595507</v>
          </cell>
          <cell r="C62">
            <v>7525</v>
          </cell>
        </row>
        <row r="63">
          <cell r="A63" t="str">
            <v>NOV</v>
          </cell>
          <cell r="B63">
            <v>595261</v>
          </cell>
          <cell r="C63">
            <v>7133</v>
          </cell>
        </row>
        <row r="64">
          <cell r="A64" t="str">
            <v>DEC</v>
          </cell>
          <cell r="B64">
            <v>593689</v>
          </cell>
          <cell r="C64">
            <v>7010</v>
          </cell>
        </row>
        <row r="65">
          <cell r="A65">
            <v>2000</v>
          </cell>
          <cell r="B65">
            <v>591806.33333333326</v>
          </cell>
          <cell r="C65">
            <v>7319.166666666667</v>
          </cell>
        </row>
        <row r="68">
          <cell r="B68" t="str">
            <v>Total</v>
          </cell>
          <cell r="C68" t="str">
            <v>A</v>
          </cell>
        </row>
        <row r="69">
          <cell r="A69" t="str">
            <v>JAN</v>
          </cell>
          <cell r="B69">
            <v>593701</v>
          </cell>
          <cell r="C69">
            <v>6896</v>
          </cell>
        </row>
        <row r="70">
          <cell r="A70" t="str">
            <v>FEB</v>
          </cell>
          <cell r="B70">
            <v>594472</v>
          </cell>
          <cell r="C70">
            <v>6875</v>
          </cell>
        </row>
        <row r="71">
          <cell r="A71" t="str">
            <v>MAR</v>
          </cell>
          <cell r="B71">
            <v>598394</v>
          </cell>
          <cell r="C71">
            <v>6951</v>
          </cell>
        </row>
        <row r="72">
          <cell r="A72" t="str">
            <v>APR</v>
          </cell>
          <cell r="B72">
            <v>600445</v>
          </cell>
          <cell r="C72">
            <v>6943</v>
          </cell>
        </row>
        <row r="73">
          <cell r="A73" t="str">
            <v>MAJ</v>
          </cell>
          <cell r="B73">
            <v>603082</v>
          </cell>
          <cell r="C73">
            <v>7062</v>
          </cell>
        </row>
        <row r="74">
          <cell r="A74" t="str">
            <v>JUN</v>
          </cell>
          <cell r="B74">
            <v>604590</v>
          </cell>
          <cell r="C74">
            <v>6940</v>
          </cell>
        </row>
        <row r="75">
          <cell r="A75" t="str">
            <v>JUL</v>
          </cell>
          <cell r="B75">
            <v>604546</v>
          </cell>
          <cell r="C75">
            <v>6781</v>
          </cell>
        </row>
        <row r="76">
          <cell r="A76" t="str">
            <v>AVG</v>
          </cell>
          <cell r="B76">
            <v>604339</v>
          </cell>
          <cell r="C76">
            <v>6635</v>
          </cell>
        </row>
        <row r="77">
          <cell r="A77" t="str">
            <v>SEP</v>
          </cell>
          <cell r="B77">
            <v>607350</v>
          </cell>
          <cell r="C77">
            <v>6806</v>
          </cell>
        </row>
        <row r="78">
          <cell r="A78" t="str">
            <v>OKT</v>
          </cell>
          <cell r="B78">
            <v>608109</v>
          </cell>
          <cell r="C78">
            <v>6804</v>
          </cell>
        </row>
        <row r="79">
          <cell r="A79" t="str">
            <v>NOV</v>
          </cell>
          <cell r="B79">
            <v>607786</v>
          </cell>
          <cell r="C79">
            <v>6467</v>
          </cell>
        </row>
        <row r="80">
          <cell r="A80" t="str">
            <v>DEC</v>
          </cell>
          <cell r="B80">
            <v>605600</v>
          </cell>
          <cell r="C80">
            <v>6305</v>
          </cell>
        </row>
        <row r="81">
          <cell r="A81">
            <v>2001</v>
          </cell>
          <cell r="B81">
            <v>602702</v>
          </cell>
          <cell r="C81">
            <v>6789</v>
          </cell>
        </row>
        <row r="83">
          <cell r="A83" t="str">
            <v>Share</v>
          </cell>
          <cell r="C83">
            <v>1.1264273222919452</v>
          </cell>
        </row>
        <row r="84">
          <cell r="A84" t="str">
            <v>Data without changes</v>
          </cell>
          <cell r="B84" t="str">
            <v>Total</v>
          </cell>
          <cell r="C84" t="str">
            <v>A</v>
          </cell>
        </row>
        <row r="85">
          <cell r="A85" t="str">
            <v>JAN</v>
          </cell>
          <cell r="B85">
            <v>605094</v>
          </cell>
          <cell r="C85">
            <v>6140</v>
          </cell>
        </row>
        <row r="86">
          <cell r="A86" t="str">
            <v>FEB</v>
          </cell>
          <cell r="B86">
            <v>606374</v>
          </cell>
          <cell r="C86">
            <v>6589</v>
          </cell>
          <cell r="H86">
            <v>33441</v>
          </cell>
        </row>
        <row r="87">
          <cell r="A87" t="str">
            <v>MAR</v>
          </cell>
          <cell r="B87">
            <v>607521</v>
          </cell>
          <cell r="C87">
            <v>6753</v>
          </cell>
          <cell r="H87">
            <v>33464</v>
          </cell>
        </row>
        <row r="88">
          <cell r="A88" t="str">
            <v>APR</v>
          </cell>
          <cell r="B88">
            <v>608401</v>
          </cell>
          <cell r="C88">
            <v>6827</v>
          </cell>
          <cell r="H88">
            <v>33641</v>
          </cell>
        </row>
        <row r="89">
          <cell r="A89" t="str">
            <v>MAJ</v>
          </cell>
          <cell r="B89">
            <v>608968</v>
          </cell>
          <cell r="C89">
            <v>6826</v>
          </cell>
          <cell r="H89">
            <v>33740</v>
          </cell>
        </row>
        <row r="90">
          <cell r="A90" t="str">
            <v>JUN</v>
          </cell>
          <cell r="B90">
            <v>609108</v>
          </cell>
          <cell r="C90">
            <v>6750</v>
          </cell>
          <cell r="H90">
            <v>33746</v>
          </cell>
        </row>
        <row r="91">
          <cell r="A91" t="str">
            <v>JUL</v>
          </cell>
          <cell r="B91">
            <v>607911</v>
          </cell>
          <cell r="C91">
            <v>6637</v>
          </cell>
          <cell r="H91">
            <v>33711</v>
          </cell>
        </row>
        <row r="92">
          <cell r="A92" t="str">
            <v>AVG</v>
          </cell>
          <cell r="B92">
            <v>606560</v>
          </cell>
          <cell r="C92">
            <v>6535</v>
          </cell>
          <cell r="H92">
            <v>33763</v>
          </cell>
        </row>
        <row r="94">
          <cell r="A94" t="str">
            <v>Datas with changes</v>
          </cell>
        </row>
        <row r="95">
          <cell r="A95">
            <v>2002</v>
          </cell>
          <cell r="B95" t="str">
            <v>Total</v>
          </cell>
          <cell r="C95" t="str">
            <v>A</v>
          </cell>
          <cell r="H95" t="str">
            <v>F</v>
          </cell>
        </row>
        <row r="96">
          <cell r="A96" t="str">
            <v>JAN</v>
          </cell>
          <cell r="B96">
            <v>605094</v>
          </cell>
          <cell r="C96">
            <v>6140</v>
          </cell>
          <cell r="H96">
            <v>33259</v>
          </cell>
        </row>
        <row r="97">
          <cell r="A97" t="str">
            <v>FEB</v>
          </cell>
          <cell r="B97">
            <v>606374</v>
          </cell>
          <cell r="C97">
            <v>6589</v>
          </cell>
          <cell r="H97">
            <v>33441</v>
          </cell>
        </row>
        <row r="98">
          <cell r="A98" t="str">
            <v>MAR</v>
          </cell>
          <cell r="B98">
            <v>607521</v>
          </cell>
          <cell r="C98">
            <v>6753</v>
          </cell>
          <cell r="H98">
            <v>33464</v>
          </cell>
        </row>
        <row r="99">
          <cell r="A99" t="str">
            <v>APR</v>
          </cell>
          <cell r="B99">
            <v>608401</v>
          </cell>
          <cell r="C99">
            <v>6827</v>
          </cell>
          <cell r="H99">
            <v>33641</v>
          </cell>
        </row>
        <row r="100">
          <cell r="A100" t="str">
            <v>MAJ</v>
          </cell>
          <cell r="B100">
            <v>608968</v>
          </cell>
          <cell r="C100">
            <v>6826</v>
          </cell>
        </row>
        <row r="101">
          <cell r="A101" t="str">
            <v>JUN</v>
          </cell>
          <cell r="B101">
            <v>609108</v>
          </cell>
          <cell r="C101">
            <v>6750</v>
          </cell>
        </row>
        <row r="102">
          <cell r="A102" t="str">
            <v>JUL</v>
          </cell>
          <cell r="B102">
            <v>607911</v>
          </cell>
          <cell r="C102">
            <v>6637</v>
          </cell>
        </row>
        <row r="103">
          <cell r="A103" t="str">
            <v>AVG</v>
          </cell>
          <cell r="B103">
            <v>606560</v>
          </cell>
          <cell r="C103">
            <v>6535</v>
          </cell>
        </row>
        <row r="105">
          <cell r="A105" t="str">
            <v>Data without changes</v>
          </cell>
          <cell r="B105" t="str">
            <v>Total</v>
          </cell>
          <cell r="C105" t="str">
            <v>A</v>
          </cell>
        </row>
        <row r="106">
          <cell r="A106" t="str">
            <v>JAN</v>
          </cell>
          <cell r="B106">
            <v>605094</v>
          </cell>
          <cell r="C106">
            <v>6140</v>
          </cell>
        </row>
        <row r="107">
          <cell r="A107" t="str">
            <v>FEB</v>
          </cell>
          <cell r="B107">
            <v>606374</v>
          </cell>
          <cell r="C107">
            <v>6116</v>
          </cell>
        </row>
        <row r="108">
          <cell r="A108" t="str">
            <v>MAR</v>
          </cell>
          <cell r="B108">
            <v>607521</v>
          </cell>
          <cell r="C108">
            <v>6216</v>
          </cell>
        </row>
        <row r="109">
          <cell r="A109" t="str">
            <v>APR</v>
          </cell>
          <cell r="B109">
            <v>608401</v>
          </cell>
          <cell r="C109">
            <v>6289</v>
          </cell>
        </row>
        <row r="110">
          <cell r="A110" t="str">
            <v>MAJ</v>
          </cell>
          <cell r="B110">
            <v>608968</v>
          </cell>
          <cell r="C110">
            <v>6342</v>
          </cell>
        </row>
        <row r="111">
          <cell r="A111" t="str">
            <v>JUN</v>
          </cell>
          <cell r="B111">
            <v>609108</v>
          </cell>
          <cell r="C111">
            <v>6253</v>
          </cell>
        </row>
        <row r="112">
          <cell r="A112" t="str">
            <v>JUL</v>
          </cell>
          <cell r="B112">
            <v>607911</v>
          </cell>
          <cell r="C112">
            <v>6137</v>
          </cell>
        </row>
        <row r="113">
          <cell r="A113" t="str">
            <v>AVG</v>
          </cell>
          <cell r="B113">
            <v>606560</v>
          </cell>
          <cell r="C113">
            <v>6033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age Data"/>
      <sheetName val="Wages by sector"/>
      <sheetName val="Wages_sectors"/>
      <sheetName val="Wages"/>
      <sheetName val="Priv S wages"/>
      <sheetName val="Pub S wages"/>
      <sheetName val="Wages_graphs"/>
      <sheetName val="Wages Manuf."/>
      <sheetName val="Real wages"/>
      <sheetName val="Real wages by sector"/>
      <sheetName val="Employment Data Sectors (wages)"/>
      <sheetName val="Employment data by sectors"/>
      <sheetName val="Employment_Full time equivalent"/>
      <sheetName val="Employment data"/>
      <sheetName val="Sheet1"/>
      <sheetName val="Total Employment"/>
      <sheetName val="Employment public services"/>
      <sheetName val="Employment table"/>
      <sheetName val="Balassa-Samuelson"/>
      <sheetName val="Wages and Consumption"/>
      <sheetName val="Wages and tax revenu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>
        <row r="6">
          <cell r="H6">
            <v>31509</v>
          </cell>
        </row>
        <row r="7">
          <cell r="H7">
            <v>31785</v>
          </cell>
        </row>
        <row r="8">
          <cell r="H8">
            <v>32217</v>
          </cell>
        </row>
        <row r="9">
          <cell r="H9">
            <v>32309</v>
          </cell>
        </row>
        <row r="10">
          <cell r="H10">
            <v>32261</v>
          </cell>
        </row>
        <row r="11">
          <cell r="A11" t="str">
            <v>JUL</v>
          </cell>
          <cell r="B11">
            <v>575913</v>
          </cell>
          <cell r="C11">
            <v>8045</v>
          </cell>
          <cell r="H11">
            <v>32480</v>
          </cell>
        </row>
        <row r="12">
          <cell r="A12" t="str">
            <v>AVG</v>
          </cell>
          <cell r="B12">
            <v>574495</v>
          </cell>
          <cell r="C12">
            <v>8070</v>
          </cell>
          <cell r="H12">
            <v>32444</v>
          </cell>
        </row>
        <row r="13">
          <cell r="A13" t="str">
            <v>SEP</v>
          </cell>
          <cell r="B13">
            <v>575282</v>
          </cell>
          <cell r="C13">
            <v>7946</v>
          </cell>
          <cell r="H13">
            <v>32895</v>
          </cell>
        </row>
        <row r="14">
          <cell r="A14" t="str">
            <v>OKT</v>
          </cell>
          <cell r="B14">
            <v>576186</v>
          </cell>
          <cell r="C14">
            <v>7965</v>
          </cell>
          <cell r="H14">
            <v>32892</v>
          </cell>
        </row>
        <row r="15">
          <cell r="A15" t="str">
            <v>NOV</v>
          </cell>
          <cell r="B15">
            <v>576133</v>
          </cell>
          <cell r="C15">
            <v>8164</v>
          </cell>
          <cell r="H15">
            <v>32836</v>
          </cell>
        </row>
        <row r="16">
          <cell r="A16" t="str">
            <v>DEC</v>
          </cell>
          <cell r="B16">
            <v>572807</v>
          </cell>
          <cell r="C16">
            <v>7995</v>
          </cell>
          <cell r="H16">
            <v>32298</v>
          </cell>
        </row>
        <row r="17">
          <cell r="A17">
            <v>1997</v>
          </cell>
          <cell r="B17">
            <v>576225.75</v>
          </cell>
          <cell r="C17">
            <v>8073.416666666667</v>
          </cell>
          <cell r="H17">
            <v>32287.166666666668</v>
          </cell>
        </row>
        <row r="20">
          <cell r="B20" t="str">
            <v>Total</v>
          </cell>
          <cell r="C20" t="str">
            <v>A</v>
          </cell>
        </row>
        <row r="21">
          <cell r="A21" t="str">
            <v>JAN</v>
          </cell>
          <cell r="B21">
            <v>570812</v>
          </cell>
          <cell r="C21">
            <v>7859</v>
          </cell>
        </row>
        <row r="22">
          <cell r="A22" t="str">
            <v>FEB</v>
          </cell>
          <cell r="B22">
            <v>570863</v>
          </cell>
          <cell r="C22">
            <v>7916</v>
          </cell>
        </row>
        <row r="23">
          <cell r="A23" t="str">
            <v>MAR</v>
          </cell>
          <cell r="B23">
            <v>571919</v>
          </cell>
          <cell r="C23">
            <v>7960</v>
          </cell>
        </row>
        <row r="24">
          <cell r="A24" t="str">
            <v>APR</v>
          </cell>
          <cell r="B24">
            <v>574030</v>
          </cell>
          <cell r="C24">
            <v>7953</v>
          </cell>
        </row>
        <row r="25">
          <cell r="A25" t="str">
            <v>MAJ</v>
          </cell>
          <cell r="B25">
            <v>574751</v>
          </cell>
          <cell r="C25">
            <v>7923</v>
          </cell>
        </row>
        <row r="26">
          <cell r="A26" t="str">
            <v>JUN</v>
          </cell>
          <cell r="B26">
            <v>574773</v>
          </cell>
          <cell r="C26">
            <v>8016</v>
          </cell>
        </row>
        <row r="27">
          <cell r="A27" t="str">
            <v>JUL</v>
          </cell>
          <cell r="B27">
            <v>574914</v>
          </cell>
          <cell r="C27">
            <v>7989</v>
          </cell>
        </row>
        <row r="28">
          <cell r="A28" t="str">
            <v>AVG</v>
          </cell>
          <cell r="B28">
            <v>574755</v>
          </cell>
          <cell r="C28">
            <v>7913</v>
          </cell>
        </row>
        <row r="29">
          <cell r="A29" t="str">
            <v>SEP</v>
          </cell>
          <cell r="B29">
            <v>575464</v>
          </cell>
          <cell r="C29">
            <v>7891</v>
          </cell>
        </row>
        <row r="30">
          <cell r="A30" t="str">
            <v>OKT</v>
          </cell>
          <cell r="B30">
            <v>576124</v>
          </cell>
          <cell r="C30">
            <v>7875</v>
          </cell>
        </row>
        <row r="31">
          <cell r="A31" t="str">
            <v>NOV</v>
          </cell>
          <cell r="B31">
            <v>576937</v>
          </cell>
          <cell r="C31">
            <v>7782</v>
          </cell>
        </row>
        <row r="32">
          <cell r="A32" t="str">
            <v>DEC</v>
          </cell>
          <cell r="B32">
            <v>575048</v>
          </cell>
          <cell r="C32">
            <v>7657</v>
          </cell>
        </row>
        <row r="33">
          <cell r="A33">
            <v>1998</v>
          </cell>
          <cell r="B33">
            <v>574202.58333333326</v>
          </cell>
          <cell r="C33">
            <v>7894.5</v>
          </cell>
        </row>
        <row r="36">
          <cell r="B36" t="str">
            <v>Total</v>
          </cell>
          <cell r="C36" t="str">
            <v>A</v>
          </cell>
        </row>
        <row r="37">
          <cell r="A37" t="str">
            <v>JAN</v>
          </cell>
          <cell r="B37">
            <v>576144</v>
          </cell>
          <cell r="C37">
            <v>7583</v>
          </cell>
        </row>
        <row r="38">
          <cell r="A38" t="str">
            <v>FEB</v>
          </cell>
          <cell r="B38">
            <v>578019</v>
          </cell>
          <cell r="C38">
            <v>7557</v>
          </cell>
        </row>
        <row r="39">
          <cell r="A39" t="str">
            <v>MAR</v>
          </cell>
          <cell r="B39">
            <v>579604</v>
          </cell>
          <cell r="C39">
            <v>7656</v>
          </cell>
        </row>
        <row r="40">
          <cell r="A40" t="str">
            <v>APR</v>
          </cell>
          <cell r="B40">
            <v>581047</v>
          </cell>
          <cell r="C40">
            <v>7710</v>
          </cell>
        </row>
        <row r="41">
          <cell r="A41" t="str">
            <v>MAJ</v>
          </cell>
          <cell r="B41">
            <v>582571</v>
          </cell>
          <cell r="C41">
            <v>7747</v>
          </cell>
        </row>
        <row r="42">
          <cell r="A42" t="str">
            <v>JUN</v>
          </cell>
          <cell r="B42">
            <v>584084</v>
          </cell>
          <cell r="C42">
            <v>7782</v>
          </cell>
        </row>
        <row r="43">
          <cell r="A43" t="str">
            <v>JUL</v>
          </cell>
          <cell r="B43">
            <v>585353</v>
          </cell>
          <cell r="C43">
            <v>7821</v>
          </cell>
        </row>
        <row r="44">
          <cell r="A44" t="str">
            <v>AVG</v>
          </cell>
          <cell r="B44">
            <v>584885</v>
          </cell>
          <cell r="C44">
            <v>7517</v>
          </cell>
        </row>
        <row r="45">
          <cell r="A45" t="str">
            <v>SEP</v>
          </cell>
          <cell r="B45">
            <v>587070</v>
          </cell>
          <cell r="C45">
            <v>7692</v>
          </cell>
        </row>
        <row r="46">
          <cell r="A46" t="str">
            <v>OKT</v>
          </cell>
          <cell r="B46">
            <v>589206</v>
          </cell>
          <cell r="C46">
            <v>7710</v>
          </cell>
        </row>
        <row r="47">
          <cell r="A47" t="str">
            <v>NOV</v>
          </cell>
          <cell r="B47">
            <v>589722</v>
          </cell>
          <cell r="C47">
            <v>7550</v>
          </cell>
        </row>
        <row r="48">
          <cell r="A48" t="str">
            <v>DEC</v>
          </cell>
          <cell r="B48">
            <v>587237</v>
          </cell>
          <cell r="C48">
            <v>7214</v>
          </cell>
        </row>
        <row r="49">
          <cell r="A49">
            <v>1999</v>
          </cell>
          <cell r="B49">
            <v>583801</v>
          </cell>
          <cell r="C49">
            <v>7628</v>
          </cell>
        </row>
        <row r="52">
          <cell r="B52" t="str">
            <v>Total</v>
          </cell>
          <cell r="C52" t="str">
            <v>A</v>
          </cell>
        </row>
        <row r="53">
          <cell r="A53" t="str">
            <v>JAN</v>
          </cell>
          <cell r="B53">
            <v>585835</v>
          </cell>
          <cell r="C53">
            <v>7092</v>
          </cell>
        </row>
        <row r="54">
          <cell r="A54" t="str">
            <v>FEB</v>
          </cell>
          <cell r="B54">
            <v>587900</v>
          </cell>
          <cell r="C54">
            <v>7090</v>
          </cell>
        </row>
        <row r="55">
          <cell r="A55" t="str">
            <v>MAR</v>
          </cell>
          <cell r="B55">
            <v>588971</v>
          </cell>
          <cell r="C55">
            <v>7298</v>
          </cell>
        </row>
        <row r="56">
          <cell r="A56" t="str">
            <v>APR</v>
          </cell>
          <cell r="B56">
            <v>590669</v>
          </cell>
          <cell r="C56">
            <v>7325</v>
          </cell>
        </row>
        <row r="57">
          <cell r="A57" t="str">
            <v>MAJ</v>
          </cell>
          <cell r="B57">
            <v>591604</v>
          </cell>
          <cell r="C57">
            <v>7355</v>
          </cell>
        </row>
        <row r="58">
          <cell r="A58" t="str">
            <v>JUN</v>
          </cell>
          <cell r="B58">
            <v>593230</v>
          </cell>
          <cell r="C58">
            <v>7419</v>
          </cell>
        </row>
        <row r="59">
          <cell r="A59" t="str">
            <v>JUL</v>
          </cell>
          <cell r="B59">
            <v>592637</v>
          </cell>
          <cell r="C59">
            <v>7393</v>
          </cell>
        </row>
        <row r="60">
          <cell r="A60" t="str">
            <v>AVG</v>
          </cell>
          <cell r="B60">
            <v>592398</v>
          </cell>
          <cell r="C60">
            <v>7377</v>
          </cell>
        </row>
        <row r="61">
          <cell r="A61" t="str">
            <v>SEP</v>
          </cell>
          <cell r="B61">
            <v>593975</v>
          </cell>
          <cell r="C61">
            <v>7813</v>
          </cell>
        </row>
        <row r="62">
          <cell r="A62" t="str">
            <v>OKT</v>
          </cell>
          <cell r="B62">
            <v>595507</v>
          </cell>
          <cell r="C62">
            <v>7525</v>
          </cell>
        </row>
        <row r="63">
          <cell r="A63" t="str">
            <v>NOV</v>
          </cell>
          <cell r="B63">
            <v>595261</v>
          </cell>
          <cell r="C63">
            <v>7133</v>
          </cell>
        </row>
        <row r="64">
          <cell r="A64" t="str">
            <v>DEC</v>
          </cell>
          <cell r="B64">
            <v>593689</v>
          </cell>
          <cell r="C64">
            <v>7010</v>
          </cell>
        </row>
        <row r="65">
          <cell r="A65">
            <v>2000</v>
          </cell>
          <cell r="B65">
            <v>591806.33333333326</v>
          </cell>
          <cell r="C65">
            <v>7319.166666666667</v>
          </cell>
        </row>
        <row r="68">
          <cell r="B68" t="str">
            <v>Total</v>
          </cell>
          <cell r="C68" t="str">
            <v>A</v>
          </cell>
        </row>
        <row r="69">
          <cell r="A69" t="str">
            <v>JAN</v>
          </cell>
          <cell r="B69">
            <v>593701</v>
          </cell>
          <cell r="C69">
            <v>6896</v>
          </cell>
        </row>
        <row r="70">
          <cell r="A70" t="str">
            <v>FEB</v>
          </cell>
          <cell r="B70">
            <v>594472</v>
          </cell>
          <cell r="C70">
            <v>6875</v>
          </cell>
        </row>
        <row r="71">
          <cell r="A71" t="str">
            <v>MAR</v>
          </cell>
          <cell r="B71">
            <v>598394</v>
          </cell>
          <cell r="C71">
            <v>6951</v>
          </cell>
        </row>
        <row r="72">
          <cell r="A72" t="str">
            <v>APR</v>
          </cell>
          <cell r="B72">
            <v>600445</v>
          </cell>
          <cell r="C72">
            <v>6943</v>
          </cell>
        </row>
        <row r="73">
          <cell r="A73" t="str">
            <v>MAJ</v>
          </cell>
          <cell r="B73">
            <v>603082</v>
          </cell>
          <cell r="C73">
            <v>7062</v>
          </cell>
        </row>
        <row r="74">
          <cell r="A74" t="str">
            <v>JUN</v>
          </cell>
          <cell r="B74">
            <v>604590</v>
          </cell>
          <cell r="C74">
            <v>6940</v>
          </cell>
        </row>
        <row r="75">
          <cell r="A75" t="str">
            <v>JUL</v>
          </cell>
          <cell r="B75">
            <v>604546</v>
          </cell>
          <cell r="C75">
            <v>6781</v>
          </cell>
        </row>
        <row r="76">
          <cell r="A76" t="str">
            <v>AVG</v>
          </cell>
          <cell r="B76">
            <v>604339</v>
          </cell>
          <cell r="C76">
            <v>6635</v>
          </cell>
        </row>
        <row r="77">
          <cell r="A77" t="str">
            <v>SEP</v>
          </cell>
          <cell r="B77">
            <v>607350</v>
          </cell>
          <cell r="C77">
            <v>6806</v>
          </cell>
        </row>
        <row r="78">
          <cell r="A78" t="str">
            <v>OKT</v>
          </cell>
          <cell r="B78">
            <v>608109</v>
          </cell>
          <cell r="C78">
            <v>6804</v>
          </cell>
        </row>
        <row r="79">
          <cell r="A79" t="str">
            <v>NOV</v>
          </cell>
          <cell r="B79">
            <v>607786</v>
          </cell>
          <cell r="C79">
            <v>6467</v>
          </cell>
        </row>
        <row r="80">
          <cell r="A80" t="str">
            <v>DEC</v>
          </cell>
          <cell r="B80">
            <v>605600</v>
          </cell>
          <cell r="C80">
            <v>6305</v>
          </cell>
        </row>
        <row r="81">
          <cell r="A81">
            <v>2001</v>
          </cell>
          <cell r="B81">
            <v>602702</v>
          </cell>
          <cell r="C81">
            <v>6789</v>
          </cell>
        </row>
        <row r="83">
          <cell r="A83" t="str">
            <v>Share</v>
          </cell>
          <cell r="C83">
            <v>1.1264273222919452</v>
          </cell>
        </row>
        <row r="84">
          <cell r="A84" t="str">
            <v>Data without changes</v>
          </cell>
          <cell r="B84" t="str">
            <v>Total</v>
          </cell>
          <cell r="C84" t="str">
            <v>A</v>
          </cell>
        </row>
        <row r="85">
          <cell r="A85" t="str">
            <v>JAN</v>
          </cell>
          <cell r="B85">
            <v>605094</v>
          </cell>
          <cell r="C85">
            <v>6140</v>
          </cell>
        </row>
        <row r="86">
          <cell r="A86" t="str">
            <v>FEB</v>
          </cell>
          <cell r="B86">
            <v>606374</v>
          </cell>
          <cell r="C86">
            <v>6589</v>
          </cell>
          <cell r="H86">
            <v>33441</v>
          </cell>
        </row>
        <row r="87">
          <cell r="A87" t="str">
            <v>MAR</v>
          </cell>
          <cell r="B87">
            <v>607521</v>
          </cell>
          <cell r="C87">
            <v>6753</v>
          </cell>
          <cell r="H87">
            <v>33464</v>
          </cell>
        </row>
        <row r="88">
          <cell r="A88" t="str">
            <v>APR</v>
          </cell>
          <cell r="B88">
            <v>608401</v>
          </cell>
          <cell r="C88">
            <v>6827</v>
          </cell>
          <cell r="H88">
            <v>33641</v>
          </cell>
        </row>
        <row r="89">
          <cell r="A89" t="str">
            <v>MAJ</v>
          </cell>
          <cell r="B89">
            <v>608968</v>
          </cell>
          <cell r="C89">
            <v>6826</v>
          </cell>
          <cell r="H89">
            <v>33740</v>
          </cell>
        </row>
        <row r="90">
          <cell r="A90" t="str">
            <v>JUN</v>
          </cell>
          <cell r="B90">
            <v>609108</v>
          </cell>
          <cell r="C90">
            <v>6750</v>
          </cell>
          <cell r="H90">
            <v>33746</v>
          </cell>
        </row>
        <row r="91">
          <cell r="A91" t="str">
            <v>JUL</v>
          </cell>
          <cell r="B91">
            <v>607911</v>
          </cell>
          <cell r="C91">
            <v>6637</v>
          </cell>
          <cell r="H91">
            <v>33711</v>
          </cell>
        </row>
        <row r="92">
          <cell r="A92" t="str">
            <v>AVG</v>
          </cell>
          <cell r="B92">
            <v>606560</v>
          </cell>
          <cell r="C92">
            <v>6535</v>
          </cell>
          <cell r="H92">
            <v>33763</v>
          </cell>
        </row>
        <row r="94">
          <cell r="A94" t="str">
            <v>Datas with changes</v>
          </cell>
        </row>
        <row r="95">
          <cell r="A95">
            <v>2002</v>
          </cell>
          <cell r="B95" t="str">
            <v>Total</v>
          </cell>
          <cell r="C95" t="str">
            <v>A</v>
          </cell>
          <cell r="H95" t="str">
            <v>F</v>
          </cell>
        </row>
        <row r="96">
          <cell r="A96" t="str">
            <v>JAN</v>
          </cell>
          <cell r="B96">
            <v>605094</v>
          </cell>
          <cell r="C96">
            <v>6140</v>
          </cell>
          <cell r="H96">
            <v>33259</v>
          </cell>
        </row>
        <row r="97">
          <cell r="A97" t="str">
            <v>FEB</v>
          </cell>
          <cell r="B97">
            <v>606374</v>
          </cell>
          <cell r="C97">
            <v>6589</v>
          </cell>
          <cell r="H97">
            <v>33441</v>
          </cell>
        </row>
        <row r="98">
          <cell r="A98" t="str">
            <v>MAR</v>
          </cell>
          <cell r="B98">
            <v>607521</v>
          </cell>
          <cell r="C98">
            <v>6753</v>
          </cell>
          <cell r="H98">
            <v>33464</v>
          </cell>
        </row>
        <row r="99">
          <cell r="A99" t="str">
            <v>APR</v>
          </cell>
          <cell r="B99">
            <v>608401</v>
          </cell>
          <cell r="C99">
            <v>6827</v>
          </cell>
          <cell r="H99">
            <v>33641</v>
          </cell>
        </row>
        <row r="100">
          <cell r="A100" t="str">
            <v>MAJ</v>
          </cell>
          <cell r="B100">
            <v>608968</v>
          </cell>
          <cell r="C100">
            <v>6826</v>
          </cell>
        </row>
        <row r="101">
          <cell r="A101" t="str">
            <v>JUN</v>
          </cell>
          <cell r="B101">
            <v>609108</v>
          </cell>
          <cell r="C101">
            <v>6750</v>
          </cell>
        </row>
        <row r="102">
          <cell r="A102" t="str">
            <v>JUL</v>
          </cell>
          <cell r="B102">
            <v>607911</v>
          </cell>
          <cell r="C102">
            <v>6637</v>
          </cell>
        </row>
        <row r="103">
          <cell r="A103" t="str">
            <v>AVG</v>
          </cell>
          <cell r="B103">
            <v>606560</v>
          </cell>
          <cell r="C103">
            <v>6535</v>
          </cell>
        </row>
        <row r="105">
          <cell r="A105" t="str">
            <v>Data without changes</v>
          </cell>
          <cell r="B105" t="str">
            <v>Total</v>
          </cell>
          <cell r="C105" t="str">
            <v>A</v>
          </cell>
        </row>
        <row r="106">
          <cell r="A106" t="str">
            <v>JAN</v>
          </cell>
          <cell r="B106">
            <v>605094</v>
          </cell>
          <cell r="C106">
            <v>6140</v>
          </cell>
        </row>
        <row r="107">
          <cell r="A107" t="str">
            <v>FEB</v>
          </cell>
          <cell r="B107">
            <v>606374</v>
          </cell>
          <cell r="C107">
            <v>6116</v>
          </cell>
        </row>
        <row r="108">
          <cell r="A108" t="str">
            <v>MAR</v>
          </cell>
          <cell r="B108">
            <v>607521</v>
          </cell>
          <cell r="C108">
            <v>6216</v>
          </cell>
        </row>
        <row r="109">
          <cell r="A109" t="str">
            <v>APR</v>
          </cell>
          <cell r="B109">
            <v>608401</v>
          </cell>
          <cell r="C109">
            <v>6289</v>
          </cell>
        </row>
        <row r="110">
          <cell r="A110" t="str">
            <v>MAJ</v>
          </cell>
          <cell r="B110">
            <v>608968</v>
          </cell>
          <cell r="C110">
            <v>6342</v>
          </cell>
        </row>
        <row r="111">
          <cell r="A111" t="str">
            <v>JUN</v>
          </cell>
          <cell r="B111">
            <v>609108</v>
          </cell>
          <cell r="C111">
            <v>6253</v>
          </cell>
        </row>
        <row r="112">
          <cell r="A112" t="str">
            <v>JUL</v>
          </cell>
          <cell r="B112">
            <v>607911</v>
          </cell>
          <cell r="C112">
            <v>6137</v>
          </cell>
        </row>
        <row r="113">
          <cell r="A113" t="str">
            <v>AVG</v>
          </cell>
          <cell r="B113">
            <v>606560</v>
          </cell>
          <cell r="C113">
            <v>6033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age Data"/>
      <sheetName val="Wages by sector"/>
      <sheetName val="Wages_sectors"/>
      <sheetName val="Wages"/>
      <sheetName val="Priv S wages"/>
      <sheetName val="Pub S wages"/>
      <sheetName val="Wages_graphs"/>
      <sheetName val="Wages Manuf."/>
      <sheetName val="Real wages"/>
      <sheetName val="Real wages by sector"/>
      <sheetName val="Employment Data Sectors (wages)"/>
      <sheetName val="Employment data by sectors"/>
      <sheetName val="Employment_Full time equivalent"/>
      <sheetName val="Employment data"/>
      <sheetName val="Sheet1"/>
      <sheetName val="Total Employment"/>
      <sheetName val="Employment public services"/>
      <sheetName val="Employment table"/>
      <sheetName val="Balassa-Samuelson"/>
      <sheetName val="Wages and Consumption"/>
      <sheetName val="Wages and tax revenu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>
        <row r="6">
          <cell r="H6">
            <v>31509</v>
          </cell>
        </row>
        <row r="7">
          <cell r="H7">
            <v>31785</v>
          </cell>
        </row>
        <row r="8">
          <cell r="H8">
            <v>32217</v>
          </cell>
        </row>
        <row r="9">
          <cell r="H9">
            <v>32309</v>
          </cell>
        </row>
        <row r="10">
          <cell r="H10">
            <v>32261</v>
          </cell>
        </row>
        <row r="11">
          <cell r="A11" t="str">
            <v>JUL</v>
          </cell>
          <cell r="B11">
            <v>575913</v>
          </cell>
          <cell r="C11">
            <v>8045</v>
          </cell>
          <cell r="H11">
            <v>32480</v>
          </cell>
        </row>
        <row r="12">
          <cell r="A12" t="str">
            <v>AVG</v>
          </cell>
          <cell r="B12">
            <v>574495</v>
          </cell>
          <cell r="C12">
            <v>8070</v>
          </cell>
          <cell r="H12">
            <v>32444</v>
          </cell>
        </row>
        <row r="13">
          <cell r="A13" t="str">
            <v>SEP</v>
          </cell>
          <cell r="B13">
            <v>575282</v>
          </cell>
          <cell r="C13">
            <v>7946</v>
          </cell>
          <cell r="H13">
            <v>32895</v>
          </cell>
        </row>
        <row r="14">
          <cell r="A14" t="str">
            <v>OKT</v>
          </cell>
          <cell r="B14">
            <v>576186</v>
          </cell>
          <cell r="C14">
            <v>7965</v>
          </cell>
          <cell r="H14">
            <v>32892</v>
          </cell>
        </row>
        <row r="15">
          <cell r="A15" t="str">
            <v>NOV</v>
          </cell>
          <cell r="B15">
            <v>576133</v>
          </cell>
          <cell r="C15">
            <v>8164</v>
          </cell>
          <cell r="H15">
            <v>32836</v>
          </cell>
        </row>
        <row r="16">
          <cell r="A16" t="str">
            <v>DEC</v>
          </cell>
          <cell r="B16">
            <v>572807</v>
          </cell>
          <cell r="C16">
            <v>7995</v>
          </cell>
          <cell r="H16">
            <v>32298</v>
          </cell>
        </row>
        <row r="17">
          <cell r="A17">
            <v>1997</v>
          </cell>
          <cell r="B17">
            <v>576225.75</v>
          </cell>
          <cell r="C17">
            <v>8073.416666666667</v>
          </cell>
          <cell r="H17">
            <v>32287.166666666668</v>
          </cell>
        </row>
        <row r="20">
          <cell r="B20" t="str">
            <v>Total</v>
          </cell>
          <cell r="C20" t="str">
            <v>A</v>
          </cell>
        </row>
        <row r="21">
          <cell r="A21" t="str">
            <v>JAN</v>
          </cell>
          <cell r="B21">
            <v>570812</v>
          </cell>
          <cell r="C21">
            <v>7859</v>
          </cell>
        </row>
        <row r="22">
          <cell r="A22" t="str">
            <v>FEB</v>
          </cell>
          <cell r="B22">
            <v>570863</v>
          </cell>
          <cell r="C22">
            <v>7916</v>
          </cell>
        </row>
        <row r="23">
          <cell r="A23" t="str">
            <v>MAR</v>
          </cell>
          <cell r="B23">
            <v>571919</v>
          </cell>
          <cell r="C23">
            <v>7960</v>
          </cell>
        </row>
        <row r="24">
          <cell r="A24" t="str">
            <v>APR</v>
          </cell>
          <cell r="B24">
            <v>574030</v>
          </cell>
          <cell r="C24">
            <v>7953</v>
          </cell>
        </row>
        <row r="25">
          <cell r="A25" t="str">
            <v>MAJ</v>
          </cell>
          <cell r="B25">
            <v>574751</v>
          </cell>
          <cell r="C25">
            <v>7923</v>
          </cell>
        </row>
        <row r="26">
          <cell r="A26" t="str">
            <v>JUN</v>
          </cell>
          <cell r="B26">
            <v>574773</v>
          </cell>
          <cell r="C26">
            <v>8016</v>
          </cell>
        </row>
        <row r="27">
          <cell r="A27" t="str">
            <v>JUL</v>
          </cell>
          <cell r="B27">
            <v>574914</v>
          </cell>
          <cell r="C27">
            <v>7989</v>
          </cell>
        </row>
        <row r="28">
          <cell r="A28" t="str">
            <v>AVG</v>
          </cell>
          <cell r="B28">
            <v>574755</v>
          </cell>
          <cell r="C28">
            <v>7913</v>
          </cell>
        </row>
        <row r="29">
          <cell r="A29" t="str">
            <v>SEP</v>
          </cell>
          <cell r="B29">
            <v>575464</v>
          </cell>
          <cell r="C29">
            <v>7891</v>
          </cell>
        </row>
        <row r="30">
          <cell r="A30" t="str">
            <v>OKT</v>
          </cell>
          <cell r="B30">
            <v>576124</v>
          </cell>
          <cell r="C30">
            <v>7875</v>
          </cell>
        </row>
        <row r="31">
          <cell r="A31" t="str">
            <v>NOV</v>
          </cell>
          <cell r="B31">
            <v>576937</v>
          </cell>
          <cell r="C31">
            <v>7782</v>
          </cell>
        </row>
        <row r="32">
          <cell r="A32" t="str">
            <v>DEC</v>
          </cell>
          <cell r="B32">
            <v>575048</v>
          </cell>
          <cell r="C32">
            <v>7657</v>
          </cell>
        </row>
        <row r="33">
          <cell r="A33">
            <v>1998</v>
          </cell>
          <cell r="B33">
            <v>574202.58333333326</v>
          </cell>
          <cell r="C33">
            <v>7894.5</v>
          </cell>
        </row>
        <row r="36">
          <cell r="B36" t="str">
            <v>Total</v>
          </cell>
          <cell r="C36" t="str">
            <v>A</v>
          </cell>
        </row>
        <row r="37">
          <cell r="A37" t="str">
            <v>JAN</v>
          </cell>
          <cell r="B37">
            <v>576144</v>
          </cell>
          <cell r="C37">
            <v>7583</v>
          </cell>
        </row>
        <row r="38">
          <cell r="A38" t="str">
            <v>FEB</v>
          </cell>
          <cell r="B38">
            <v>578019</v>
          </cell>
          <cell r="C38">
            <v>7557</v>
          </cell>
        </row>
        <row r="39">
          <cell r="A39" t="str">
            <v>MAR</v>
          </cell>
          <cell r="B39">
            <v>579604</v>
          </cell>
          <cell r="C39">
            <v>7656</v>
          </cell>
        </row>
        <row r="40">
          <cell r="A40" t="str">
            <v>APR</v>
          </cell>
          <cell r="B40">
            <v>581047</v>
          </cell>
          <cell r="C40">
            <v>7710</v>
          </cell>
        </row>
        <row r="41">
          <cell r="A41" t="str">
            <v>MAJ</v>
          </cell>
          <cell r="B41">
            <v>582571</v>
          </cell>
          <cell r="C41">
            <v>7747</v>
          </cell>
        </row>
        <row r="42">
          <cell r="A42" t="str">
            <v>JUN</v>
          </cell>
          <cell r="B42">
            <v>584084</v>
          </cell>
          <cell r="C42">
            <v>7782</v>
          </cell>
        </row>
        <row r="43">
          <cell r="A43" t="str">
            <v>JUL</v>
          </cell>
          <cell r="B43">
            <v>585353</v>
          </cell>
          <cell r="C43">
            <v>7821</v>
          </cell>
        </row>
        <row r="44">
          <cell r="A44" t="str">
            <v>AVG</v>
          </cell>
          <cell r="B44">
            <v>584885</v>
          </cell>
          <cell r="C44">
            <v>7517</v>
          </cell>
        </row>
        <row r="45">
          <cell r="A45" t="str">
            <v>SEP</v>
          </cell>
          <cell r="B45">
            <v>587070</v>
          </cell>
          <cell r="C45">
            <v>7692</v>
          </cell>
        </row>
        <row r="46">
          <cell r="A46" t="str">
            <v>OKT</v>
          </cell>
          <cell r="B46">
            <v>589206</v>
          </cell>
          <cell r="C46">
            <v>7710</v>
          </cell>
        </row>
        <row r="47">
          <cell r="A47" t="str">
            <v>NOV</v>
          </cell>
          <cell r="B47">
            <v>589722</v>
          </cell>
          <cell r="C47">
            <v>7550</v>
          </cell>
        </row>
        <row r="48">
          <cell r="A48" t="str">
            <v>DEC</v>
          </cell>
          <cell r="B48">
            <v>587237</v>
          </cell>
          <cell r="C48">
            <v>7214</v>
          </cell>
        </row>
        <row r="49">
          <cell r="A49">
            <v>1999</v>
          </cell>
          <cell r="B49">
            <v>583801</v>
          </cell>
          <cell r="C49">
            <v>7628</v>
          </cell>
        </row>
        <row r="52">
          <cell r="B52" t="str">
            <v>Total</v>
          </cell>
          <cell r="C52" t="str">
            <v>A</v>
          </cell>
        </row>
        <row r="53">
          <cell r="A53" t="str">
            <v>JAN</v>
          </cell>
          <cell r="B53">
            <v>585835</v>
          </cell>
          <cell r="C53">
            <v>7092</v>
          </cell>
        </row>
        <row r="54">
          <cell r="A54" t="str">
            <v>FEB</v>
          </cell>
          <cell r="B54">
            <v>587900</v>
          </cell>
          <cell r="C54">
            <v>7090</v>
          </cell>
        </row>
        <row r="55">
          <cell r="A55" t="str">
            <v>MAR</v>
          </cell>
          <cell r="B55">
            <v>588971</v>
          </cell>
          <cell r="C55">
            <v>7298</v>
          </cell>
        </row>
        <row r="56">
          <cell r="A56" t="str">
            <v>APR</v>
          </cell>
          <cell r="B56">
            <v>590669</v>
          </cell>
          <cell r="C56">
            <v>7325</v>
          </cell>
        </row>
        <row r="57">
          <cell r="A57" t="str">
            <v>MAJ</v>
          </cell>
          <cell r="B57">
            <v>591604</v>
          </cell>
          <cell r="C57">
            <v>7355</v>
          </cell>
        </row>
        <row r="58">
          <cell r="A58" t="str">
            <v>JUN</v>
          </cell>
          <cell r="B58">
            <v>593230</v>
          </cell>
          <cell r="C58">
            <v>7419</v>
          </cell>
        </row>
        <row r="59">
          <cell r="A59" t="str">
            <v>JUL</v>
          </cell>
          <cell r="B59">
            <v>592637</v>
          </cell>
          <cell r="C59">
            <v>7393</v>
          </cell>
        </row>
        <row r="60">
          <cell r="A60" t="str">
            <v>AVG</v>
          </cell>
          <cell r="B60">
            <v>592398</v>
          </cell>
          <cell r="C60">
            <v>7377</v>
          </cell>
        </row>
        <row r="61">
          <cell r="A61" t="str">
            <v>SEP</v>
          </cell>
          <cell r="B61">
            <v>593975</v>
          </cell>
          <cell r="C61">
            <v>7813</v>
          </cell>
        </row>
        <row r="62">
          <cell r="A62" t="str">
            <v>OKT</v>
          </cell>
          <cell r="B62">
            <v>595507</v>
          </cell>
          <cell r="C62">
            <v>7525</v>
          </cell>
        </row>
        <row r="63">
          <cell r="A63" t="str">
            <v>NOV</v>
          </cell>
          <cell r="B63">
            <v>595261</v>
          </cell>
          <cell r="C63">
            <v>7133</v>
          </cell>
        </row>
        <row r="64">
          <cell r="A64" t="str">
            <v>DEC</v>
          </cell>
          <cell r="B64">
            <v>593689</v>
          </cell>
          <cell r="C64">
            <v>7010</v>
          </cell>
        </row>
        <row r="65">
          <cell r="A65">
            <v>2000</v>
          </cell>
          <cell r="B65">
            <v>591806.33333333326</v>
          </cell>
          <cell r="C65">
            <v>7319.166666666667</v>
          </cell>
        </row>
        <row r="68">
          <cell r="B68" t="str">
            <v>Total</v>
          </cell>
          <cell r="C68" t="str">
            <v>A</v>
          </cell>
        </row>
        <row r="69">
          <cell r="A69" t="str">
            <v>JAN</v>
          </cell>
          <cell r="B69">
            <v>593701</v>
          </cell>
          <cell r="C69">
            <v>6896</v>
          </cell>
        </row>
        <row r="70">
          <cell r="A70" t="str">
            <v>FEB</v>
          </cell>
          <cell r="B70">
            <v>594472</v>
          </cell>
          <cell r="C70">
            <v>6875</v>
          </cell>
        </row>
        <row r="71">
          <cell r="A71" t="str">
            <v>MAR</v>
          </cell>
          <cell r="B71">
            <v>598394</v>
          </cell>
          <cell r="C71">
            <v>6951</v>
          </cell>
        </row>
        <row r="72">
          <cell r="A72" t="str">
            <v>APR</v>
          </cell>
          <cell r="B72">
            <v>600445</v>
          </cell>
          <cell r="C72">
            <v>6943</v>
          </cell>
        </row>
        <row r="73">
          <cell r="A73" t="str">
            <v>MAJ</v>
          </cell>
          <cell r="B73">
            <v>603082</v>
          </cell>
          <cell r="C73">
            <v>7062</v>
          </cell>
        </row>
        <row r="74">
          <cell r="A74" t="str">
            <v>JUN</v>
          </cell>
          <cell r="B74">
            <v>604590</v>
          </cell>
          <cell r="C74">
            <v>6940</v>
          </cell>
        </row>
        <row r="75">
          <cell r="A75" t="str">
            <v>JUL</v>
          </cell>
          <cell r="B75">
            <v>604546</v>
          </cell>
          <cell r="C75">
            <v>6781</v>
          </cell>
        </row>
        <row r="76">
          <cell r="A76" t="str">
            <v>AVG</v>
          </cell>
          <cell r="B76">
            <v>604339</v>
          </cell>
          <cell r="C76">
            <v>6635</v>
          </cell>
        </row>
        <row r="77">
          <cell r="A77" t="str">
            <v>SEP</v>
          </cell>
          <cell r="B77">
            <v>607350</v>
          </cell>
          <cell r="C77">
            <v>6806</v>
          </cell>
        </row>
        <row r="78">
          <cell r="A78" t="str">
            <v>OKT</v>
          </cell>
          <cell r="B78">
            <v>608109</v>
          </cell>
          <cell r="C78">
            <v>6804</v>
          </cell>
        </row>
        <row r="79">
          <cell r="A79" t="str">
            <v>NOV</v>
          </cell>
          <cell r="B79">
            <v>607786</v>
          </cell>
          <cell r="C79">
            <v>6467</v>
          </cell>
        </row>
        <row r="80">
          <cell r="A80" t="str">
            <v>DEC</v>
          </cell>
          <cell r="B80">
            <v>605600</v>
          </cell>
          <cell r="C80">
            <v>6305</v>
          </cell>
        </row>
        <row r="81">
          <cell r="A81">
            <v>2001</v>
          </cell>
          <cell r="B81">
            <v>602702</v>
          </cell>
          <cell r="C81">
            <v>6789</v>
          </cell>
        </row>
        <row r="83">
          <cell r="A83" t="str">
            <v>Share</v>
          </cell>
          <cell r="C83">
            <v>1.1264273222919452</v>
          </cell>
        </row>
        <row r="84">
          <cell r="A84" t="str">
            <v>Data without changes</v>
          </cell>
          <cell r="B84" t="str">
            <v>Total</v>
          </cell>
          <cell r="C84" t="str">
            <v>A</v>
          </cell>
        </row>
        <row r="85">
          <cell r="A85" t="str">
            <v>JAN</v>
          </cell>
          <cell r="B85">
            <v>605094</v>
          </cell>
          <cell r="C85">
            <v>6140</v>
          </cell>
        </row>
        <row r="86">
          <cell r="A86" t="str">
            <v>FEB</v>
          </cell>
          <cell r="B86">
            <v>606374</v>
          </cell>
          <cell r="C86">
            <v>6589</v>
          </cell>
          <cell r="H86">
            <v>33441</v>
          </cell>
        </row>
        <row r="87">
          <cell r="A87" t="str">
            <v>MAR</v>
          </cell>
          <cell r="B87">
            <v>607521</v>
          </cell>
          <cell r="C87">
            <v>6753</v>
          </cell>
          <cell r="H87">
            <v>33464</v>
          </cell>
        </row>
        <row r="88">
          <cell r="A88" t="str">
            <v>APR</v>
          </cell>
          <cell r="B88">
            <v>608401</v>
          </cell>
          <cell r="C88">
            <v>6827</v>
          </cell>
          <cell r="H88">
            <v>33641</v>
          </cell>
        </row>
        <row r="89">
          <cell r="A89" t="str">
            <v>MAJ</v>
          </cell>
          <cell r="B89">
            <v>608968</v>
          </cell>
          <cell r="C89">
            <v>6826</v>
          </cell>
          <cell r="H89">
            <v>33740</v>
          </cell>
        </row>
        <row r="90">
          <cell r="A90" t="str">
            <v>JUN</v>
          </cell>
          <cell r="B90">
            <v>609108</v>
          </cell>
          <cell r="C90">
            <v>6750</v>
          </cell>
          <cell r="H90">
            <v>33746</v>
          </cell>
        </row>
        <row r="91">
          <cell r="A91" t="str">
            <v>JUL</v>
          </cell>
          <cell r="B91">
            <v>607911</v>
          </cell>
          <cell r="C91">
            <v>6637</v>
          </cell>
          <cell r="H91">
            <v>33711</v>
          </cell>
        </row>
        <row r="92">
          <cell r="A92" t="str">
            <v>AVG</v>
          </cell>
          <cell r="B92">
            <v>606560</v>
          </cell>
          <cell r="C92">
            <v>6535</v>
          </cell>
          <cell r="H92">
            <v>33763</v>
          </cell>
        </row>
        <row r="94">
          <cell r="A94" t="str">
            <v>Datas with changes</v>
          </cell>
        </row>
        <row r="95">
          <cell r="A95">
            <v>2002</v>
          </cell>
          <cell r="B95" t="str">
            <v>Total</v>
          </cell>
          <cell r="C95" t="str">
            <v>A</v>
          </cell>
          <cell r="H95" t="str">
            <v>F</v>
          </cell>
        </row>
        <row r="96">
          <cell r="A96" t="str">
            <v>JAN</v>
          </cell>
          <cell r="B96">
            <v>605094</v>
          </cell>
          <cell r="C96">
            <v>6140</v>
          </cell>
          <cell r="H96">
            <v>33259</v>
          </cell>
        </row>
        <row r="97">
          <cell r="A97" t="str">
            <v>FEB</v>
          </cell>
          <cell r="B97">
            <v>606374</v>
          </cell>
          <cell r="C97">
            <v>6589</v>
          </cell>
          <cell r="H97">
            <v>33441</v>
          </cell>
        </row>
        <row r="98">
          <cell r="A98" t="str">
            <v>MAR</v>
          </cell>
          <cell r="B98">
            <v>607521</v>
          </cell>
          <cell r="C98">
            <v>6753</v>
          </cell>
          <cell r="H98">
            <v>33464</v>
          </cell>
        </row>
        <row r="99">
          <cell r="A99" t="str">
            <v>APR</v>
          </cell>
          <cell r="B99">
            <v>608401</v>
          </cell>
          <cell r="C99">
            <v>6827</v>
          </cell>
          <cell r="H99">
            <v>33641</v>
          </cell>
        </row>
        <row r="100">
          <cell r="A100" t="str">
            <v>MAJ</v>
          </cell>
          <cell r="B100">
            <v>608968</v>
          </cell>
          <cell r="C100">
            <v>6826</v>
          </cell>
        </row>
        <row r="101">
          <cell r="A101" t="str">
            <v>JUN</v>
          </cell>
          <cell r="B101">
            <v>609108</v>
          </cell>
          <cell r="C101">
            <v>6750</v>
          </cell>
        </row>
        <row r="102">
          <cell r="A102" t="str">
            <v>JUL</v>
          </cell>
          <cell r="B102">
            <v>607911</v>
          </cell>
          <cell r="C102">
            <v>6637</v>
          </cell>
        </row>
        <row r="103">
          <cell r="A103" t="str">
            <v>AVG</v>
          </cell>
          <cell r="B103">
            <v>606560</v>
          </cell>
          <cell r="C103">
            <v>6535</v>
          </cell>
        </row>
        <row r="105">
          <cell r="A105" t="str">
            <v>Data without changes</v>
          </cell>
          <cell r="B105" t="str">
            <v>Total</v>
          </cell>
          <cell r="C105" t="str">
            <v>A</v>
          </cell>
        </row>
        <row r="106">
          <cell r="A106" t="str">
            <v>JAN</v>
          </cell>
          <cell r="B106">
            <v>605094</v>
          </cell>
          <cell r="C106">
            <v>6140</v>
          </cell>
        </row>
        <row r="107">
          <cell r="A107" t="str">
            <v>FEB</v>
          </cell>
          <cell r="B107">
            <v>606374</v>
          </cell>
          <cell r="C107">
            <v>6116</v>
          </cell>
        </row>
        <row r="108">
          <cell r="A108" t="str">
            <v>MAR</v>
          </cell>
          <cell r="B108">
            <v>607521</v>
          </cell>
          <cell r="C108">
            <v>6216</v>
          </cell>
        </row>
        <row r="109">
          <cell r="A109" t="str">
            <v>APR</v>
          </cell>
          <cell r="B109">
            <v>608401</v>
          </cell>
          <cell r="C109">
            <v>6289</v>
          </cell>
        </row>
        <row r="110">
          <cell r="A110" t="str">
            <v>MAJ</v>
          </cell>
          <cell r="B110">
            <v>608968</v>
          </cell>
          <cell r="C110">
            <v>6342</v>
          </cell>
        </row>
        <row r="111">
          <cell r="A111" t="str">
            <v>JUN</v>
          </cell>
          <cell r="B111">
            <v>609108</v>
          </cell>
          <cell r="C111">
            <v>6253</v>
          </cell>
        </row>
        <row r="112">
          <cell r="A112" t="str">
            <v>JUL</v>
          </cell>
          <cell r="B112">
            <v>607911</v>
          </cell>
          <cell r="C112">
            <v>6137</v>
          </cell>
        </row>
        <row r="113">
          <cell r="A113" t="str">
            <v>AVG</v>
          </cell>
          <cell r="B113">
            <v>606560</v>
          </cell>
          <cell r="C113">
            <v>6033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age Data"/>
      <sheetName val="Wages by sector"/>
      <sheetName val="Wages_sectors"/>
      <sheetName val="Wages"/>
      <sheetName val="Priv S wages"/>
      <sheetName val="Pub S wages"/>
      <sheetName val="Wages_graphs"/>
      <sheetName val="Wages Manuf."/>
      <sheetName val="Real wages"/>
      <sheetName val="Real wages by sector"/>
      <sheetName val="Employment Data Sectors (wages)"/>
      <sheetName val="Employment data by sectors"/>
      <sheetName val="Employment_Full time equivalent"/>
      <sheetName val="Employment data"/>
      <sheetName val="Sheet1"/>
      <sheetName val="Total Employment"/>
      <sheetName val="Employment public services"/>
      <sheetName val="Employment table"/>
      <sheetName val="Balassa-Samuelson"/>
      <sheetName val="Wages and Consumption"/>
      <sheetName val="Wages and tax revenu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>
        <row r="6">
          <cell r="H6">
            <v>31509</v>
          </cell>
        </row>
        <row r="7">
          <cell r="H7">
            <v>31785</v>
          </cell>
        </row>
        <row r="8">
          <cell r="H8">
            <v>32217</v>
          </cell>
        </row>
        <row r="9">
          <cell r="H9">
            <v>32309</v>
          </cell>
        </row>
        <row r="10">
          <cell r="H10">
            <v>32261</v>
          </cell>
        </row>
        <row r="11">
          <cell r="A11" t="str">
            <v>JUL</v>
          </cell>
          <cell r="B11">
            <v>575913</v>
          </cell>
          <cell r="C11">
            <v>8045</v>
          </cell>
          <cell r="H11">
            <v>32480</v>
          </cell>
        </row>
        <row r="12">
          <cell r="A12" t="str">
            <v>AVG</v>
          </cell>
          <cell r="B12">
            <v>574495</v>
          </cell>
          <cell r="C12">
            <v>8070</v>
          </cell>
          <cell r="H12">
            <v>32444</v>
          </cell>
        </row>
        <row r="13">
          <cell r="A13" t="str">
            <v>SEP</v>
          </cell>
          <cell r="B13">
            <v>575282</v>
          </cell>
          <cell r="C13">
            <v>7946</v>
          </cell>
          <cell r="H13">
            <v>32895</v>
          </cell>
        </row>
        <row r="14">
          <cell r="A14" t="str">
            <v>OKT</v>
          </cell>
          <cell r="B14">
            <v>576186</v>
          </cell>
          <cell r="C14">
            <v>7965</v>
          </cell>
          <cell r="H14">
            <v>32892</v>
          </cell>
        </row>
        <row r="15">
          <cell r="A15" t="str">
            <v>NOV</v>
          </cell>
          <cell r="B15">
            <v>576133</v>
          </cell>
          <cell r="C15">
            <v>8164</v>
          </cell>
          <cell r="H15">
            <v>32836</v>
          </cell>
        </row>
        <row r="16">
          <cell r="A16" t="str">
            <v>DEC</v>
          </cell>
          <cell r="B16">
            <v>572807</v>
          </cell>
          <cell r="C16">
            <v>7995</v>
          </cell>
          <cell r="H16">
            <v>32298</v>
          </cell>
        </row>
        <row r="17">
          <cell r="A17">
            <v>1997</v>
          </cell>
          <cell r="B17">
            <v>576225.75</v>
          </cell>
          <cell r="C17">
            <v>8073.416666666667</v>
          </cell>
          <cell r="H17">
            <v>32287.166666666668</v>
          </cell>
        </row>
        <row r="20">
          <cell r="B20" t="str">
            <v>Total</v>
          </cell>
          <cell r="C20" t="str">
            <v>A</v>
          </cell>
        </row>
        <row r="21">
          <cell r="A21" t="str">
            <v>JAN</v>
          </cell>
          <cell r="B21">
            <v>570812</v>
          </cell>
          <cell r="C21">
            <v>7859</v>
          </cell>
        </row>
        <row r="22">
          <cell r="A22" t="str">
            <v>FEB</v>
          </cell>
          <cell r="B22">
            <v>570863</v>
          </cell>
          <cell r="C22">
            <v>7916</v>
          </cell>
        </row>
        <row r="23">
          <cell r="A23" t="str">
            <v>MAR</v>
          </cell>
          <cell r="B23">
            <v>571919</v>
          </cell>
          <cell r="C23">
            <v>7960</v>
          </cell>
        </row>
        <row r="24">
          <cell r="A24" t="str">
            <v>APR</v>
          </cell>
          <cell r="B24">
            <v>574030</v>
          </cell>
          <cell r="C24">
            <v>7953</v>
          </cell>
        </row>
        <row r="25">
          <cell r="A25" t="str">
            <v>MAJ</v>
          </cell>
          <cell r="B25">
            <v>574751</v>
          </cell>
          <cell r="C25">
            <v>7923</v>
          </cell>
        </row>
        <row r="26">
          <cell r="A26" t="str">
            <v>JUN</v>
          </cell>
          <cell r="B26">
            <v>574773</v>
          </cell>
          <cell r="C26">
            <v>8016</v>
          </cell>
        </row>
        <row r="27">
          <cell r="A27" t="str">
            <v>JUL</v>
          </cell>
          <cell r="B27">
            <v>574914</v>
          </cell>
          <cell r="C27">
            <v>7989</v>
          </cell>
        </row>
        <row r="28">
          <cell r="A28" t="str">
            <v>AVG</v>
          </cell>
          <cell r="B28">
            <v>574755</v>
          </cell>
          <cell r="C28">
            <v>7913</v>
          </cell>
        </row>
        <row r="29">
          <cell r="A29" t="str">
            <v>SEP</v>
          </cell>
          <cell r="B29">
            <v>575464</v>
          </cell>
          <cell r="C29">
            <v>7891</v>
          </cell>
        </row>
        <row r="30">
          <cell r="A30" t="str">
            <v>OKT</v>
          </cell>
          <cell r="B30">
            <v>576124</v>
          </cell>
          <cell r="C30">
            <v>7875</v>
          </cell>
        </row>
        <row r="31">
          <cell r="A31" t="str">
            <v>NOV</v>
          </cell>
          <cell r="B31">
            <v>576937</v>
          </cell>
          <cell r="C31">
            <v>7782</v>
          </cell>
        </row>
        <row r="32">
          <cell r="A32" t="str">
            <v>DEC</v>
          </cell>
          <cell r="B32">
            <v>575048</v>
          </cell>
          <cell r="C32">
            <v>7657</v>
          </cell>
        </row>
        <row r="33">
          <cell r="A33">
            <v>1998</v>
          </cell>
          <cell r="B33">
            <v>574202.58333333326</v>
          </cell>
          <cell r="C33">
            <v>7894.5</v>
          </cell>
        </row>
        <row r="36">
          <cell r="B36" t="str">
            <v>Total</v>
          </cell>
          <cell r="C36" t="str">
            <v>A</v>
          </cell>
        </row>
        <row r="37">
          <cell r="A37" t="str">
            <v>JAN</v>
          </cell>
          <cell r="B37">
            <v>576144</v>
          </cell>
          <cell r="C37">
            <v>7583</v>
          </cell>
        </row>
        <row r="38">
          <cell r="A38" t="str">
            <v>FEB</v>
          </cell>
          <cell r="B38">
            <v>578019</v>
          </cell>
          <cell r="C38">
            <v>7557</v>
          </cell>
        </row>
        <row r="39">
          <cell r="A39" t="str">
            <v>MAR</v>
          </cell>
          <cell r="B39">
            <v>579604</v>
          </cell>
          <cell r="C39">
            <v>7656</v>
          </cell>
        </row>
        <row r="40">
          <cell r="A40" t="str">
            <v>APR</v>
          </cell>
          <cell r="B40">
            <v>581047</v>
          </cell>
          <cell r="C40">
            <v>7710</v>
          </cell>
        </row>
        <row r="41">
          <cell r="A41" t="str">
            <v>MAJ</v>
          </cell>
          <cell r="B41">
            <v>582571</v>
          </cell>
          <cell r="C41">
            <v>7747</v>
          </cell>
        </row>
        <row r="42">
          <cell r="A42" t="str">
            <v>JUN</v>
          </cell>
          <cell r="B42">
            <v>584084</v>
          </cell>
          <cell r="C42">
            <v>7782</v>
          </cell>
        </row>
        <row r="43">
          <cell r="A43" t="str">
            <v>JUL</v>
          </cell>
          <cell r="B43">
            <v>585353</v>
          </cell>
          <cell r="C43">
            <v>7821</v>
          </cell>
        </row>
        <row r="44">
          <cell r="A44" t="str">
            <v>AVG</v>
          </cell>
          <cell r="B44">
            <v>584885</v>
          </cell>
          <cell r="C44">
            <v>7517</v>
          </cell>
        </row>
        <row r="45">
          <cell r="A45" t="str">
            <v>SEP</v>
          </cell>
          <cell r="B45">
            <v>587070</v>
          </cell>
          <cell r="C45">
            <v>7692</v>
          </cell>
        </row>
        <row r="46">
          <cell r="A46" t="str">
            <v>OKT</v>
          </cell>
          <cell r="B46">
            <v>589206</v>
          </cell>
          <cell r="C46">
            <v>7710</v>
          </cell>
        </row>
        <row r="47">
          <cell r="A47" t="str">
            <v>NOV</v>
          </cell>
          <cell r="B47">
            <v>589722</v>
          </cell>
          <cell r="C47">
            <v>7550</v>
          </cell>
        </row>
        <row r="48">
          <cell r="A48" t="str">
            <v>DEC</v>
          </cell>
          <cell r="B48">
            <v>587237</v>
          </cell>
          <cell r="C48">
            <v>7214</v>
          </cell>
        </row>
        <row r="49">
          <cell r="A49">
            <v>1999</v>
          </cell>
          <cell r="B49">
            <v>583801</v>
          </cell>
          <cell r="C49">
            <v>7628</v>
          </cell>
        </row>
        <row r="52">
          <cell r="B52" t="str">
            <v>Total</v>
          </cell>
          <cell r="C52" t="str">
            <v>A</v>
          </cell>
        </row>
        <row r="53">
          <cell r="A53" t="str">
            <v>JAN</v>
          </cell>
          <cell r="B53">
            <v>585835</v>
          </cell>
          <cell r="C53">
            <v>7092</v>
          </cell>
        </row>
        <row r="54">
          <cell r="A54" t="str">
            <v>FEB</v>
          </cell>
          <cell r="B54">
            <v>587900</v>
          </cell>
          <cell r="C54">
            <v>7090</v>
          </cell>
        </row>
        <row r="55">
          <cell r="A55" t="str">
            <v>MAR</v>
          </cell>
          <cell r="B55">
            <v>588971</v>
          </cell>
          <cell r="C55">
            <v>7298</v>
          </cell>
        </row>
        <row r="56">
          <cell r="A56" t="str">
            <v>APR</v>
          </cell>
          <cell r="B56">
            <v>590669</v>
          </cell>
          <cell r="C56">
            <v>7325</v>
          </cell>
        </row>
        <row r="57">
          <cell r="A57" t="str">
            <v>MAJ</v>
          </cell>
          <cell r="B57">
            <v>591604</v>
          </cell>
          <cell r="C57">
            <v>7355</v>
          </cell>
        </row>
        <row r="58">
          <cell r="A58" t="str">
            <v>JUN</v>
          </cell>
          <cell r="B58">
            <v>593230</v>
          </cell>
          <cell r="C58">
            <v>7419</v>
          </cell>
        </row>
        <row r="59">
          <cell r="A59" t="str">
            <v>JUL</v>
          </cell>
          <cell r="B59">
            <v>592637</v>
          </cell>
          <cell r="C59">
            <v>7393</v>
          </cell>
        </row>
        <row r="60">
          <cell r="A60" t="str">
            <v>AVG</v>
          </cell>
          <cell r="B60">
            <v>592398</v>
          </cell>
          <cell r="C60">
            <v>7377</v>
          </cell>
        </row>
        <row r="61">
          <cell r="A61" t="str">
            <v>SEP</v>
          </cell>
          <cell r="B61">
            <v>593975</v>
          </cell>
          <cell r="C61">
            <v>7813</v>
          </cell>
        </row>
        <row r="62">
          <cell r="A62" t="str">
            <v>OKT</v>
          </cell>
          <cell r="B62">
            <v>595507</v>
          </cell>
          <cell r="C62">
            <v>7525</v>
          </cell>
        </row>
        <row r="63">
          <cell r="A63" t="str">
            <v>NOV</v>
          </cell>
          <cell r="B63">
            <v>595261</v>
          </cell>
          <cell r="C63">
            <v>7133</v>
          </cell>
        </row>
        <row r="64">
          <cell r="A64" t="str">
            <v>DEC</v>
          </cell>
          <cell r="B64">
            <v>593689</v>
          </cell>
          <cell r="C64">
            <v>7010</v>
          </cell>
        </row>
        <row r="65">
          <cell r="A65">
            <v>2000</v>
          </cell>
          <cell r="B65">
            <v>591806.33333333326</v>
          </cell>
          <cell r="C65">
            <v>7319.166666666667</v>
          </cell>
        </row>
        <row r="68">
          <cell r="B68" t="str">
            <v>Total</v>
          </cell>
          <cell r="C68" t="str">
            <v>A</v>
          </cell>
        </row>
        <row r="69">
          <cell r="A69" t="str">
            <v>JAN</v>
          </cell>
          <cell r="B69">
            <v>593701</v>
          </cell>
          <cell r="C69">
            <v>6896</v>
          </cell>
        </row>
        <row r="70">
          <cell r="A70" t="str">
            <v>FEB</v>
          </cell>
          <cell r="B70">
            <v>594472</v>
          </cell>
          <cell r="C70">
            <v>6875</v>
          </cell>
        </row>
        <row r="71">
          <cell r="A71" t="str">
            <v>MAR</v>
          </cell>
          <cell r="B71">
            <v>598394</v>
          </cell>
          <cell r="C71">
            <v>6951</v>
          </cell>
        </row>
        <row r="72">
          <cell r="A72" t="str">
            <v>APR</v>
          </cell>
          <cell r="B72">
            <v>600445</v>
          </cell>
          <cell r="C72">
            <v>6943</v>
          </cell>
        </row>
        <row r="73">
          <cell r="A73" t="str">
            <v>MAJ</v>
          </cell>
          <cell r="B73">
            <v>603082</v>
          </cell>
          <cell r="C73">
            <v>7062</v>
          </cell>
        </row>
        <row r="74">
          <cell r="A74" t="str">
            <v>JUN</v>
          </cell>
          <cell r="B74">
            <v>604590</v>
          </cell>
          <cell r="C74">
            <v>6940</v>
          </cell>
        </row>
        <row r="75">
          <cell r="A75" t="str">
            <v>JUL</v>
          </cell>
          <cell r="B75">
            <v>604546</v>
          </cell>
          <cell r="C75">
            <v>6781</v>
          </cell>
        </row>
        <row r="76">
          <cell r="A76" t="str">
            <v>AVG</v>
          </cell>
          <cell r="B76">
            <v>604339</v>
          </cell>
          <cell r="C76">
            <v>6635</v>
          </cell>
        </row>
        <row r="77">
          <cell r="A77" t="str">
            <v>SEP</v>
          </cell>
          <cell r="B77">
            <v>607350</v>
          </cell>
          <cell r="C77">
            <v>6806</v>
          </cell>
        </row>
        <row r="78">
          <cell r="A78" t="str">
            <v>OKT</v>
          </cell>
          <cell r="B78">
            <v>608109</v>
          </cell>
          <cell r="C78">
            <v>6804</v>
          </cell>
        </row>
        <row r="79">
          <cell r="A79" t="str">
            <v>NOV</v>
          </cell>
          <cell r="B79">
            <v>607786</v>
          </cell>
          <cell r="C79">
            <v>6467</v>
          </cell>
        </row>
        <row r="80">
          <cell r="A80" t="str">
            <v>DEC</v>
          </cell>
          <cell r="B80">
            <v>605600</v>
          </cell>
          <cell r="C80">
            <v>6305</v>
          </cell>
        </row>
        <row r="81">
          <cell r="A81">
            <v>2001</v>
          </cell>
          <cell r="B81">
            <v>602702</v>
          </cell>
          <cell r="C81">
            <v>6789</v>
          </cell>
        </row>
        <row r="83">
          <cell r="A83" t="str">
            <v>Share</v>
          </cell>
          <cell r="C83">
            <v>1.1264273222919452</v>
          </cell>
        </row>
        <row r="84">
          <cell r="A84" t="str">
            <v>Data without changes</v>
          </cell>
          <cell r="B84" t="str">
            <v>Total</v>
          </cell>
          <cell r="C84" t="str">
            <v>A</v>
          </cell>
        </row>
        <row r="85">
          <cell r="A85" t="str">
            <v>JAN</v>
          </cell>
          <cell r="B85">
            <v>605094</v>
          </cell>
          <cell r="C85">
            <v>6140</v>
          </cell>
        </row>
        <row r="86">
          <cell r="A86" t="str">
            <v>FEB</v>
          </cell>
          <cell r="B86">
            <v>606374</v>
          </cell>
          <cell r="C86">
            <v>6589</v>
          </cell>
          <cell r="H86">
            <v>33441</v>
          </cell>
        </row>
        <row r="87">
          <cell r="A87" t="str">
            <v>MAR</v>
          </cell>
          <cell r="B87">
            <v>607521</v>
          </cell>
          <cell r="C87">
            <v>6753</v>
          </cell>
          <cell r="H87">
            <v>33464</v>
          </cell>
        </row>
        <row r="88">
          <cell r="A88" t="str">
            <v>APR</v>
          </cell>
          <cell r="B88">
            <v>608401</v>
          </cell>
          <cell r="C88">
            <v>6827</v>
          </cell>
          <cell r="H88">
            <v>33641</v>
          </cell>
        </row>
        <row r="89">
          <cell r="A89" t="str">
            <v>MAJ</v>
          </cell>
          <cell r="B89">
            <v>608968</v>
          </cell>
          <cell r="C89">
            <v>6826</v>
          </cell>
          <cell r="H89">
            <v>33740</v>
          </cell>
        </row>
        <row r="90">
          <cell r="A90" t="str">
            <v>JUN</v>
          </cell>
          <cell r="B90">
            <v>609108</v>
          </cell>
          <cell r="C90">
            <v>6750</v>
          </cell>
          <cell r="H90">
            <v>33746</v>
          </cell>
        </row>
        <row r="91">
          <cell r="A91" t="str">
            <v>JUL</v>
          </cell>
          <cell r="B91">
            <v>607911</v>
          </cell>
          <cell r="C91">
            <v>6637</v>
          </cell>
          <cell r="H91">
            <v>33711</v>
          </cell>
        </row>
        <row r="92">
          <cell r="A92" t="str">
            <v>AVG</v>
          </cell>
          <cell r="B92">
            <v>606560</v>
          </cell>
          <cell r="C92">
            <v>6535</v>
          </cell>
          <cell r="H92">
            <v>33763</v>
          </cell>
        </row>
        <row r="94">
          <cell r="A94" t="str">
            <v>Datas with changes</v>
          </cell>
        </row>
        <row r="95">
          <cell r="A95">
            <v>2002</v>
          </cell>
          <cell r="B95" t="str">
            <v>Total</v>
          </cell>
          <cell r="C95" t="str">
            <v>A</v>
          </cell>
          <cell r="H95" t="str">
            <v>F</v>
          </cell>
        </row>
        <row r="96">
          <cell r="A96" t="str">
            <v>JAN</v>
          </cell>
          <cell r="B96">
            <v>605094</v>
          </cell>
          <cell r="C96">
            <v>6140</v>
          </cell>
          <cell r="H96">
            <v>33259</v>
          </cell>
        </row>
        <row r="97">
          <cell r="A97" t="str">
            <v>FEB</v>
          </cell>
          <cell r="B97">
            <v>606374</v>
          </cell>
          <cell r="C97">
            <v>6589</v>
          </cell>
          <cell r="H97">
            <v>33441</v>
          </cell>
        </row>
        <row r="98">
          <cell r="A98" t="str">
            <v>MAR</v>
          </cell>
          <cell r="B98">
            <v>607521</v>
          </cell>
          <cell r="C98">
            <v>6753</v>
          </cell>
          <cell r="H98">
            <v>33464</v>
          </cell>
        </row>
        <row r="99">
          <cell r="A99" t="str">
            <v>APR</v>
          </cell>
          <cell r="B99">
            <v>608401</v>
          </cell>
          <cell r="C99">
            <v>6827</v>
          </cell>
          <cell r="H99">
            <v>33641</v>
          </cell>
        </row>
        <row r="100">
          <cell r="A100" t="str">
            <v>MAJ</v>
          </cell>
          <cell r="B100">
            <v>608968</v>
          </cell>
          <cell r="C100">
            <v>6826</v>
          </cell>
        </row>
        <row r="101">
          <cell r="A101" t="str">
            <v>JUN</v>
          </cell>
          <cell r="B101">
            <v>609108</v>
          </cell>
          <cell r="C101">
            <v>6750</v>
          </cell>
        </row>
        <row r="102">
          <cell r="A102" t="str">
            <v>JUL</v>
          </cell>
          <cell r="B102">
            <v>607911</v>
          </cell>
          <cell r="C102">
            <v>6637</v>
          </cell>
        </row>
        <row r="103">
          <cell r="A103" t="str">
            <v>AVG</v>
          </cell>
          <cell r="B103">
            <v>606560</v>
          </cell>
          <cell r="C103">
            <v>6535</v>
          </cell>
        </row>
        <row r="105">
          <cell r="A105" t="str">
            <v>Data without changes</v>
          </cell>
          <cell r="B105" t="str">
            <v>Total</v>
          </cell>
          <cell r="C105" t="str">
            <v>A</v>
          </cell>
        </row>
        <row r="106">
          <cell r="A106" t="str">
            <v>JAN</v>
          </cell>
          <cell r="B106">
            <v>605094</v>
          </cell>
          <cell r="C106">
            <v>6140</v>
          </cell>
        </row>
        <row r="107">
          <cell r="A107" t="str">
            <v>FEB</v>
          </cell>
          <cell r="B107">
            <v>606374</v>
          </cell>
          <cell r="C107">
            <v>6116</v>
          </cell>
        </row>
        <row r="108">
          <cell r="A108" t="str">
            <v>MAR</v>
          </cell>
          <cell r="B108">
            <v>607521</v>
          </cell>
          <cell r="C108">
            <v>6216</v>
          </cell>
        </row>
        <row r="109">
          <cell r="A109" t="str">
            <v>APR</v>
          </cell>
          <cell r="B109">
            <v>608401</v>
          </cell>
          <cell r="C109">
            <v>6289</v>
          </cell>
        </row>
        <row r="110">
          <cell r="A110" t="str">
            <v>MAJ</v>
          </cell>
          <cell r="B110">
            <v>608968</v>
          </cell>
          <cell r="C110">
            <v>6342</v>
          </cell>
        </row>
        <row r="111">
          <cell r="A111" t="str">
            <v>JUN</v>
          </cell>
          <cell r="B111">
            <v>609108</v>
          </cell>
          <cell r="C111">
            <v>6253</v>
          </cell>
        </row>
        <row r="112">
          <cell r="A112" t="str">
            <v>JUL</v>
          </cell>
          <cell r="B112">
            <v>607911</v>
          </cell>
          <cell r="C112">
            <v>6137</v>
          </cell>
        </row>
        <row r="113">
          <cell r="A113" t="str">
            <v>AVG</v>
          </cell>
          <cell r="B113">
            <v>606560</v>
          </cell>
          <cell r="C113">
            <v>6033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age Data"/>
      <sheetName val="Wages by sector"/>
      <sheetName val="Wages_sectors"/>
      <sheetName val="Wages"/>
      <sheetName val="Priv S wages"/>
      <sheetName val="Pub S wages"/>
      <sheetName val="Wages_graphs"/>
      <sheetName val="Wages Manuf."/>
      <sheetName val="Real wages"/>
      <sheetName val="Real wages by sector"/>
      <sheetName val="Employment Data Sectors (wages)"/>
      <sheetName val="Employment data by sectors"/>
      <sheetName val="Employment_Full time equivalent"/>
      <sheetName val="Employment data"/>
      <sheetName val="Sheet1"/>
      <sheetName val="Total Employment"/>
      <sheetName val="Employment public services"/>
      <sheetName val="Employment table"/>
      <sheetName val="Balassa-Samuelson"/>
      <sheetName val="Wages and Consumption"/>
      <sheetName val="Wages and tax revenu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>
        <row r="6">
          <cell r="H6">
            <v>31509</v>
          </cell>
        </row>
        <row r="7">
          <cell r="H7">
            <v>31785</v>
          </cell>
        </row>
        <row r="8">
          <cell r="H8">
            <v>32217</v>
          </cell>
        </row>
        <row r="9">
          <cell r="H9">
            <v>32309</v>
          </cell>
        </row>
        <row r="10">
          <cell r="H10">
            <v>32261</v>
          </cell>
        </row>
        <row r="11">
          <cell r="A11" t="str">
            <v>JUL</v>
          </cell>
          <cell r="B11">
            <v>575913</v>
          </cell>
          <cell r="C11">
            <v>8045</v>
          </cell>
          <cell r="H11">
            <v>32480</v>
          </cell>
        </row>
        <row r="12">
          <cell r="A12" t="str">
            <v>AVG</v>
          </cell>
          <cell r="B12">
            <v>574495</v>
          </cell>
          <cell r="C12">
            <v>8070</v>
          </cell>
          <cell r="H12">
            <v>32444</v>
          </cell>
        </row>
        <row r="13">
          <cell r="A13" t="str">
            <v>SEP</v>
          </cell>
          <cell r="B13">
            <v>575282</v>
          </cell>
          <cell r="C13">
            <v>7946</v>
          </cell>
          <cell r="H13">
            <v>32895</v>
          </cell>
        </row>
        <row r="14">
          <cell r="A14" t="str">
            <v>OKT</v>
          </cell>
          <cell r="B14">
            <v>576186</v>
          </cell>
          <cell r="C14">
            <v>7965</v>
          </cell>
          <cell r="H14">
            <v>32892</v>
          </cell>
        </row>
        <row r="15">
          <cell r="A15" t="str">
            <v>NOV</v>
          </cell>
          <cell r="B15">
            <v>576133</v>
          </cell>
          <cell r="C15">
            <v>8164</v>
          </cell>
          <cell r="H15">
            <v>32836</v>
          </cell>
        </row>
        <row r="16">
          <cell r="A16" t="str">
            <v>DEC</v>
          </cell>
          <cell r="B16">
            <v>572807</v>
          </cell>
          <cell r="C16">
            <v>7995</v>
          </cell>
          <cell r="H16">
            <v>32298</v>
          </cell>
        </row>
        <row r="17">
          <cell r="A17">
            <v>1997</v>
          </cell>
          <cell r="B17">
            <v>576225.75</v>
          </cell>
          <cell r="C17">
            <v>8073.416666666667</v>
          </cell>
          <cell r="H17">
            <v>32287.166666666668</v>
          </cell>
        </row>
        <row r="20">
          <cell r="B20" t="str">
            <v>Total</v>
          </cell>
          <cell r="C20" t="str">
            <v>A</v>
          </cell>
        </row>
        <row r="21">
          <cell r="A21" t="str">
            <v>JAN</v>
          </cell>
          <cell r="B21">
            <v>570812</v>
          </cell>
          <cell r="C21">
            <v>7859</v>
          </cell>
        </row>
        <row r="22">
          <cell r="A22" t="str">
            <v>FEB</v>
          </cell>
          <cell r="B22">
            <v>570863</v>
          </cell>
          <cell r="C22">
            <v>7916</v>
          </cell>
        </row>
        <row r="23">
          <cell r="A23" t="str">
            <v>MAR</v>
          </cell>
          <cell r="B23">
            <v>571919</v>
          </cell>
          <cell r="C23">
            <v>7960</v>
          </cell>
        </row>
        <row r="24">
          <cell r="A24" t="str">
            <v>APR</v>
          </cell>
          <cell r="B24">
            <v>574030</v>
          </cell>
          <cell r="C24">
            <v>7953</v>
          </cell>
        </row>
        <row r="25">
          <cell r="A25" t="str">
            <v>MAJ</v>
          </cell>
          <cell r="B25">
            <v>574751</v>
          </cell>
          <cell r="C25">
            <v>7923</v>
          </cell>
        </row>
        <row r="26">
          <cell r="A26" t="str">
            <v>JUN</v>
          </cell>
          <cell r="B26">
            <v>574773</v>
          </cell>
          <cell r="C26">
            <v>8016</v>
          </cell>
        </row>
        <row r="27">
          <cell r="A27" t="str">
            <v>JUL</v>
          </cell>
          <cell r="B27">
            <v>574914</v>
          </cell>
          <cell r="C27">
            <v>7989</v>
          </cell>
        </row>
        <row r="28">
          <cell r="A28" t="str">
            <v>AVG</v>
          </cell>
          <cell r="B28">
            <v>574755</v>
          </cell>
          <cell r="C28">
            <v>7913</v>
          </cell>
        </row>
        <row r="29">
          <cell r="A29" t="str">
            <v>SEP</v>
          </cell>
          <cell r="B29">
            <v>575464</v>
          </cell>
          <cell r="C29">
            <v>7891</v>
          </cell>
        </row>
        <row r="30">
          <cell r="A30" t="str">
            <v>OKT</v>
          </cell>
          <cell r="B30">
            <v>576124</v>
          </cell>
          <cell r="C30">
            <v>7875</v>
          </cell>
        </row>
        <row r="31">
          <cell r="A31" t="str">
            <v>NOV</v>
          </cell>
          <cell r="B31">
            <v>576937</v>
          </cell>
          <cell r="C31">
            <v>7782</v>
          </cell>
        </row>
        <row r="32">
          <cell r="A32" t="str">
            <v>DEC</v>
          </cell>
          <cell r="B32">
            <v>575048</v>
          </cell>
          <cell r="C32">
            <v>7657</v>
          </cell>
        </row>
        <row r="33">
          <cell r="A33">
            <v>1998</v>
          </cell>
          <cell r="B33">
            <v>574202.58333333326</v>
          </cell>
          <cell r="C33">
            <v>7894.5</v>
          </cell>
        </row>
        <row r="36">
          <cell r="B36" t="str">
            <v>Total</v>
          </cell>
          <cell r="C36" t="str">
            <v>A</v>
          </cell>
        </row>
        <row r="37">
          <cell r="A37" t="str">
            <v>JAN</v>
          </cell>
          <cell r="B37">
            <v>576144</v>
          </cell>
          <cell r="C37">
            <v>7583</v>
          </cell>
        </row>
        <row r="38">
          <cell r="A38" t="str">
            <v>FEB</v>
          </cell>
          <cell r="B38">
            <v>578019</v>
          </cell>
          <cell r="C38">
            <v>7557</v>
          </cell>
        </row>
        <row r="39">
          <cell r="A39" t="str">
            <v>MAR</v>
          </cell>
          <cell r="B39">
            <v>579604</v>
          </cell>
          <cell r="C39">
            <v>7656</v>
          </cell>
        </row>
        <row r="40">
          <cell r="A40" t="str">
            <v>APR</v>
          </cell>
          <cell r="B40">
            <v>581047</v>
          </cell>
          <cell r="C40">
            <v>7710</v>
          </cell>
        </row>
        <row r="41">
          <cell r="A41" t="str">
            <v>MAJ</v>
          </cell>
          <cell r="B41">
            <v>582571</v>
          </cell>
          <cell r="C41">
            <v>7747</v>
          </cell>
        </row>
        <row r="42">
          <cell r="A42" t="str">
            <v>JUN</v>
          </cell>
          <cell r="B42">
            <v>584084</v>
          </cell>
          <cell r="C42">
            <v>7782</v>
          </cell>
        </row>
        <row r="43">
          <cell r="A43" t="str">
            <v>JUL</v>
          </cell>
          <cell r="B43">
            <v>585353</v>
          </cell>
          <cell r="C43">
            <v>7821</v>
          </cell>
        </row>
        <row r="44">
          <cell r="A44" t="str">
            <v>AVG</v>
          </cell>
          <cell r="B44">
            <v>584885</v>
          </cell>
          <cell r="C44">
            <v>7517</v>
          </cell>
        </row>
        <row r="45">
          <cell r="A45" t="str">
            <v>SEP</v>
          </cell>
          <cell r="B45">
            <v>587070</v>
          </cell>
          <cell r="C45">
            <v>7692</v>
          </cell>
        </row>
        <row r="46">
          <cell r="A46" t="str">
            <v>OKT</v>
          </cell>
          <cell r="B46">
            <v>589206</v>
          </cell>
          <cell r="C46">
            <v>7710</v>
          </cell>
        </row>
        <row r="47">
          <cell r="A47" t="str">
            <v>NOV</v>
          </cell>
          <cell r="B47">
            <v>589722</v>
          </cell>
          <cell r="C47">
            <v>7550</v>
          </cell>
        </row>
        <row r="48">
          <cell r="A48" t="str">
            <v>DEC</v>
          </cell>
          <cell r="B48">
            <v>587237</v>
          </cell>
          <cell r="C48">
            <v>7214</v>
          </cell>
        </row>
        <row r="49">
          <cell r="A49">
            <v>1999</v>
          </cell>
          <cell r="B49">
            <v>583801</v>
          </cell>
          <cell r="C49">
            <v>7628</v>
          </cell>
        </row>
        <row r="52">
          <cell r="B52" t="str">
            <v>Total</v>
          </cell>
          <cell r="C52" t="str">
            <v>A</v>
          </cell>
        </row>
        <row r="53">
          <cell r="A53" t="str">
            <v>JAN</v>
          </cell>
          <cell r="B53">
            <v>585835</v>
          </cell>
          <cell r="C53">
            <v>7092</v>
          </cell>
        </row>
        <row r="54">
          <cell r="A54" t="str">
            <v>FEB</v>
          </cell>
          <cell r="B54">
            <v>587900</v>
          </cell>
          <cell r="C54">
            <v>7090</v>
          </cell>
        </row>
        <row r="55">
          <cell r="A55" t="str">
            <v>MAR</v>
          </cell>
          <cell r="B55">
            <v>588971</v>
          </cell>
          <cell r="C55">
            <v>7298</v>
          </cell>
        </row>
        <row r="56">
          <cell r="A56" t="str">
            <v>APR</v>
          </cell>
          <cell r="B56">
            <v>590669</v>
          </cell>
          <cell r="C56">
            <v>7325</v>
          </cell>
        </row>
        <row r="57">
          <cell r="A57" t="str">
            <v>MAJ</v>
          </cell>
          <cell r="B57">
            <v>591604</v>
          </cell>
          <cell r="C57">
            <v>7355</v>
          </cell>
        </row>
        <row r="58">
          <cell r="A58" t="str">
            <v>JUN</v>
          </cell>
          <cell r="B58">
            <v>593230</v>
          </cell>
          <cell r="C58">
            <v>7419</v>
          </cell>
        </row>
        <row r="59">
          <cell r="A59" t="str">
            <v>JUL</v>
          </cell>
          <cell r="B59">
            <v>592637</v>
          </cell>
          <cell r="C59">
            <v>7393</v>
          </cell>
        </row>
        <row r="60">
          <cell r="A60" t="str">
            <v>AVG</v>
          </cell>
          <cell r="B60">
            <v>592398</v>
          </cell>
          <cell r="C60">
            <v>7377</v>
          </cell>
        </row>
        <row r="61">
          <cell r="A61" t="str">
            <v>SEP</v>
          </cell>
          <cell r="B61">
            <v>593975</v>
          </cell>
          <cell r="C61">
            <v>7813</v>
          </cell>
        </row>
        <row r="62">
          <cell r="A62" t="str">
            <v>OKT</v>
          </cell>
          <cell r="B62">
            <v>595507</v>
          </cell>
          <cell r="C62">
            <v>7525</v>
          </cell>
        </row>
        <row r="63">
          <cell r="A63" t="str">
            <v>NOV</v>
          </cell>
          <cell r="B63">
            <v>595261</v>
          </cell>
          <cell r="C63">
            <v>7133</v>
          </cell>
        </row>
        <row r="64">
          <cell r="A64" t="str">
            <v>DEC</v>
          </cell>
          <cell r="B64">
            <v>593689</v>
          </cell>
          <cell r="C64">
            <v>7010</v>
          </cell>
        </row>
        <row r="65">
          <cell r="A65">
            <v>2000</v>
          </cell>
          <cell r="B65">
            <v>591806.33333333326</v>
          </cell>
          <cell r="C65">
            <v>7319.166666666667</v>
          </cell>
        </row>
        <row r="68">
          <cell r="B68" t="str">
            <v>Total</v>
          </cell>
          <cell r="C68" t="str">
            <v>A</v>
          </cell>
        </row>
        <row r="69">
          <cell r="A69" t="str">
            <v>JAN</v>
          </cell>
          <cell r="B69">
            <v>593701</v>
          </cell>
          <cell r="C69">
            <v>6896</v>
          </cell>
        </row>
        <row r="70">
          <cell r="A70" t="str">
            <v>FEB</v>
          </cell>
          <cell r="B70">
            <v>594472</v>
          </cell>
          <cell r="C70">
            <v>6875</v>
          </cell>
        </row>
        <row r="71">
          <cell r="A71" t="str">
            <v>MAR</v>
          </cell>
          <cell r="B71">
            <v>598394</v>
          </cell>
          <cell r="C71">
            <v>6951</v>
          </cell>
        </row>
        <row r="72">
          <cell r="A72" t="str">
            <v>APR</v>
          </cell>
          <cell r="B72">
            <v>600445</v>
          </cell>
          <cell r="C72">
            <v>6943</v>
          </cell>
        </row>
        <row r="73">
          <cell r="A73" t="str">
            <v>MAJ</v>
          </cell>
          <cell r="B73">
            <v>603082</v>
          </cell>
          <cell r="C73">
            <v>7062</v>
          </cell>
        </row>
        <row r="74">
          <cell r="A74" t="str">
            <v>JUN</v>
          </cell>
          <cell r="B74">
            <v>604590</v>
          </cell>
          <cell r="C74">
            <v>6940</v>
          </cell>
        </row>
        <row r="75">
          <cell r="A75" t="str">
            <v>JUL</v>
          </cell>
          <cell r="B75">
            <v>604546</v>
          </cell>
          <cell r="C75">
            <v>6781</v>
          </cell>
        </row>
        <row r="76">
          <cell r="A76" t="str">
            <v>AVG</v>
          </cell>
          <cell r="B76">
            <v>604339</v>
          </cell>
          <cell r="C76">
            <v>6635</v>
          </cell>
        </row>
        <row r="77">
          <cell r="A77" t="str">
            <v>SEP</v>
          </cell>
          <cell r="B77">
            <v>607350</v>
          </cell>
          <cell r="C77">
            <v>6806</v>
          </cell>
        </row>
        <row r="78">
          <cell r="A78" t="str">
            <v>OKT</v>
          </cell>
          <cell r="B78">
            <v>608109</v>
          </cell>
          <cell r="C78">
            <v>6804</v>
          </cell>
        </row>
        <row r="79">
          <cell r="A79" t="str">
            <v>NOV</v>
          </cell>
          <cell r="B79">
            <v>607786</v>
          </cell>
          <cell r="C79">
            <v>6467</v>
          </cell>
        </row>
        <row r="80">
          <cell r="A80" t="str">
            <v>DEC</v>
          </cell>
          <cell r="B80">
            <v>605600</v>
          </cell>
          <cell r="C80">
            <v>6305</v>
          </cell>
        </row>
        <row r="81">
          <cell r="A81">
            <v>2001</v>
          </cell>
          <cell r="B81">
            <v>602702</v>
          </cell>
          <cell r="C81">
            <v>6789</v>
          </cell>
        </row>
        <row r="83">
          <cell r="A83" t="str">
            <v>Share</v>
          </cell>
          <cell r="C83">
            <v>1.1264273222919452</v>
          </cell>
        </row>
        <row r="84">
          <cell r="A84" t="str">
            <v>Data without changes</v>
          </cell>
          <cell r="B84" t="str">
            <v>Total</v>
          </cell>
          <cell r="C84" t="str">
            <v>A</v>
          </cell>
        </row>
        <row r="85">
          <cell r="A85" t="str">
            <v>JAN</v>
          </cell>
          <cell r="B85">
            <v>605094</v>
          </cell>
          <cell r="C85">
            <v>6140</v>
          </cell>
        </row>
        <row r="86">
          <cell r="A86" t="str">
            <v>FEB</v>
          </cell>
          <cell r="B86">
            <v>606374</v>
          </cell>
          <cell r="C86">
            <v>6589</v>
          </cell>
          <cell r="H86">
            <v>33441</v>
          </cell>
        </row>
        <row r="87">
          <cell r="A87" t="str">
            <v>MAR</v>
          </cell>
          <cell r="B87">
            <v>607521</v>
          </cell>
          <cell r="C87">
            <v>6753</v>
          </cell>
          <cell r="H87">
            <v>33464</v>
          </cell>
        </row>
        <row r="88">
          <cell r="A88" t="str">
            <v>APR</v>
          </cell>
          <cell r="B88">
            <v>608401</v>
          </cell>
          <cell r="C88">
            <v>6827</v>
          </cell>
          <cell r="H88">
            <v>33641</v>
          </cell>
        </row>
        <row r="89">
          <cell r="A89" t="str">
            <v>MAJ</v>
          </cell>
          <cell r="B89">
            <v>608968</v>
          </cell>
          <cell r="C89">
            <v>6826</v>
          </cell>
          <cell r="H89">
            <v>33740</v>
          </cell>
        </row>
        <row r="90">
          <cell r="A90" t="str">
            <v>JUN</v>
          </cell>
          <cell r="B90">
            <v>609108</v>
          </cell>
          <cell r="C90">
            <v>6750</v>
          </cell>
          <cell r="H90">
            <v>33746</v>
          </cell>
        </row>
        <row r="91">
          <cell r="A91" t="str">
            <v>JUL</v>
          </cell>
          <cell r="B91">
            <v>607911</v>
          </cell>
          <cell r="C91">
            <v>6637</v>
          </cell>
          <cell r="H91">
            <v>33711</v>
          </cell>
        </row>
        <row r="92">
          <cell r="A92" t="str">
            <v>AVG</v>
          </cell>
          <cell r="B92">
            <v>606560</v>
          </cell>
          <cell r="C92">
            <v>6535</v>
          </cell>
          <cell r="H92">
            <v>33763</v>
          </cell>
        </row>
        <row r="94">
          <cell r="A94" t="str">
            <v>Datas with changes</v>
          </cell>
        </row>
        <row r="95">
          <cell r="A95">
            <v>2002</v>
          </cell>
          <cell r="B95" t="str">
            <v>Total</v>
          </cell>
          <cell r="C95" t="str">
            <v>A</v>
          </cell>
          <cell r="H95" t="str">
            <v>F</v>
          </cell>
        </row>
        <row r="96">
          <cell r="A96" t="str">
            <v>JAN</v>
          </cell>
          <cell r="B96">
            <v>605094</v>
          </cell>
          <cell r="C96">
            <v>6140</v>
          </cell>
          <cell r="H96">
            <v>33259</v>
          </cell>
        </row>
        <row r="97">
          <cell r="A97" t="str">
            <v>FEB</v>
          </cell>
          <cell r="B97">
            <v>606374</v>
          </cell>
          <cell r="C97">
            <v>6589</v>
          </cell>
          <cell r="H97">
            <v>33441</v>
          </cell>
        </row>
        <row r="98">
          <cell r="A98" t="str">
            <v>MAR</v>
          </cell>
          <cell r="B98">
            <v>607521</v>
          </cell>
          <cell r="C98">
            <v>6753</v>
          </cell>
          <cell r="H98">
            <v>33464</v>
          </cell>
        </row>
        <row r="99">
          <cell r="A99" t="str">
            <v>APR</v>
          </cell>
          <cell r="B99">
            <v>608401</v>
          </cell>
          <cell r="C99">
            <v>6827</v>
          </cell>
          <cell r="H99">
            <v>33641</v>
          </cell>
        </row>
        <row r="100">
          <cell r="A100" t="str">
            <v>MAJ</v>
          </cell>
          <cell r="B100">
            <v>608968</v>
          </cell>
          <cell r="C100">
            <v>6826</v>
          </cell>
        </row>
        <row r="101">
          <cell r="A101" t="str">
            <v>JUN</v>
          </cell>
          <cell r="B101">
            <v>609108</v>
          </cell>
          <cell r="C101">
            <v>6750</v>
          </cell>
        </row>
        <row r="102">
          <cell r="A102" t="str">
            <v>JUL</v>
          </cell>
          <cell r="B102">
            <v>607911</v>
          </cell>
          <cell r="C102">
            <v>6637</v>
          </cell>
        </row>
        <row r="103">
          <cell r="A103" t="str">
            <v>AVG</v>
          </cell>
          <cell r="B103">
            <v>606560</v>
          </cell>
          <cell r="C103">
            <v>6535</v>
          </cell>
        </row>
        <row r="105">
          <cell r="A105" t="str">
            <v>Data without changes</v>
          </cell>
          <cell r="B105" t="str">
            <v>Total</v>
          </cell>
          <cell r="C105" t="str">
            <v>A</v>
          </cell>
        </row>
        <row r="106">
          <cell r="A106" t="str">
            <v>JAN</v>
          </cell>
          <cell r="B106">
            <v>605094</v>
          </cell>
          <cell r="C106">
            <v>6140</v>
          </cell>
        </row>
        <row r="107">
          <cell r="A107" t="str">
            <v>FEB</v>
          </cell>
          <cell r="B107">
            <v>606374</v>
          </cell>
          <cell r="C107">
            <v>6116</v>
          </cell>
        </row>
        <row r="108">
          <cell r="A108" t="str">
            <v>MAR</v>
          </cell>
          <cell r="B108">
            <v>607521</v>
          </cell>
          <cell r="C108">
            <v>6216</v>
          </cell>
        </row>
        <row r="109">
          <cell r="A109" t="str">
            <v>APR</v>
          </cell>
          <cell r="B109">
            <v>608401</v>
          </cell>
          <cell r="C109">
            <v>6289</v>
          </cell>
        </row>
        <row r="110">
          <cell r="A110" t="str">
            <v>MAJ</v>
          </cell>
          <cell r="B110">
            <v>608968</v>
          </cell>
          <cell r="C110">
            <v>6342</v>
          </cell>
        </row>
        <row r="111">
          <cell r="A111" t="str">
            <v>JUN</v>
          </cell>
          <cell r="B111">
            <v>609108</v>
          </cell>
          <cell r="C111">
            <v>6253</v>
          </cell>
        </row>
        <row r="112">
          <cell r="A112" t="str">
            <v>JUL</v>
          </cell>
          <cell r="B112">
            <v>607911</v>
          </cell>
          <cell r="C112">
            <v>6137</v>
          </cell>
        </row>
        <row r="113">
          <cell r="A113" t="str">
            <v>AVG</v>
          </cell>
          <cell r="B113">
            <v>606560</v>
          </cell>
          <cell r="C113">
            <v>6033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age Data"/>
      <sheetName val="Wages by sector"/>
      <sheetName val="Wages_sectors"/>
      <sheetName val="Wages"/>
      <sheetName val="Priv S wages"/>
      <sheetName val="Pub S wages"/>
      <sheetName val="Wages_graphs"/>
      <sheetName val="Wages Manuf."/>
      <sheetName val="Real wages"/>
      <sheetName val="Real wages by sector"/>
      <sheetName val="Employment Data Sectors (wages)"/>
      <sheetName val="Employment data by sectors"/>
      <sheetName val="Employment_Full time equivalent"/>
      <sheetName val="Employment data"/>
      <sheetName val="Sheet1"/>
      <sheetName val="Total Employment"/>
      <sheetName val="Employment public services"/>
      <sheetName val="Employment table"/>
      <sheetName val="Balassa-Samuelson"/>
      <sheetName val="Wages and Consumption"/>
      <sheetName val="Wages and tax revenues"/>
      <sheetName val="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>
        <row r="6">
          <cell r="H6">
            <v>31509</v>
          </cell>
        </row>
        <row r="7">
          <cell r="H7">
            <v>31785</v>
          </cell>
        </row>
        <row r="8">
          <cell r="H8">
            <v>32217</v>
          </cell>
        </row>
        <row r="9">
          <cell r="H9">
            <v>32309</v>
          </cell>
        </row>
        <row r="10">
          <cell r="H10">
            <v>32261</v>
          </cell>
        </row>
        <row r="11">
          <cell r="A11" t="str">
            <v>JUL</v>
          </cell>
          <cell r="B11">
            <v>575913</v>
          </cell>
          <cell r="C11">
            <v>8045</v>
          </cell>
          <cell r="H11">
            <v>32480</v>
          </cell>
        </row>
        <row r="12">
          <cell r="A12" t="str">
            <v>AVG</v>
          </cell>
          <cell r="B12">
            <v>574495</v>
          </cell>
          <cell r="C12">
            <v>8070</v>
          </cell>
          <cell r="H12">
            <v>32444</v>
          </cell>
        </row>
        <row r="13">
          <cell r="A13" t="str">
            <v>SEP</v>
          </cell>
          <cell r="B13">
            <v>575282</v>
          </cell>
          <cell r="C13">
            <v>7946</v>
          </cell>
          <cell r="H13">
            <v>32895</v>
          </cell>
        </row>
        <row r="14">
          <cell r="A14" t="str">
            <v>OKT</v>
          </cell>
          <cell r="B14">
            <v>576186</v>
          </cell>
          <cell r="C14">
            <v>7965</v>
          </cell>
          <cell r="H14">
            <v>32892</v>
          </cell>
        </row>
        <row r="15">
          <cell r="A15" t="str">
            <v>NOV</v>
          </cell>
          <cell r="B15">
            <v>576133</v>
          </cell>
          <cell r="C15">
            <v>8164</v>
          </cell>
          <cell r="H15">
            <v>32836</v>
          </cell>
        </row>
        <row r="16">
          <cell r="A16" t="str">
            <v>DEC</v>
          </cell>
          <cell r="B16">
            <v>572807</v>
          </cell>
          <cell r="C16">
            <v>7995</v>
          </cell>
          <cell r="H16">
            <v>32298</v>
          </cell>
        </row>
        <row r="17">
          <cell r="A17">
            <v>1997</v>
          </cell>
          <cell r="B17">
            <v>576225.75</v>
          </cell>
          <cell r="C17">
            <v>8073.416666666667</v>
          </cell>
          <cell r="H17">
            <v>32287.166666666668</v>
          </cell>
        </row>
        <row r="20">
          <cell r="B20" t="str">
            <v>Total</v>
          </cell>
          <cell r="C20" t="str">
            <v>A</v>
          </cell>
        </row>
        <row r="21">
          <cell r="A21" t="str">
            <v>JAN</v>
          </cell>
          <cell r="B21">
            <v>570812</v>
          </cell>
          <cell r="C21">
            <v>7859</v>
          </cell>
        </row>
        <row r="22">
          <cell r="A22" t="str">
            <v>FEB</v>
          </cell>
          <cell r="B22">
            <v>570863</v>
          </cell>
          <cell r="C22">
            <v>7916</v>
          </cell>
        </row>
        <row r="23">
          <cell r="A23" t="str">
            <v>MAR</v>
          </cell>
          <cell r="B23">
            <v>571919</v>
          </cell>
          <cell r="C23">
            <v>7960</v>
          </cell>
        </row>
        <row r="24">
          <cell r="A24" t="str">
            <v>APR</v>
          </cell>
          <cell r="B24">
            <v>574030</v>
          </cell>
          <cell r="C24">
            <v>7953</v>
          </cell>
        </row>
        <row r="25">
          <cell r="A25" t="str">
            <v>MAJ</v>
          </cell>
          <cell r="B25">
            <v>574751</v>
          </cell>
          <cell r="C25">
            <v>7923</v>
          </cell>
        </row>
        <row r="26">
          <cell r="A26" t="str">
            <v>JUN</v>
          </cell>
          <cell r="B26">
            <v>574773</v>
          </cell>
          <cell r="C26">
            <v>8016</v>
          </cell>
        </row>
        <row r="27">
          <cell r="A27" t="str">
            <v>JUL</v>
          </cell>
          <cell r="B27">
            <v>574914</v>
          </cell>
          <cell r="C27">
            <v>7989</v>
          </cell>
        </row>
        <row r="28">
          <cell r="A28" t="str">
            <v>AVG</v>
          </cell>
          <cell r="B28">
            <v>574755</v>
          </cell>
          <cell r="C28">
            <v>7913</v>
          </cell>
        </row>
        <row r="29">
          <cell r="A29" t="str">
            <v>SEP</v>
          </cell>
          <cell r="B29">
            <v>575464</v>
          </cell>
          <cell r="C29">
            <v>7891</v>
          </cell>
        </row>
        <row r="30">
          <cell r="A30" t="str">
            <v>OKT</v>
          </cell>
          <cell r="B30">
            <v>576124</v>
          </cell>
          <cell r="C30">
            <v>7875</v>
          </cell>
        </row>
        <row r="31">
          <cell r="A31" t="str">
            <v>NOV</v>
          </cell>
          <cell r="B31">
            <v>576937</v>
          </cell>
          <cell r="C31">
            <v>7782</v>
          </cell>
        </row>
        <row r="32">
          <cell r="A32" t="str">
            <v>DEC</v>
          </cell>
          <cell r="B32">
            <v>575048</v>
          </cell>
          <cell r="C32">
            <v>7657</v>
          </cell>
        </row>
        <row r="33">
          <cell r="A33">
            <v>1998</v>
          </cell>
          <cell r="B33">
            <v>574202.58333333326</v>
          </cell>
          <cell r="C33">
            <v>7894.5</v>
          </cell>
        </row>
        <row r="36">
          <cell r="B36" t="str">
            <v>Total</v>
          </cell>
          <cell r="C36" t="str">
            <v>A</v>
          </cell>
        </row>
        <row r="37">
          <cell r="A37" t="str">
            <v>JAN</v>
          </cell>
          <cell r="B37">
            <v>576144</v>
          </cell>
          <cell r="C37">
            <v>7583</v>
          </cell>
        </row>
        <row r="38">
          <cell r="A38" t="str">
            <v>FEB</v>
          </cell>
          <cell r="B38">
            <v>578019</v>
          </cell>
          <cell r="C38">
            <v>7557</v>
          </cell>
        </row>
        <row r="39">
          <cell r="A39" t="str">
            <v>MAR</v>
          </cell>
          <cell r="B39">
            <v>579604</v>
          </cell>
          <cell r="C39">
            <v>7656</v>
          </cell>
        </row>
        <row r="40">
          <cell r="A40" t="str">
            <v>APR</v>
          </cell>
          <cell r="B40">
            <v>581047</v>
          </cell>
          <cell r="C40">
            <v>7710</v>
          </cell>
        </row>
        <row r="41">
          <cell r="A41" t="str">
            <v>MAJ</v>
          </cell>
          <cell r="B41">
            <v>582571</v>
          </cell>
          <cell r="C41">
            <v>7747</v>
          </cell>
        </row>
        <row r="42">
          <cell r="A42" t="str">
            <v>JUN</v>
          </cell>
          <cell r="B42">
            <v>584084</v>
          </cell>
          <cell r="C42">
            <v>7782</v>
          </cell>
        </row>
        <row r="43">
          <cell r="A43" t="str">
            <v>JUL</v>
          </cell>
          <cell r="B43">
            <v>585353</v>
          </cell>
          <cell r="C43">
            <v>7821</v>
          </cell>
        </row>
        <row r="44">
          <cell r="A44" t="str">
            <v>AVG</v>
          </cell>
          <cell r="B44">
            <v>584885</v>
          </cell>
          <cell r="C44">
            <v>7517</v>
          </cell>
        </row>
        <row r="45">
          <cell r="A45" t="str">
            <v>SEP</v>
          </cell>
          <cell r="B45">
            <v>587070</v>
          </cell>
          <cell r="C45">
            <v>7692</v>
          </cell>
        </row>
        <row r="46">
          <cell r="A46" t="str">
            <v>OKT</v>
          </cell>
          <cell r="B46">
            <v>589206</v>
          </cell>
          <cell r="C46">
            <v>7710</v>
          </cell>
        </row>
        <row r="47">
          <cell r="A47" t="str">
            <v>NOV</v>
          </cell>
          <cell r="B47">
            <v>589722</v>
          </cell>
          <cell r="C47">
            <v>7550</v>
          </cell>
        </row>
        <row r="48">
          <cell r="A48" t="str">
            <v>DEC</v>
          </cell>
          <cell r="B48">
            <v>587237</v>
          </cell>
          <cell r="C48">
            <v>7214</v>
          </cell>
        </row>
        <row r="49">
          <cell r="A49">
            <v>1999</v>
          </cell>
          <cell r="B49">
            <v>583801</v>
          </cell>
          <cell r="C49">
            <v>7628</v>
          </cell>
        </row>
        <row r="52">
          <cell r="B52" t="str">
            <v>Total</v>
          </cell>
          <cell r="C52" t="str">
            <v>A</v>
          </cell>
        </row>
        <row r="53">
          <cell r="A53" t="str">
            <v>JAN</v>
          </cell>
          <cell r="B53">
            <v>585835</v>
          </cell>
          <cell r="C53">
            <v>7092</v>
          </cell>
        </row>
        <row r="54">
          <cell r="A54" t="str">
            <v>FEB</v>
          </cell>
          <cell r="B54">
            <v>587900</v>
          </cell>
          <cell r="C54">
            <v>7090</v>
          </cell>
        </row>
        <row r="55">
          <cell r="A55" t="str">
            <v>MAR</v>
          </cell>
          <cell r="B55">
            <v>588971</v>
          </cell>
          <cell r="C55">
            <v>7298</v>
          </cell>
        </row>
        <row r="56">
          <cell r="A56" t="str">
            <v>APR</v>
          </cell>
          <cell r="B56">
            <v>590669</v>
          </cell>
          <cell r="C56">
            <v>7325</v>
          </cell>
        </row>
        <row r="57">
          <cell r="A57" t="str">
            <v>MAJ</v>
          </cell>
          <cell r="B57">
            <v>591604</v>
          </cell>
          <cell r="C57">
            <v>7355</v>
          </cell>
        </row>
        <row r="58">
          <cell r="A58" t="str">
            <v>JUN</v>
          </cell>
          <cell r="B58">
            <v>593230</v>
          </cell>
          <cell r="C58">
            <v>7419</v>
          </cell>
        </row>
        <row r="59">
          <cell r="A59" t="str">
            <v>JUL</v>
          </cell>
          <cell r="B59">
            <v>592637</v>
          </cell>
          <cell r="C59">
            <v>7393</v>
          </cell>
        </row>
        <row r="60">
          <cell r="A60" t="str">
            <v>AVG</v>
          </cell>
          <cell r="B60">
            <v>592398</v>
          </cell>
          <cell r="C60">
            <v>7377</v>
          </cell>
        </row>
        <row r="61">
          <cell r="A61" t="str">
            <v>SEP</v>
          </cell>
          <cell r="B61">
            <v>593975</v>
          </cell>
          <cell r="C61">
            <v>7813</v>
          </cell>
        </row>
        <row r="62">
          <cell r="A62" t="str">
            <v>OKT</v>
          </cell>
          <cell r="B62">
            <v>595507</v>
          </cell>
          <cell r="C62">
            <v>7525</v>
          </cell>
        </row>
        <row r="63">
          <cell r="A63" t="str">
            <v>NOV</v>
          </cell>
          <cell r="B63">
            <v>595261</v>
          </cell>
          <cell r="C63">
            <v>7133</v>
          </cell>
        </row>
        <row r="64">
          <cell r="A64" t="str">
            <v>DEC</v>
          </cell>
          <cell r="B64">
            <v>593689</v>
          </cell>
          <cell r="C64">
            <v>7010</v>
          </cell>
        </row>
        <row r="65">
          <cell r="A65">
            <v>2000</v>
          </cell>
          <cell r="B65">
            <v>591806.33333333326</v>
          </cell>
          <cell r="C65">
            <v>7319.166666666667</v>
          </cell>
        </row>
        <row r="68">
          <cell r="B68" t="str">
            <v>Total</v>
          </cell>
          <cell r="C68" t="str">
            <v>A</v>
          </cell>
        </row>
        <row r="69">
          <cell r="A69" t="str">
            <v>JAN</v>
          </cell>
          <cell r="B69">
            <v>593701</v>
          </cell>
          <cell r="C69">
            <v>6896</v>
          </cell>
        </row>
        <row r="70">
          <cell r="A70" t="str">
            <v>FEB</v>
          </cell>
          <cell r="B70">
            <v>594472</v>
          </cell>
          <cell r="C70">
            <v>6875</v>
          </cell>
        </row>
        <row r="71">
          <cell r="A71" t="str">
            <v>MAR</v>
          </cell>
          <cell r="B71">
            <v>598394</v>
          </cell>
          <cell r="C71">
            <v>6951</v>
          </cell>
        </row>
        <row r="72">
          <cell r="A72" t="str">
            <v>APR</v>
          </cell>
          <cell r="B72">
            <v>600445</v>
          </cell>
          <cell r="C72">
            <v>6943</v>
          </cell>
        </row>
        <row r="73">
          <cell r="A73" t="str">
            <v>MAJ</v>
          </cell>
          <cell r="B73">
            <v>603082</v>
          </cell>
          <cell r="C73">
            <v>7062</v>
          </cell>
        </row>
        <row r="74">
          <cell r="A74" t="str">
            <v>JUN</v>
          </cell>
          <cell r="B74">
            <v>604590</v>
          </cell>
          <cell r="C74">
            <v>6940</v>
          </cell>
        </row>
        <row r="75">
          <cell r="A75" t="str">
            <v>JUL</v>
          </cell>
          <cell r="B75">
            <v>604546</v>
          </cell>
          <cell r="C75">
            <v>6781</v>
          </cell>
        </row>
        <row r="76">
          <cell r="A76" t="str">
            <v>AVG</v>
          </cell>
          <cell r="B76">
            <v>604339</v>
          </cell>
          <cell r="C76">
            <v>6635</v>
          </cell>
        </row>
        <row r="77">
          <cell r="A77" t="str">
            <v>SEP</v>
          </cell>
          <cell r="B77">
            <v>607350</v>
          </cell>
          <cell r="C77">
            <v>6806</v>
          </cell>
        </row>
        <row r="78">
          <cell r="A78" t="str">
            <v>OKT</v>
          </cell>
          <cell r="B78">
            <v>608109</v>
          </cell>
          <cell r="C78">
            <v>6804</v>
          </cell>
        </row>
        <row r="79">
          <cell r="A79" t="str">
            <v>NOV</v>
          </cell>
          <cell r="B79">
            <v>607786</v>
          </cell>
          <cell r="C79">
            <v>6467</v>
          </cell>
        </row>
        <row r="80">
          <cell r="A80" t="str">
            <v>DEC</v>
          </cell>
          <cell r="B80">
            <v>605600</v>
          </cell>
          <cell r="C80">
            <v>6305</v>
          </cell>
        </row>
        <row r="81">
          <cell r="A81">
            <v>2001</v>
          </cell>
          <cell r="B81">
            <v>602702</v>
          </cell>
          <cell r="C81">
            <v>6789</v>
          </cell>
        </row>
        <row r="83">
          <cell r="A83" t="str">
            <v>Share</v>
          </cell>
          <cell r="C83">
            <v>1.1264273222919452</v>
          </cell>
        </row>
        <row r="84">
          <cell r="A84" t="str">
            <v>Data without changes</v>
          </cell>
          <cell r="B84" t="str">
            <v>Total</v>
          </cell>
          <cell r="C84" t="str">
            <v>A</v>
          </cell>
        </row>
        <row r="85">
          <cell r="A85" t="str">
            <v>JAN</v>
          </cell>
          <cell r="B85">
            <v>605094</v>
          </cell>
          <cell r="C85">
            <v>6140</v>
          </cell>
        </row>
        <row r="86">
          <cell r="A86" t="str">
            <v>FEB</v>
          </cell>
          <cell r="B86">
            <v>606374</v>
          </cell>
          <cell r="C86">
            <v>6589</v>
          </cell>
          <cell r="H86">
            <v>33441</v>
          </cell>
        </row>
        <row r="87">
          <cell r="A87" t="str">
            <v>MAR</v>
          </cell>
          <cell r="B87">
            <v>607521</v>
          </cell>
          <cell r="C87">
            <v>6753</v>
          </cell>
          <cell r="H87">
            <v>33464</v>
          </cell>
        </row>
        <row r="88">
          <cell r="A88" t="str">
            <v>APR</v>
          </cell>
          <cell r="B88">
            <v>608401</v>
          </cell>
          <cell r="C88">
            <v>6827</v>
          </cell>
          <cell r="H88">
            <v>33641</v>
          </cell>
        </row>
        <row r="89">
          <cell r="A89" t="str">
            <v>MAJ</v>
          </cell>
          <cell r="B89">
            <v>608968</v>
          </cell>
          <cell r="C89">
            <v>6826</v>
          </cell>
          <cell r="H89">
            <v>33740</v>
          </cell>
        </row>
        <row r="90">
          <cell r="A90" t="str">
            <v>JUN</v>
          </cell>
          <cell r="B90">
            <v>609108</v>
          </cell>
          <cell r="C90">
            <v>6750</v>
          </cell>
          <cell r="H90">
            <v>33746</v>
          </cell>
        </row>
        <row r="91">
          <cell r="A91" t="str">
            <v>JUL</v>
          </cell>
          <cell r="B91">
            <v>607911</v>
          </cell>
          <cell r="C91">
            <v>6637</v>
          </cell>
          <cell r="H91">
            <v>33711</v>
          </cell>
        </row>
        <row r="92">
          <cell r="A92" t="str">
            <v>AVG</v>
          </cell>
          <cell r="B92">
            <v>606560</v>
          </cell>
          <cell r="C92">
            <v>6535</v>
          </cell>
          <cell r="H92">
            <v>33763</v>
          </cell>
        </row>
        <row r="94">
          <cell r="A94" t="str">
            <v>Datas with changes</v>
          </cell>
        </row>
        <row r="95">
          <cell r="A95">
            <v>2002</v>
          </cell>
          <cell r="B95" t="str">
            <v>Total</v>
          </cell>
          <cell r="C95" t="str">
            <v>A</v>
          </cell>
          <cell r="H95" t="str">
            <v>F</v>
          </cell>
        </row>
        <row r="96">
          <cell r="A96" t="str">
            <v>JAN</v>
          </cell>
          <cell r="B96">
            <v>605094</v>
          </cell>
          <cell r="C96">
            <v>6140</v>
          </cell>
          <cell r="H96">
            <v>33259</v>
          </cell>
        </row>
        <row r="97">
          <cell r="A97" t="str">
            <v>FEB</v>
          </cell>
          <cell r="B97">
            <v>606374</v>
          </cell>
          <cell r="C97">
            <v>6589</v>
          </cell>
          <cell r="H97">
            <v>33441</v>
          </cell>
        </row>
        <row r="98">
          <cell r="A98" t="str">
            <v>MAR</v>
          </cell>
          <cell r="B98">
            <v>607521</v>
          </cell>
          <cell r="C98">
            <v>6753</v>
          </cell>
          <cell r="H98">
            <v>33464</v>
          </cell>
        </row>
        <row r="99">
          <cell r="A99" t="str">
            <v>APR</v>
          </cell>
          <cell r="B99">
            <v>608401</v>
          </cell>
          <cell r="C99">
            <v>6827</v>
          </cell>
          <cell r="H99">
            <v>33641</v>
          </cell>
        </row>
        <row r="100">
          <cell r="A100" t="str">
            <v>MAJ</v>
          </cell>
          <cell r="B100">
            <v>608968</v>
          </cell>
          <cell r="C100">
            <v>6826</v>
          </cell>
        </row>
        <row r="101">
          <cell r="A101" t="str">
            <v>JUN</v>
          </cell>
          <cell r="B101">
            <v>609108</v>
          </cell>
          <cell r="C101">
            <v>6750</v>
          </cell>
        </row>
        <row r="102">
          <cell r="A102" t="str">
            <v>JUL</v>
          </cell>
          <cell r="B102">
            <v>607911</v>
          </cell>
          <cell r="C102">
            <v>6637</v>
          </cell>
        </row>
        <row r="103">
          <cell r="A103" t="str">
            <v>AVG</v>
          </cell>
          <cell r="B103">
            <v>606560</v>
          </cell>
          <cell r="C103">
            <v>6535</v>
          </cell>
        </row>
        <row r="105">
          <cell r="A105" t="str">
            <v>Data without changes</v>
          </cell>
          <cell r="B105" t="str">
            <v>Total</v>
          </cell>
          <cell r="C105" t="str">
            <v>A</v>
          </cell>
        </row>
        <row r="106">
          <cell r="A106" t="str">
            <v>JAN</v>
          </cell>
          <cell r="B106">
            <v>605094</v>
          </cell>
          <cell r="C106">
            <v>6140</v>
          </cell>
        </row>
        <row r="107">
          <cell r="A107" t="str">
            <v>FEB</v>
          </cell>
          <cell r="B107">
            <v>606374</v>
          </cell>
          <cell r="C107">
            <v>6116</v>
          </cell>
        </row>
        <row r="108">
          <cell r="A108" t="str">
            <v>MAR</v>
          </cell>
          <cell r="B108">
            <v>607521</v>
          </cell>
          <cell r="C108">
            <v>6216</v>
          </cell>
        </row>
        <row r="109">
          <cell r="A109" t="str">
            <v>APR</v>
          </cell>
          <cell r="B109">
            <v>608401</v>
          </cell>
          <cell r="C109">
            <v>6289</v>
          </cell>
        </row>
        <row r="110">
          <cell r="A110" t="str">
            <v>MAJ</v>
          </cell>
          <cell r="B110">
            <v>608968</v>
          </cell>
          <cell r="C110">
            <v>6342</v>
          </cell>
        </row>
        <row r="111">
          <cell r="A111" t="str">
            <v>JUN</v>
          </cell>
          <cell r="B111">
            <v>609108</v>
          </cell>
          <cell r="C111">
            <v>6253</v>
          </cell>
        </row>
        <row r="112">
          <cell r="A112" t="str">
            <v>JUL</v>
          </cell>
          <cell r="B112">
            <v>607911</v>
          </cell>
          <cell r="C112">
            <v>6137</v>
          </cell>
        </row>
        <row r="113">
          <cell r="A113" t="str">
            <v>AVG</v>
          </cell>
          <cell r="B113">
            <v>606560</v>
          </cell>
          <cell r="C113">
            <v>6033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CT-NEER"/>
      <sheetName val="CT-REERCPI"/>
      <sheetName val="CT-REERULC"/>
      <sheetName val="CT-REERPPI"/>
      <sheetName val="ct-neer2"/>
      <sheetName val="CT-reercpi2"/>
      <sheetName val="CT-reerulc2"/>
      <sheetName val="CT-reerppi2"/>
      <sheetName val="ChartVH_temp"/>
      <sheetName val="ControlSheet"/>
      <sheetName val="input_NSA"/>
      <sheetName val="inpu_SA"/>
      <sheetName val="REER ULC rev"/>
      <sheetName val="REER"/>
      <sheetName val="C"/>
      <sheetName val="D"/>
      <sheetName val="E"/>
      <sheetName val="F"/>
      <sheetName val="tables"/>
      <sheetName val="H"/>
      <sheetName val="Chart1"/>
      <sheetName val="Transfer EDDS"/>
      <sheetName val="Chart_reera1"/>
      <sheetName val="Chart_reera2"/>
      <sheetName val="Chart_reera3"/>
      <sheetName val="Panel1"/>
      <sheetName val="Sheet1"/>
      <sheetName val="Panel2"/>
      <sheetName val="CT_NEER"/>
      <sheetName val="Chart2"/>
      <sheetName val="Chart3"/>
      <sheetName val="Fig8"/>
      <sheetName val="CT_reer_INS"/>
      <sheetName val="CT_REER CPI_INS"/>
      <sheetName val="Chart4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/>
      <sheetData sheetId="14" refreshError="1">
        <row r="1">
          <cell r="F1" t="str">
            <v>CPI111</v>
          </cell>
        </row>
        <row r="11">
          <cell r="C11" t="str">
            <v>Mar90</v>
          </cell>
        </row>
        <row r="14">
          <cell r="C14" t="str">
            <v>Jun</v>
          </cell>
        </row>
        <row r="17">
          <cell r="C17" t="str">
            <v>Sep</v>
          </cell>
        </row>
        <row r="20">
          <cell r="C20" t="str">
            <v>Dec</v>
          </cell>
        </row>
        <row r="23">
          <cell r="C23" t="str">
            <v>Mar91</v>
          </cell>
        </row>
        <row r="26">
          <cell r="C26" t="str">
            <v>Jun</v>
          </cell>
        </row>
        <row r="29">
          <cell r="C29" t="str">
            <v>Sep</v>
          </cell>
        </row>
        <row r="32">
          <cell r="C32" t="str">
            <v>Dec</v>
          </cell>
        </row>
        <row r="35">
          <cell r="C35" t="str">
            <v>Mar92</v>
          </cell>
        </row>
        <row r="38">
          <cell r="C38" t="str">
            <v>Jun</v>
          </cell>
        </row>
        <row r="41">
          <cell r="C41" t="str">
            <v>Sep</v>
          </cell>
        </row>
        <row r="44">
          <cell r="C44" t="str">
            <v>Dec</v>
          </cell>
        </row>
        <row r="47">
          <cell r="C47" t="str">
            <v>Mar93</v>
          </cell>
        </row>
        <row r="50">
          <cell r="C50" t="str">
            <v>Jun</v>
          </cell>
        </row>
        <row r="53">
          <cell r="C53" t="str">
            <v>Sep</v>
          </cell>
        </row>
        <row r="56">
          <cell r="C56" t="str">
            <v>Dec</v>
          </cell>
        </row>
        <row r="59">
          <cell r="C59" t="str">
            <v>Mar94</v>
          </cell>
        </row>
        <row r="62">
          <cell r="C62" t="str">
            <v>Jun</v>
          </cell>
        </row>
        <row r="65">
          <cell r="C65" t="str">
            <v>Sep</v>
          </cell>
        </row>
        <row r="68">
          <cell r="C68" t="str">
            <v>Dec</v>
          </cell>
        </row>
        <row r="71">
          <cell r="C71" t="str">
            <v>Mar95</v>
          </cell>
        </row>
        <row r="74">
          <cell r="C74" t="str">
            <v>Jun</v>
          </cell>
        </row>
        <row r="140">
          <cell r="BK140">
            <v>90.145299612313636</v>
          </cell>
          <cell r="BN140">
            <v>112.36460206325194</v>
          </cell>
        </row>
        <row r="146">
          <cell r="BR146" t="str">
            <v>$NULCG6</v>
          </cell>
        </row>
        <row r="147">
          <cell r="BB147" t="str">
            <v>Index, Jan-Sept 1990=100</v>
          </cell>
        </row>
        <row r="149">
          <cell r="AY149" t="str">
            <v>Index, Jan-Sept 1990=100</v>
          </cell>
          <cell r="BR149" t="str">
            <v>$NULCG6</v>
          </cell>
        </row>
        <row r="150">
          <cell r="AY150" t="str">
            <v>NEER</v>
          </cell>
          <cell r="AZ150" t="str">
            <v>REER</v>
          </cell>
          <cell r="BB150" t="str">
            <v>REER</v>
          </cell>
        </row>
        <row r="151">
          <cell r="AY151" t="str">
            <v>(czech/</v>
          </cell>
          <cell r="AZ151" t="str">
            <v>(CPI based)</v>
          </cell>
          <cell r="BB151" t="str">
            <v>(PPI based)</v>
          </cell>
        </row>
        <row r="152">
          <cell r="AY152" t="str">
            <v>$nomxrg6)</v>
          </cell>
        </row>
        <row r="153">
          <cell r="AY153" t="str">
            <v>neer</v>
          </cell>
          <cell r="AZ153" t="str">
            <v>reerc</v>
          </cell>
          <cell r="BB153" t="str">
            <v>reerp</v>
          </cell>
        </row>
        <row r="154">
          <cell r="AY154">
            <v>102.86789797269462</v>
          </cell>
          <cell r="AZ154">
            <v>1.009642963192813</v>
          </cell>
          <cell r="BB154">
            <v>99.628468216542174</v>
          </cell>
          <cell r="BR154">
            <v>95.691962942667203</v>
          </cell>
        </row>
        <row r="155">
          <cell r="AY155">
            <v>99.947925183606046</v>
          </cell>
          <cell r="AZ155">
            <v>0.90584955274081691</v>
          </cell>
          <cell r="BB155">
            <v>95.434709131531818</v>
          </cell>
          <cell r="BR155">
            <v>97.295901743191223</v>
          </cell>
        </row>
        <row r="156">
          <cell r="AY156">
            <v>100.91072848615903</v>
          </cell>
          <cell r="AZ156">
            <v>1.0486060074945365</v>
          </cell>
          <cell r="BB156">
            <v>95.744050870788996</v>
          </cell>
          <cell r="BR156">
            <v>96.411216455223325</v>
          </cell>
        </row>
        <row r="157">
          <cell r="AY157">
            <v>100.37548391924503</v>
          </cell>
          <cell r="AZ157">
            <v>1.0096271689377452</v>
          </cell>
          <cell r="BB157">
            <v>95.834237220419894</v>
          </cell>
          <cell r="BR157">
            <v>98.084662018047695</v>
          </cell>
        </row>
        <row r="158">
          <cell r="AY158">
            <v>100.24539209966674</v>
          </cell>
          <cell r="AZ158">
            <v>1.0162113742847021</v>
          </cell>
          <cell r="BB158">
            <v>96.390366140930439</v>
          </cell>
          <cell r="BR158">
            <v>100.4380590649068</v>
          </cell>
        </row>
        <row r="159">
          <cell r="AY159">
            <v>99.406466786284071</v>
          </cell>
          <cell r="AZ159">
            <v>1.0058013162293933</v>
          </cell>
          <cell r="BB159">
            <v>96.891987257323052</v>
          </cell>
          <cell r="BR159">
            <v>99.255834884469436</v>
          </cell>
        </row>
        <row r="160">
          <cell r="AY160">
            <v>99.043344271983258</v>
          </cell>
          <cell r="AZ160">
            <v>0.99825031296119759</v>
          </cell>
          <cell r="BB160">
            <v>104.75520681254494</v>
          </cell>
          <cell r="BR160">
            <v>101.59603165985909</v>
          </cell>
        </row>
        <row r="161">
          <cell r="AY161">
            <v>98.224383732714244</v>
          </cell>
          <cell r="AZ161">
            <v>0.90352240973764386</v>
          </cell>
          <cell r="BB161">
            <v>106.43162390008962</v>
          </cell>
          <cell r="BR161">
            <v>105.45309736673832</v>
          </cell>
        </row>
        <row r="162">
          <cell r="AY162">
            <v>99.270019289441464</v>
          </cell>
          <cell r="AZ162">
            <v>0.91320229072180292</v>
          </cell>
          <cell r="BB162">
            <v>108.51287026828214</v>
          </cell>
          <cell r="BR162">
            <v>105.77323386489692</v>
          </cell>
        </row>
        <row r="163">
          <cell r="AY163">
            <v>75.108316466956168</v>
          </cell>
          <cell r="AZ163">
            <v>0.74689509092898387</v>
          </cell>
          <cell r="BB163">
            <v>83.098393824811879</v>
          </cell>
          <cell r="BR163">
            <v>109.03270591450871</v>
          </cell>
        </row>
        <row r="164">
          <cell r="AY164">
            <v>62.85120983133713</v>
          </cell>
          <cell r="AZ164">
            <v>0.69176599641183467</v>
          </cell>
          <cell r="BB164">
            <v>70.658774539049006</v>
          </cell>
          <cell r="BR164">
            <v>111.45691523948409</v>
          </cell>
        </row>
        <row r="165">
          <cell r="AY165">
            <v>61.776502297974325</v>
          </cell>
          <cell r="AZ165">
            <v>0.63812772138269314</v>
          </cell>
          <cell r="BB165">
            <v>69.310923367402808</v>
          </cell>
          <cell r="BR165">
            <v>111.18025598994335</v>
          </cell>
        </row>
        <row r="166">
          <cell r="AY166">
            <v>54.558086574227595</v>
          </cell>
          <cell r="AZ166">
            <v>0.52270821897392594</v>
          </cell>
          <cell r="BB166">
            <v>74.876734071685775</v>
          </cell>
          <cell r="BR166">
            <v>110.29792595046035</v>
          </cell>
        </row>
        <row r="167">
          <cell r="AY167">
            <v>54.015349274176515</v>
          </cell>
          <cell r="AZ167">
            <v>0.47988117591450397</v>
          </cell>
          <cell r="BB167">
            <v>77.700151743643303</v>
          </cell>
          <cell r="BR167">
            <v>112.61713711212916</v>
          </cell>
        </row>
        <row r="168">
          <cell r="AY168">
            <v>55.290903978447936</v>
          </cell>
          <cell r="AZ168">
            <v>0.56039049020909004</v>
          </cell>
          <cell r="BB168">
            <v>82.650913539433446</v>
          </cell>
          <cell r="BR168">
            <v>106.1393269872501</v>
          </cell>
        </row>
        <row r="169">
          <cell r="AY169">
            <v>55.912880617050263</v>
          </cell>
          <cell r="AZ169">
            <v>0.54919522992492209</v>
          </cell>
          <cell r="BB169">
            <v>85.696392246293911</v>
          </cell>
          <cell r="BR169">
            <v>102.14514072132152</v>
          </cell>
        </row>
        <row r="170">
          <cell r="AY170">
            <v>56.055952541289635</v>
          </cell>
          <cell r="AZ170">
            <v>0.55724065940892986</v>
          </cell>
          <cell r="BB170">
            <v>88.494629135030536</v>
          </cell>
          <cell r="BR170">
            <v>102.4437403724986</v>
          </cell>
        </row>
        <row r="171">
          <cell r="AY171">
            <v>56.615537036050299</v>
          </cell>
          <cell r="AZ171">
            <v>0.55913778196545905</v>
          </cell>
          <cell r="BB171">
            <v>91.651718075236374</v>
          </cell>
          <cell r="BR171">
            <v>98.610193879527401</v>
          </cell>
        </row>
        <row r="172">
          <cell r="AY172">
            <v>56.49905789331369</v>
          </cell>
          <cell r="AZ172">
            <v>0.55047749176402194</v>
          </cell>
          <cell r="BB172">
            <v>91.357517662392098</v>
          </cell>
          <cell r="BR172">
            <v>97.854489402868367</v>
          </cell>
        </row>
        <row r="173">
          <cell r="AY173">
            <v>56.157780520566568</v>
          </cell>
          <cell r="AZ173">
            <v>0.50339852751922243</v>
          </cell>
          <cell r="BB173">
            <v>91.426603220650108</v>
          </cell>
          <cell r="BR173">
            <v>99.735028326539265</v>
          </cell>
        </row>
        <row r="174">
          <cell r="AY174">
            <v>55.715493594823606</v>
          </cell>
          <cell r="AZ174">
            <v>0.49966963053337499</v>
          </cell>
          <cell r="BB174">
            <v>91.31354856636348</v>
          </cell>
          <cell r="BR174">
            <v>102.7981466749476</v>
          </cell>
        </row>
        <row r="175">
          <cell r="AY175">
            <v>55.752640753576912</v>
          </cell>
          <cell r="AZ175">
            <v>0.53751826927998125</v>
          </cell>
          <cell r="BB175">
            <v>91.889365073420862</v>
          </cell>
          <cell r="BR175">
            <v>104.02007099628467</v>
          </cell>
        </row>
        <row r="176">
          <cell r="AY176">
            <v>55.215393479311601</v>
          </cell>
          <cell r="AZ176">
            <v>0.58819341531803637</v>
          </cell>
          <cell r="BB176">
            <v>91.827677077459356</v>
          </cell>
          <cell r="BR176">
            <v>108.32028665722207</v>
          </cell>
        </row>
        <row r="177">
          <cell r="AY177">
            <v>54.700026761852506</v>
          </cell>
          <cell r="AZ177">
            <v>0.54520374429306806</v>
          </cell>
          <cell r="BB177">
            <v>91.481117726075098</v>
          </cell>
          <cell r="BR177">
            <v>111.37038443362279</v>
          </cell>
        </row>
        <row r="178">
          <cell r="AY178">
            <v>55.259209273165851</v>
          </cell>
          <cell r="AZ178">
            <v>0.50191922404464284</v>
          </cell>
          <cell r="BB178">
            <v>90.926560824615621</v>
          </cell>
          <cell r="BR178">
            <v>110.47021413309579</v>
          </cell>
        </row>
        <row r="179">
          <cell r="AY179">
            <v>55.725338712473693</v>
          </cell>
          <cell r="AZ179">
            <v>0.47289124089802442</v>
          </cell>
          <cell r="BB179">
            <v>91.014189822846134</v>
          </cell>
          <cell r="BR179">
            <v>107.69599003388875</v>
          </cell>
        </row>
        <row r="180">
          <cell r="AY180">
            <v>56.338311050802439</v>
          </cell>
          <cell r="AZ180">
            <v>0.53779372040718754</v>
          </cell>
          <cell r="BB180">
            <v>92.232958779605141</v>
          </cell>
          <cell r="BR180">
            <v>105.59519621476437</v>
          </cell>
        </row>
        <row r="181">
          <cell r="AY181">
            <v>56.12819460661035</v>
          </cell>
          <cell r="AZ181">
            <v>0.52031027090067539</v>
          </cell>
          <cell r="BB181">
            <v>92.772626968143811</v>
          </cell>
          <cell r="BR181">
            <v>106.78641712218815</v>
          </cell>
        </row>
        <row r="182">
          <cell r="AY182">
            <v>55.606727354075247</v>
          </cell>
          <cell r="AZ182">
            <v>0.52875625203352927</v>
          </cell>
          <cell r="BB182">
            <v>93.001698001445021</v>
          </cell>
          <cell r="BR182">
            <v>108.9704112267649</v>
          </cell>
        </row>
        <row r="183">
          <cell r="AY183">
            <v>54.97563313774311</v>
          </cell>
          <cell r="AZ183">
            <v>0.51822981815012714</v>
          </cell>
          <cell r="BB183">
            <v>92.865824432529138</v>
          </cell>
          <cell r="BR183">
            <v>112.47219189814078</v>
          </cell>
        </row>
        <row r="184">
          <cell r="AY184">
            <v>56.029281527488742</v>
          </cell>
          <cell r="AZ184">
            <v>0.52196485425297834</v>
          </cell>
          <cell r="BB184">
            <v>96.507376411799996</v>
          </cell>
          <cell r="BR184">
            <v>118.53657121506585</v>
          </cell>
        </row>
        <row r="185">
          <cell r="AY185">
            <v>53.501955004322753</v>
          </cell>
          <cell r="AZ185">
            <v>0.46212444178161682</v>
          </cell>
          <cell r="BB185">
            <v>93.135226312378833</v>
          </cell>
          <cell r="BR185">
            <v>121.89324328227858</v>
          </cell>
        </row>
        <row r="186">
          <cell r="AY186">
            <v>53.984185077433558</v>
          </cell>
          <cell r="AZ186">
            <v>0.46461534940216043</v>
          </cell>
          <cell r="BB186">
            <v>95.833387244499704</v>
          </cell>
          <cell r="BR186">
            <v>121.40140706967321</v>
          </cell>
        </row>
        <row r="187">
          <cell r="AY187">
            <v>55.479366182888569</v>
          </cell>
          <cell r="AZ187">
            <v>0.51685485848213586</v>
          </cell>
          <cell r="BB187">
            <v>100.72685496254793</v>
          </cell>
          <cell r="BR187">
            <v>117.53701277641271</v>
          </cell>
        </row>
        <row r="188">
          <cell r="AY188">
            <v>56.527811581069173</v>
          </cell>
          <cell r="AZ188">
            <v>0.58733078310468356</v>
          </cell>
          <cell r="BB188">
            <v>104.49852848523471</v>
          </cell>
          <cell r="BR188">
            <v>111.00441158319794</v>
          </cell>
        </row>
        <row r="189">
          <cell r="AY189">
            <v>56.466318920958159</v>
          </cell>
          <cell r="AZ189">
            <v>0.54467255674537707</v>
          </cell>
          <cell r="BB189">
            <v>104.67214134739345</v>
          </cell>
          <cell r="BR189">
            <v>110.92576832344108</v>
          </cell>
        </row>
        <row r="190">
          <cell r="AY190">
            <v>57.115684349787053</v>
          </cell>
          <cell r="AZ190">
            <v>0.49491628187393039</v>
          </cell>
          <cell r="BB190">
            <v>112.23791113848783</v>
          </cell>
          <cell r="BR190">
            <v>108.29879700559285</v>
          </cell>
        </row>
        <row r="191">
          <cell r="AY191">
            <v>57.945082835354</v>
          </cell>
          <cell r="AZ191">
            <v>0.47334006101170639</v>
          </cell>
          <cell r="BB191">
            <v>114.56545813830773</v>
          </cell>
          <cell r="BR191">
            <v>106.39483427575698</v>
          </cell>
        </row>
        <row r="192">
          <cell r="AY192">
            <v>58.149865425301343</v>
          </cell>
          <cell r="AZ192">
            <v>0.52731149208694328</v>
          </cell>
          <cell r="BB192">
            <v>115.57642065439403</v>
          </cell>
          <cell r="BR192">
            <v>106.1576239233615</v>
          </cell>
        </row>
        <row r="193">
          <cell r="AY193">
            <v>57.421529417366635</v>
          </cell>
          <cell r="AZ193">
            <v>0.50876388469734279</v>
          </cell>
          <cell r="BB193">
            <v>115.19325046803561</v>
          </cell>
          <cell r="BR193">
            <v>109.74526011834655</v>
          </cell>
        </row>
        <row r="194">
          <cell r="AY194">
            <v>57.129121222526145</v>
          </cell>
          <cell r="AZ194">
            <v>0.52822287627554354</v>
          </cell>
          <cell r="BB194">
            <v>115.95632307977576</v>
          </cell>
          <cell r="BR194">
            <v>110.06813666962888</v>
          </cell>
        </row>
        <row r="195">
          <cell r="AY195">
            <v>57.489793283476899</v>
          </cell>
          <cell r="AZ195">
            <v>0.52333103896538491</v>
          </cell>
          <cell r="BB195">
            <v>118.01739555428223</v>
          </cell>
          <cell r="BR195">
            <v>107.7680015111452</v>
          </cell>
        </row>
        <row r="196">
          <cell r="AY196">
            <v>57.996384480229487</v>
          </cell>
          <cell r="AZ196">
            <v>0.51958168623795009</v>
          </cell>
          <cell r="BB196">
            <v>120.40677174589869</v>
          </cell>
          <cell r="BR196">
            <v>104.2409149423403</v>
          </cell>
        </row>
        <row r="197">
          <cell r="AY197">
            <v>58.01054950005409</v>
          </cell>
          <cell r="AZ197">
            <v>0.48548465689332138</v>
          </cell>
          <cell r="BB197">
            <v>121.74527216982113</v>
          </cell>
          <cell r="BR197">
            <v>104.91547321491366</v>
          </cell>
        </row>
        <row r="198">
          <cell r="AY198">
            <v>57.6212361845689</v>
          </cell>
          <cell r="AZ198">
            <v>0.47719119328193266</v>
          </cell>
          <cell r="BB198">
            <v>122.59863817796432</v>
          </cell>
          <cell r="BR198">
            <v>108.69752125842918</v>
          </cell>
        </row>
        <row r="199">
          <cell r="AY199">
            <v>58.217291803783475</v>
          </cell>
          <cell r="AZ199">
            <v>0.52092006293441795</v>
          </cell>
          <cell r="BB199">
            <v>125.19071254430838</v>
          </cell>
          <cell r="BR199">
            <v>107.19885986473182</v>
          </cell>
        </row>
        <row r="200">
          <cell r="AY200">
            <v>58.506040312859533</v>
          </cell>
          <cell r="AZ200">
            <v>0.5901055816720554</v>
          </cell>
          <cell r="BB200">
            <v>126.22005615382726</v>
          </cell>
          <cell r="BR200">
            <v>104.02696339393587</v>
          </cell>
        </row>
        <row r="201">
          <cell r="AY201">
            <v>58.539475852722923</v>
          </cell>
          <cell r="AZ201">
            <v>0.54002173907925877</v>
          </cell>
          <cell r="BB201">
            <v>127.78599258269801</v>
          </cell>
          <cell r="BR201">
            <v>104.22766650071105</v>
          </cell>
        </row>
        <row r="202">
          <cell r="AY202">
            <v>58.686797979728709</v>
          </cell>
          <cell r="AZ202">
            <v>0.49219152015457668</v>
          </cell>
          <cell r="BB202">
            <v>127.24782485090257</v>
          </cell>
          <cell r="BR202">
            <v>103.71768974334496</v>
          </cell>
        </row>
        <row r="203">
          <cell r="AY203">
            <v>58.512051153900032</v>
          </cell>
          <cell r="AZ203">
            <v>0.46583880811168621</v>
          </cell>
          <cell r="BB203">
            <v>126.72927078211971</v>
          </cell>
          <cell r="BR203">
            <v>104.93841999759694</v>
          </cell>
        </row>
        <row r="204">
          <cell r="AY204">
            <v>58.256436021626691</v>
          </cell>
          <cell r="AZ204">
            <v>0.50706163561399498</v>
          </cell>
          <cell r="BB204">
            <v>126.75091583400464</v>
          </cell>
          <cell r="BR204">
            <v>106.36789359219681</v>
          </cell>
        </row>
        <row r="205">
          <cell r="AY205">
            <v>58.152780907580237</v>
          </cell>
          <cell r="AZ205">
            <v>0.49976394690650044</v>
          </cell>
          <cell r="BB205">
            <v>127.58613590811495</v>
          </cell>
          <cell r="BR205">
            <v>105.38392749462197</v>
          </cell>
        </row>
        <row r="206">
          <cell r="AY206">
            <v>57.830853856170549</v>
          </cell>
          <cell r="AZ206">
            <v>0.52513312910879206</v>
          </cell>
          <cell r="BB206">
            <v>128.02554913621626</v>
          </cell>
          <cell r="BR206">
            <v>106.81663562281649</v>
          </cell>
        </row>
        <row r="207">
          <cell r="AY207">
            <v>57.637037001166128</v>
          </cell>
          <cell r="AZ207">
            <v>0.51348097145076543</v>
          </cell>
          <cell r="BB207">
            <v>129.04483366657445</v>
          </cell>
          <cell r="BR207">
            <v>108.43120270275897</v>
          </cell>
        </row>
        <row r="208">
          <cell r="AY208">
            <v>57.364944804937565</v>
          </cell>
          <cell r="AZ208">
            <v>0.50145143880579912</v>
          </cell>
          <cell r="BB208">
            <v>129.4242727774234</v>
          </cell>
          <cell r="BR208">
            <v>111.89946758639846</v>
          </cell>
        </row>
        <row r="209">
          <cell r="AY209">
            <v>57.418668150083597</v>
          </cell>
          <cell r="AZ209">
            <v>0.47119476502599783</v>
          </cell>
          <cell r="BB209">
            <v>131.11893325059657</v>
          </cell>
          <cell r="BR209">
            <v>111.98683846709983</v>
          </cell>
        </row>
        <row r="210">
          <cell r="AY210">
            <v>57.217147304037255</v>
          </cell>
          <cell r="AZ210">
            <v>0.46201037289063729</v>
          </cell>
          <cell r="BB210">
            <v>132.03606809057149</v>
          </cell>
          <cell r="BR210">
            <v>113.10657987465447</v>
          </cell>
        </row>
        <row r="211">
          <cell r="BB211">
            <v>132.42813896018779</v>
          </cell>
          <cell r="BR211">
            <v>115.24376319109841</v>
          </cell>
        </row>
        <row r="212">
          <cell r="BB212">
            <v>133.55623384377358</v>
          </cell>
        </row>
      </sheetData>
      <sheetData sheetId="15" refreshError="1"/>
      <sheetData sheetId="16"/>
      <sheetData sheetId="17"/>
      <sheetData sheetId="18"/>
      <sheetData sheetId="19" refreshError="1"/>
      <sheetData sheetId="20" refreshError="1"/>
      <sheetData sheetId="21" refreshError="1"/>
      <sheetData sheetId="22"/>
      <sheetData sheetId="23" refreshError="1"/>
      <sheetData sheetId="24" refreshError="1"/>
      <sheetData sheetId="25" refreshError="1"/>
      <sheetData sheetId="26"/>
      <sheetData sheetId="27"/>
      <sheetData sheetId="28"/>
      <sheetData sheetId="29" refreshError="1"/>
      <sheetData sheetId="30" refreshError="1"/>
      <sheetData sheetId="31" refreshError="1"/>
      <sheetData sheetId="32"/>
      <sheetData sheetId="33" refreshError="1"/>
      <sheetData sheetId="34" refreshError="1"/>
      <sheetData sheetId="35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age Data"/>
      <sheetName val="Wages by sector"/>
      <sheetName val="Wages_sectors"/>
      <sheetName val="Wages"/>
      <sheetName val="Priv S wages"/>
      <sheetName val="Pub S wages"/>
      <sheetName val="Wages_graphs"/>
      <sheetName val="Wages Manuf."/>
      <sheetName val="Real wages"/>
      <sheetName val="Real wages by sector"/>
      <sheetName val="Employment Data Sectors (wages)"/>
      <sheetName val="Employment data by sectors"/>
      <sheetName val="Employment_Full time equivalent"/>
      <sheetName val="Employment data"/>
      <sheetName val="Sheet1"/>
      <sheetName val="Total Employment"/>
      <sheetName val="Employment public services"/>
      <sheetName val="Employment table"/>
      <sheetName val="Balassa-Samuelson"/>
      <sheetName val="Wages and Consumption"/>
      <sheetName val="Wages and tax revenues"/>
      <sheetName val="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>
        <row r="6">
          <cell r="H6">
            <v>31509</v>
          </cell>
        </row>
        <row r="7">
          <cell r="H7">
            <v>31785</v>
          </cell>
        </row>
        <row r="8">
          <cell r="H8">
            <v>32217</v>
          </cell>
        </row>
        <row r="9">
          <cell r="H9">
            <v>32309</v>
          </cell>
        </row>
        <row r="10">
          <cell r="H10">
            <v>32261</v>
          </cell>
        </row>
        <row r="11">
          <cell r="A11" t="str">
            <v>JUL</v>
          </cell>
          <cell r="B11">
            <v>575913</v>
          </cell>
          <cell r="C11">
            <v>8045</v>
          </cell>
          <cell r="H11">
            <v>32480</v>
          </cell>
        </row>
        <row r="12">
          <cell r="A12" t="str">
            <v>AVG</v>
          </cell>
          <cell r="B12">
            <v>574495</v>
          </cell>
          <cell r="C12">
            <v>8070</v>
          </cell>
          <cell r="H12">
            <v>32444</v>
          </cell>
        </row>
        <row r="13">
          <cell r="A13" t="str">
            <v>SEP</v>
          </cell>
          <cell r="B13">
            <v>575282</v>
          </cell>
          <cell r="C13">
            <v>7946</v>
          </cell>
          <cell r="H13">
            <v>32895</v>
          </cell>
        </row>
        <row r="14">
          <cell r="A14" t="str">
            <v>OKT</v>
          </cell>
          <cell r="B14">
            <v>576186</v>
          </cell>
          <cell r="C14">
            <v>7965</v>
          </cell>
          <cell r="H14">
            <v>32892</v>
          </cell>
        </row>
        <row r="15">
          <cell r="A15" t="str">
            <v>NOV</v>
          </cell>
          <cell r="B15">
            <v>576133</v>
          </cell>
          <cell r="C15">
            <v>8164</v>
          </cell>
          <cell r="H15">
            <v>32836</v>
          </cell>
        </row>
        <row r="16">
          <cell r="A16" t="str">
            <v>DEC</v>
          </cell>
          <cell r="B16">
            <v>572807</v>
          </cell>
          <cell r="C16">
            <v>7995</v>
          </cell>
          <cell r="H16">
            <v>32298</v>
          </cell>
        </row>
        <row r="17">
          <cell r="A17">
            <v>1997</v>
          </cell>
          <cell r="B17">
            <v>576225.75</v>
          </cell>
          <cell r="C17">
            <v>8073.416666666667</v>
          </cell>
          <cell r="H17">
            <v>32287.166666666668</v>
          </cell>
        </row>
        <row r="20">
          <cell r="B20" t="str">
            <v>Total</v>
          </cell>
          <cell r="C20" t="str">
            <v>A</v>
          </cell>
        </row>
        <row r="21">
          <cell r="A21" t="str">
            <v>JAN</v>
          </cell>
          <cell r="B21">
            <v>570812</v>
          </cell>
          <cell r="C21">
            <v>7859</v>
          </cell>
        </row>
        <row r="22">
          <cell r="A22" t="str">
            <v>FEB</v>
          </cell>
          <cell r="B22">
            <v>570863</v>
          </cell>
          <cell r="C22">
            <v>7916</v>
          </cell>
        </row>
        <row r="23">
          <cell r="A23" t="str">
            <v>MAR</v>
          </cell>
          <cell r="B23">
            <v>571919</v>
          </cell>
          <cell r="C23">
            <v>7960</v>
          </cell>
        </row>
        <row r="24">
          <cell r="A24" t="str">
            <v>APR</v>
          </cell>
          <cell r="B24">
            <v>574030</v>
          </cell>
          <cell r="C24">
            <v>7953</v>
          </cell>
        </row>
        <row r="25">
          <cell r="A25" t="str">
            <v>MAJ</v>
          </cell>
          <cell r="B25">
            <v>574751</v>
          </cell>
          <cell r="C25">
            <v>7923</v>
          </cell>
        </row>
        <row r="26">
          <cell r="A26" t="str">
            <v>JUN</v>
          </cell>
          <cell r="B26">
            <v>574773</v>
          </cell>
          <cell r="C26">
            <v>8016</v>
          </cell>
        </row>
        <row r="27">
          <cell r="A27" t="str">
            <v>JUL</v>
          </cell>
          <cell r="B27">
            <v>574914</v>
          </cell>
          <cell r="C27">
            <v>7989</v>
          </cell>
        </row>
        <row r="28">
          <cell r="A28" t="str">
            <v>AVG</v>
          </cell>
          <cell r="B28">
            <v>574755</v>
          </cell>
          <cell r="C28">
            <v>7913</v>
          </cell>
        </row>
        <row r="29">
          <cell r="A29" t="str">
            <v>SEP</v>
          </cell>
          <cell r="B29">
            <v>575464</v>
          </cell>
          <cell r="C29">
            <v>7891</v>
          </cell>
        </row>
        <row r="30">
          <cell r="A30" t="str">
            <v>OKT</v>
          </cell>
          <cell r="B30">
            <v>576124</v>
          </cell>
          <cell r="C30">
            <v>7875</v>
          </cell>
        </row>
        <row r="31">
          <cell r="A31" t="str">
            <v>NOV</v>
          </cell>
          <cell r="B31">
            <v>576937</v>
          </cell>
          <cell r="C31">
            <v>7782</v>
          </cell>
        </row>
        <row r="32">
          <cell r="A32" t="str">
            <v>DEC</v>
          </cell>
          <cell r="B32">
            <v>575048</v>
          </cell>
          <cell r="C32">
            <v>7657</v>
          </cell>
        </row>
        <row r="33">
          <cell r="A33">
            <v>1998</v>
          </cell>
          <cell r="B33">
            <v>574202.58333333326</v>
          </cell>
          <cell r="C33">
            <v>7894.5</v>
          </cell>
        </row>
        <row r="36">
          <cell r="B36" t="str">
            <v>Total</v>
          </cell>
          <cell r="C36" t="str">
            <v>A</v>
          </cell>
        </row>
        <row r="37">
          <cell r="A37" t="str">
            <v>JAN</v>
          </cell>
          <cell r="B37">
            <v>576144</v>
          </cell>
          <cell r="C37">
            <v>7583</v>
          </cell>
        </row>
        <row r="38">
          <cell r="A38" t="str">
            <v>FEB</v>
          </cell>
          <cell r="B38">
            <v>578019</v>
          </cell>
          <cell r="C38">
            <v>7557</v>
          </cell>
        </row>
        <row r="39">
          <cell r="A39" t="str">
            <v>MAR</v>
          </cell>
          <cell r="B39">
            <v>579604</v>
          </cell>
          <cell r="C39">
            <v>7656</v>
          </cell>
        </row>
        <row r="40">
          <cell r="A40" t="str">
            <v>APR</v>
          </cell>
          <cell r="B40">
            <v>581047</v>
          </cell>
          <cell r="C40">
            <v>7710</v>
          </cell>
        </row>
        <row r="41">
          <cell r="A41" t="str">
            <v>MAJ</v>
          </cell>
          <cell r="B41">
            <v>582571</v>
          </cell>
          <cell r="C41">
            <v>7747</v>
          </cell>
        </row>
        <row r="42">
          <cell r="A42" t="str">
            <v>JUN</v>
          </cell>
          <cell r="B42">
            <v>584084</v>
          </cell>
          <cell r="C42">
            <v>7782</v>
          </cell>
        </row>
        <row r="43">
          <cell r="A43" t="str">
            <v>JUL</v>
          </cell>
          <cell r="B43">
            <v>585353</v>
          </cell>
          <cell r="C43">
            <v>7821</v>
          </cell>
        </row>
        <row r="44">
          <cell r="A44" t="str">
            <v>AVG</v>
          </cell>
          <cell r="B44">
            <v>584885</v>
          </cell>
          <cell r="C44">
            <v>7517</v>
          </cell>
        </row>
        <row r="45">
          <cell r="A45" t="str">
            <v>SEP</v>
          </cell>
          <cell r="B45">
            <v>587070</v>
          </cell>
          <cell r="C45">
            <v>7692</v>
          </cell>
        </row>
        <row r="46">
          <cell r="A46" t="str">
            <v>OKT</v>
          </cell>
          <cell r="B46">
            <v>589206</v>
          </cell>
          <cell r="C46">
            <v>7710</v>
          </cell>
        </row>
        <row r="47">
          <cell r="A47" t="str">
            <v>NOV</v>
          </cell>
          <cell r="B47">
            <v>589722</v>
          </cell>
          <cell r="C47">
            <v>7550</v>
          </cell>
        </row>
        <row r="48">
          <cell r="A48" t="str">
            <v>DEC</v>
          </cell>
          <cell r="B48">
            <v>587237</v>
          </cell>
          <cell r="C48">
            <v>7214</v>
          </cell>
        </row>
        <row r="49">
          <cell r="A49">
            <v>1999</v>
          </cell>
          <cell r="B49">
            <v>583801</v>
          </cell>
          <cell r="C49">
            <v>7628</v>
          </cell>
        </row>
        <row r="52">
          <cell r="B52" t="str">
            <v>Total</v>
          </cell>
          <cell r="C52" t="str">
            <v>A</v>
          </cell>
        </row>
        <row r="53">
          <cell r="A53" t="str">
            <v>JAN</v>
          </cell>
          <cell r="B53">
            <v>585835</v>
          </cell>
          <cell r="C53">
            <v>7092</v>
          </cell>
        </row>
        <row r="54">
          <cell r="A54" t="str">
            <v>FEB</v>
          </cell>
          <cell r="B54">
            <v>587900</v>
          </cell>
          <cell r="C54">
            <v>7090</v>
          </cell>
        </row>
        <row r="55">
          <cell r="A55" t="str">
            <v>MAR</v>
          </cell>
          <cell r="B55">
            <v>588971</v>
          </cell>
          <cell r="C55">
            <v>7298</v>
          </cell>
        </row>
        <row r="56">
          <cell r="A56" t="str">
            <v>APR</v>
          </cell>
          <cell r="B56">
            <v>590669</v>
          </cell>
          <cell r="C56">
            <v>7325</v>
          </cell>
        </row>
        <row r="57">
          <cell r="A57" t="str">
            <v>MAJ</v>
          </cell>
          <cell r="B57">
            <v>591604</v>
          </cell>
          <cell r="C57">
            <v>7355</v>
          </cell>
        </row>
        <row r="58">
          <cell r="A58" t="str">
            <v>JUN</v>
          </cell>
          <cell r="B58">
            <v>593230</v>
          </cell>
          <cell r="C58">
            <v>7419</v>
          </cell>
        </row>
        <row r="59">
          <cell r="A59" t="str">
            <v>JUL</v>
          </cell>
          <cell r="B59">
            <v>592637</v>
          </cell>
          <cell r="C59">
            <v>7393</v>
          </cell>
        </row>
        <row r="60">
          <cell r="A60" t="str">
            <v>AVG</v>
          </cell>
          <cell r="B60">
            <v>592398</v>
          </cell>
          <cell r="C60">
            <v>7377</v>
          </cell>
        </row>
        <row r="61">
          <cell r="A61" t="str">
            <v>SEP</v>
          </cell>
          <cell r="B61">
            <v>593975</v>
          </cell>
          <cell r="C61">
            <v>7813</v>
          </cell>
        </row>
        <row r="62">
          <cell r="A62" t="str">
            <v>OKT</v>
          </cell>
          <cell r="B62">
            <v>595507</v>
          </cell>
          <cell r="C62">
            <v>7525</v>
          </cell>
        </row>
        <row r="63">
          <cell r="A63" t="str">
            <v>NOV</v>
          </cell>
          <cell r="B63">
            <v>595261</v>
          </cell>
          <cell r="C63">
            <v>7133</v>
          </cell>
        </row>
        <row r="64">
          <cell r="A64" t="str">
            <v>DEC</v>
          </cell>
          <cell r="B64">
            <v>593689</v>
          </cell>
          <cell r="C64">
            <v>7010</v>
          </cell>
        </row>
        <row r="65">
          <cell r="A65">
            <v>2000</v>
          </cell>
          <cell r="B65">
            <v>591806.33333333326</v>
          </cell>
          <cell r="C65">
            <v>7319.166666666667</v>
          </cell>
        </row>
        <row r="68">
          <cell r="B68" t="str">
            <v>Total</v>
          </cell>
          <cell r="C68" t="str">
            <v>A</v>
          </cell>
        </row>
        <row r="69">
          <cell r="A69" t="str">
            <v>JAN</v>
          </cell>
          <cell r="B69">
            <v>593701</v>
          </cell>
          <cell r="C69">
            <v>6896</v>
          </cell>
        </row>
        <row r="70">
          <cell r="A70" t="str">
            <v>FEB</v>
          </cell>
          <cell r="B70">
            <v>594472</v>
          </cell>
          <cell r="C70">
            <v>6875</v>
          </cell>
        </row>
        <row r="71">
          <cell r="A71" t="str">
            <v>MAR</v>
          </cell>
          <cell r="B71">
            <v>598394</v>
          </cell>
          <cell r="C71">
            <v>6951</v>
          </cell>
        </row>
        <row r="72">
          <cell r="A72" t="str">
            <v>APR</v>
          </cell>
          <cell r="B72">
            <v>600445</v>
          </cell>
          <cell r="C72">
            <v>6943</v>
          </cell>
        </row>
        <row r="73">
          <cell r="A73" t="str">
            <v>MAJ</v>
          </cell>
          <cell r="B73">
            <v>603082</v>
          </cell>
          <cell r="C73">
            <v>7062</v>
          </cell>
        </row>
        <row r="74">
          <cell r="A74" t="str">
            <v>JUN</v>
          </cell>
          <cell r="B74">
            <v>604590</v>
          </cell>
          <cell r="C74">
            <v>6940</v>
          </cell>
        </row>
        <row r="75">
          <cell r="A75" t="str">
            <v>JUL</v>
          </cell>
          <cell r="B75">
            <v>604546</v>
          </cell>
          <cell r="C75">
            <v>6781</v>
          </cell>
        </row>
        <row r="76">
          <cell r="A76" t="str">
            <v>AVG</v>
          </cell>
          <cell r="B76">
            <v>604339</v>
          </cell>
          <cell r="C76">
            <v>6635</v>
          </cell>
        </row>
        <row r="77">
          <cell r="A77" t="str">
            <v>SEP</v>
          </cell>
          <cell r="B77">
            <v>607350</v>
          </cell>
          <cell r="C77">
            <v>6806</v>
          </cell>
        </row>
        <row r="78">
          <cell r="A78" t="str">
            <v>OKT</v>
          </cell>
          <cell r="B78">
            <v>608109</v>
          </cell>
          <cell r="C78">
            <v>6804</v>
          </cell>
        </row>
        <row r="79">
          <cell r="A79" t="str">
            <v>NOV</v>
          </cell>
          <cell r="B79">
            <v>607786</v>
          </cell>
          <cell r="C79">
            <v>6467</v>
          </cell>
        </row>
        <row r="80">
          <cell r="A80" t="str">
            <v>DEC</v>
          </cell>
          <cell r="B80">
            <v>605600</v>
          </cell>
          <cell r="C80">
            <v>6305</v>
          </cell>
        </row>
        <row r="81">
          <cell r="A81">
            <v>2001</v>
          </cell>
          <cell r="B81">
            <v>602702</v>
          </cell>
          <cell r="C81">
            <v>6789</v>
          </cell>
        </row>
        <row r="83">
          <cell r="A83" t="str">
            <v>Share</v>
          </cell>
          <cell r="C83">
            <v>1.1264273222919452</v>
          </cell>
        </row>
        <row r="84">
          <cell r="A84" t="str">
            <v>Data without changes</v>
          </cell>
          <cell r="B84" t="str">
            <v>Total</v>
          </cell>
          <cell r="C84" t="str">
            <v>A</v>
          </cell>
        </row>
        <row r="85">
          <cell r="A85" t="str">
            <v>JAN</v>
          </cell>
          <cell r="B85">
            <v>605094</v>
          </cell>
          <cell r="C85">
            <v>6140</v>
          </cell>
        </row>
        <row r="86">
          <cell r="A86" t="str">
            <v>FEB</v>
          </cell>
          <cell r="B86">
            <v>606374</v>
          </cell>
          <cell r="C86">
            <v>6589</v>
          </cell>
          <cell r="H86">
            <v>33441</v>
          </cell>
        </row>
        <row r="87">
          <cell r="A87" t="str">
            <v>MAR</v>
          </cell>
          <cell r="B87">
            <v>607521</v>
          </cell>
          <cell r="C87">
            <v>6753</v>
          </cell>
          <cell r="H87">
            <v>33464</v>
          </cell>
        </row>
        <row r="88">
          <cell r="A88" t="str">
            <v>APR</v>
          </cell>
          <cell r="B88">
            <v>608401</v>
          </cell>
          <cell r="C88">
            <v>6827</v>
          </cell>
          <cell r="H88">
            <v>33641</v>
          </cell>
        </row>
        <row r="89">
          <cell r="A89" t="str">
            <v>MAJ</v>
          </cell>
          <cell r="B89">
            <v>608968</v>
          </cell>
          <cell r="C89">
            <v>6826</v>
          </cell>
          <cell r="H89">
            <v>33740</v>
          </cell>
        </row>
        <row r="90">
          <cell r="A90" t="str">
            <v>JUN</v>
          </cell>
          <cell r="B90">
            <v>609108</v>
          </cell>
          <cell r="C90">
            <v>6750</v>
          </cell>
          <cell r="H90">
            <v>33746</v>
          </cell>
        </row>
        <row r="91">
          <cell r="A91" t="str">
            <v>JUL</v>
          </cell>
          <cell r="B91">
            <v>607911</v>
          </cell>
          <cell r="C91">
            <v>6637</v>
          </cell>
          <cell r="H91">
            <v>33711</v>
          </cell>
        </row>
        <row r="92">
          <cell r="A92" t="str">
            <v>AVG</v>
          </cell>
          <cell r="B92">
            <v>606560</v>
          </cell>
          <cell r="C92">
            <v>6535</v>
          </cell>
          <cell r="H92">
            <v>33763</v>
          </cell>
        </row>
        <row r="94">
          <cell r="A94" t="str">
            <v>Datas with changes</v>
          </cell>
        </row>
        <row r="95">
          <cell r="A95">
            <v>2002</v>
          </cell>
          <cell r="B95" t="str">
            <v>Total</v>
          </cell>
          <cell r="C95" t="str">
            <v>A</v>
          </cell>
          <cell r="H95" t="str">
            <v>F</v>
          </cell>
        </row>
        <row r="96">
          <cell r="A96" t="str">
            <v>JAN</v>
          </cell>
          <cell r="B96">
            <v>605094</v>
          </cell>
          <cell r="C96">
            <v>6140</v>
          </cell>
          <cell r="H96">
            <v>33259</v>
          </cell>
        </row>
        <row r="97">
          <cell r="A97" t="str">
            <v>FEB</v>
          </cell>
          <cell r="B97">
            <v>606374</v>
          </cell>
          <cell r="C97">
            <v>6589</v>
          </cell>
          <cell r="H97">
            <v>33441</v>
          </cell>
        </row>
        <row r="98">
          <cell r="A98" t="str">
            <v>MAR</v>
          </cell>
          <cell r="B98">
            <v>607521</v>
          </cell>
          <cell r="C98">
            <v>6753</v>
          </cell>
          <cell r="H98">
            <v>33464</v>
          </cell>
        </row>
        <row r="99">
          <cell r="A99" t="str">
            <v>APR</v>
          </cell>
          <cell r="B99">
            <v>608401</v>
          </cell>
          <cell r="C99">
            <v>6827</v>
          </cell>
          <cell r="H99">
            <v>33641</v>
          </cell>
        </row>
        <row r="100">
          <cell r="A100" t="str">
            <v>MAJ</v>
          </cell>
          <cell r="B100">
            <v>608968</v>
          </cell>
          <cell r="C100">
            <v>6826</v>
          </cell>
        </row>
        <row r="101">
          <cell r="A101" t="str">
            <v>JUN</v>
          </cell>
          <cell r="B101">
            <v>609108</v>
          </cell>
          <cell r="C101">
            <v>6750</v>
          </cell>
        </row>
        <row r="102">
          <cell r="A102" t="str">
            <v>JUL</v>
          </cell>
          <cell r="B102">
            <v>607911</v>
          </cell>
          <cell r="C102">
            <v>6637</v>
          </cell>
        </row>
        <row r="103">
          <cell r="A103" t="str">
            <v>AVG</v>
          </cell>
          <cell r="B103">
            <v>606560</v>
          </cell>
          <cell r="C103">
            <v>6535</v>
          </cell>
        </row>
        <row r="105">
          <cell r="A105" t="str">
            <v>Data without changes</v>
          </cell>
          <cell r="B105" t="str">
            <v>Total</v>
          </cell>
          <cell r="C105" t="str">
            <v>A</v>
          </cell>
        </row>
        <row r="106">
          <cell r="A106" t="str">
            <v>JAN</v>
          </cell>
          <cell r="B106">
            <v>605094</v>
          </cell>
          <cell r="C106">
            <v>6140</v>
          </cell>
        </row>
        <row r="107">
          <cell r="A107" t="str">
            <v>FEB</v>
          </cell>
          <cell r="B107">
            <v>606374</v>
          </cell>
          <cell r="C107">
            <v>6116</v>
          </cell>
        </row>
        <row r="108">
          <cell r="A108" t="str">
            <v>MAR</v>
          </cell>
          <cell r="B108">
            <v>607521</v>
          </cell>
          <cell r="C108">
            <v>6216</v>
          </cell>
        </row>
        <row r="109">
          <cell r="A109" t="str">
            <v>APR</v>
          </cell>
          <cell r="B109">
            <v>608401</v>
          </cell>
          <cell r="C109">
            <v>6289</v>
          </cell>
        </row>
        <row r="110">
          <cell r="A110" t="str">
            <v>MAJ</v>
          </cell>
          <cell r="B110">
            <v>608968</v>
          </cell>
          <cell r="C110">
            <v>6342</v>
          </cell>
        </row>
        <row r="111">
          <cell r="A111" t="str">
            <v>JUN</v>
          </cell>
          <cell r="B111">
            <v>609108</v>
          </cell>
          <cell r="C111">
            <v>6253</v>
          </cell>
        </row>
        <row r="112">
          <cell r="A112" t="str">
            <v>JUL</v>
          </cell>
          <cell r="B112">
            <v>607911</v>
          </cell>
          <cell r="C112">
            <v>6137</v>
          </cell>
        </row>
        <row r="113">
          <cell r="A113" t="str">
            <v>AVG</v>
          </cell>
          <cell r="B113">
            <v>606560</v>
          </cell>
          <cell r="C113">
            <v>6033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age Data"/>
      <sheetName val="Wages by sector"/>
      <sheetName val="Wages_sectors"/>
      <sheetName val="Wages"/>
      <sheetName val="Priv S wages"/>
      <sheetName val="Pub S wages"/>
      <sheetName val="Wages_graphs"/>
      <sheetName val="Wages Manuf."/>
      <sheetName val="Real wages"/>
      <sheetName val="Real wages by sector"/>
      <sheetName val="Employment Data Sectors (wages)"/>
      <sheetName val="Employment data by sectors"/>
      <sheetName val="Employment_Full time equivalent"/>
      <sheetName val="Employment data"/>
      <sheetName val="Sheet1"/>
      <sheetName val="Total Employment"/>
      <sheetName val="Employment public services"/>
      <sheetName val="Employment table"/>
      <sheetName val="Balassa-Samuelson"/>
      <sheetName val="Wages and Consumption"/>
      <sheetName val="Wages and tax revenu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>
        <row r="6">
          <cell r="H6">
            <v>31509</v>
          </cell>
        </row>
        <row r="7">
          <cell r="H7">
            <v>31785</v>
          </cell>
        </row>
        <row r="8">
          <cell r="H8">
            <v>32217</v>
          </cell>
        </row>
        <row r="9">
          <cell r="H9">
            <v>32309</v>
          </cell>
        </row>
        <row r="10">
          <cell r="H10">
            <v>32261</v>
          </cell>
        </row>
        <row r="11">
          <cell r="A11" t="str">
            <v>JUL</v>
          </cell>
          <cell r="B11">
            <v>575913</v>
          </cell>
          <cell r="C11">
            <v>8045</v>
          </cell>
          <cell r="H11">
            <v>32480</v>
          </cell>
        </row>
        <row r="12">
          <cell r="A12" t="str">
            <v>AVG</v>
          </cell>
          <cell r="B12">
            <v>574495</v>
          </cell>
          <cell r="C12">
            <v>8070</v>
          </cell>
          <cell r="H12">
            <v>32444</v>
          </cell>
        </row>
        <row r="13">
          <cell r="A13" t="str">
            <v>SEP</v>
          </cell>
          <cell r="B13">
            <v>575282</v>
          </cell>
          <cell r="C13">
            <v>7946</v>
          </cell>
          <cell r="H13">
            <v>32895</v>
          </cell>
        </row>
        <row r="14">
          <cell r="A14" t="str">
            <v>OKT</v>
          </cell>
          <cell r="B14">
            <v>576186</v>
          </cell>
          <cell r="C14">
            <v>7965</v>
          </cell>
          <cell r="H14">
            <v>32892</v>
          </cell>
        </row>
        <row r="15">
          <cell r="A15" t="str">
            <v>NOV</v>
          </cell>
          <cell r="B15">
            <v>576133</v>
          </cell>
          <cell r="C15">
            <v>8164</v>
          </cell>
          <cell r="H15">
            <v>32836</v>
          </cell>
        </row>
        <row r="16">
          <cell r="A16" t="str">
            <v>DEC</v>
          </cell>
          <cell r="B16">
            <v>572807</v>
          </cell>
          <cell r="C16">
            <v>7995</v>
          </cell>
          <cell r="H16">
            <v>32298</v>
          </cell>
        </row>
        <row r="17">
          <cell r="A17">
            <v>1997</v>
          </cell>
          <cell r="B17">
            <v>576225.75</v>
          </cell>
          <cell r="C17">
            <v>8073.416666666667</v>
          </cell>
          <cell r="H17">
            <v>32287.166666666668</v>
          </cell>
        </row>
        <row r="20">
          <cell r="B20" t="str">
            <v>Total</v>
          </cell>
          <cell r="C20" t="str">
            <v>A</v>
          </cell>
        </row>
        <row r="21">
          <cell r="A21" t="str">
            <v>JAN</v>
          </cell>
          <cell r="B21">
            <v>570812</v>
          </cell>
          <cell r="C21">
            <v>7859</v>
          </cell>
        </row>
        <row r="22">
          <cell r="A22" t="str">
            <v>FEB</v>
          </cell>
          <cell r="B22">
            <v>570863</v>
          </cell>
          <cell r="C22">
            <v>7916</v>
          </cell>
        </row>
        <row r="23">
          <cell r="A23" t="str">
            <v>MAR</v>
          </cell>
          <cell r="B23">
            <v>571919</v>
          </cell>
          <cell r="C23">
            <v>7960</v>
          </cell>
        </row>
        <row r="24">
          <cell r="A24" t="str">
            <v>APR</v>
          </cell>
          <cell r="B24">
            <v>574030</v>
          </cell>
          <cell r="C24">
            <v>7953</v>
          </cell>
        </row>
        <row r="25">
          <cell r="A25" t="str">
            <v>MAJ</v>
          </cell>
          <cell r="B25">
            <v>574751</v>
          </cell>
          <cell r="C25">
            <v>7923</v>
          </cell>
        </row>
        <row r="26">
          <cell r="A26" t="str">
            <v>JUN</v>
          </cell>
          <cell r="B26">
            <v>574773</v>
          </cell>
          <cell r="C26">
            <v>8016</v>
          </cell>
        </row>
        <row r="27">
          <cell r="A27" t="str">
            <v>JUL</v>
          </cell>
          <cell r="B27">
            <v>574914</v>
          </cell>
          <cell r="C27">
            <v>7989</v>
          </cell>
        </row>
        <row r="28">
          <cell r="A28" t="str">
            <v>AVG</v>
          </cell>
          <cell r="B28">
            <v>574755</v>
          </cell>
          <cell r="C28">
            <v>7913</v>
          </cell>
        </row>
        <row r="29">
          <cell r="A29" t="str">
            <v>SEP</v>
          </cell>
          <cell r="B29">
            <v>575464</v>
          </cell>
          <cell r="C29">
            <v>7891</v>
          </cell>
        </row>
        <row r="30">
          <cell r="A30" t="str">
            <v>OKT</v>
          </cell>
          <cell r="B30">
            <v>576124</v>
          </cell>
          <cell r="C30">
            <v>7875</v>
          </cell>
        </row>
        <row r="31">
          <cell r="A31" t="str">
            <v>NOV</v>
          </cell>
          <cell r="B31">
            <v>576937</v>
          </cell>
          <cell r="C31">
            <v>7782</v>
          </cell>
        </row>
        <row r="32">
          <cell r="A32" t="str">
            <v>DEC</v>
          </cell>
          <cell r="B32">
            <v>575048</v>
          </cell>
          <cell r="C32">
            <v>7657</v>
          </cell>
        </row>
        <row r="33">
          <cell r="A33">
            <v>1998</v>
          </cell>
          <cell r="B33">
            <v>574202.58333333326</v>
          </cell>
          <cell r="C33">
            <v>7894.5</v>
          </cell>
        </row>
        <row r="36">
          <cell r="B36" t="str">
            <v>Total</v>
          </cell>
          <cell r="C36" t="str">
            <v>A</v>
          </cell>
        </row>
        <row r="37">
          <cell r="A37" t="str">
            <v>JAN</v>
          </cell>
          <cell r="B37">
            <v>576144</v>
          </cell>
          <cell r="C37">
            <v>7583</v>
          </cell>
        </row>
        <row r="38">
          <cell r="A38" t="str">
            <v>FEB</v>
          </cell>
          <cell r="B38">
            <v>578019</v>
          </cell>
          <cell r="C38">
            <v>7557</v>
          </cell>
        </row>
        <row r="39">
          <cell r="A39" t="str">
            <v>MAR</v>
          </cell>
          <cell r="B39">
            <v>579604</v>
          </cell>
          <cell r="C39">
            <v>7656</v>
          </cell>
        </row>
        <row r="40">
          <cell r="A40" t="str">
            <v>APR</v>
          </cell>
          <cell r="B40">
            <v>581047</v>
          </cell>
          <cell r="C40">
            <v>7710</v>
          </cell>
        </row>
        <row r="41">
          <cell r="A41" t="str">
            <v>MAJ</v>
          </cell>
          <cell r="B41">
            <v>582571</v>
          </cell>
          <cell r="C41">
            <v>7747</v>
          </cell>
        </row>
        <row r="42">
          <cell r="A42" t="str">
            <v>JUN</v>
          </cell>
          <cell r="B42">
            <v>584084</v>
          </cell>
          <cell r="C42">
            <v>7782</v>
          </cell>
        </row>
        <row r="43">
          <cell r="A43" t="str">
            <v>JUL</v>
          </cell>
          <cell r="B43">
            <v>585353</v>
          </cell>
          <cell r="C43">
            <v>7821</v>
          </cell>
        </row>
        <row r="44">
          <cell r="A44" t="str">
            <v>AVG</v>
          </cell>
          <cell r="B44">
            <v>584885</v>
          </cell>
          <cell r="C44">
            <v>7517</v>
          </cell>
        </row>
        <row r="45">
          <cell r="A45" t="str">
            <v>SEP</v>
          </cell>
          <cell r="B45">
            <v>587070</v>
          </cell>
          <cell r="C45">
            <v>7692</v>
          </cell>
        </row>
        <row r="46">
          <cell r="A46" t="str">
            <v>OKT</v>
          </cell>
          <cell r="B46">
            <v>589206</v>
          </cell>
          <cell r="C46">
            <v>7710</v>
          </cell>
        </row>
        <row r="47">
          <cell r="A47" t="str">
            <v>NOV</v>
          </cell>
          <cell r="B47">
            <v>589722</v>
          </cell>
          <cell r="C47">
            <v>7550</v>
          </cell>
        </row>
        <row r="48">
          <cell r="A48" t="str">
            <v>DEC</v>
          </cell>
          <cell r="B48">
            <v>587237</v>
          </cell>
          <cell r="C48">
            <v>7214</v>
          </cell>
        </row>
        <row r="49">
          <cell r="A49">
            <v>1999</v>
          </cell>
          <cell r="B49">
            <v>583801</v>
          </cell>
          <cell r="C49">
            <v>7628</v>
          </cell>
        </row>
        <row r="52">
          <cell r="B52" t="str">
            <v>Total</v>
          </cell>
          <cell r="C52" t="str">
            <v>A</v>
          </cell>
        </row>
        <row r="53">
          <cell r="A53" t="str">
            <v>JAN</v>
          </cell>
          <cell r="B53">
            <v>585835</v>
          </cell>
          <cell r="C53">
            <v>7092</v>
          </cell>
        </row>
        <row r="54">
          <cell r="A54" t="str">
            <v>FEB</v>
          </cell>
          <cell r="B54">
            <v>587900</v>
          </cell>
          <cell r="C54">
            <v>7090</v>
          </cell>
        </row>
        <row r="55">
          <cell r="A55" t="str">
            <v>MAR</v>
          </cell>
          <cell r="B55">
            <v>588971</v>
          </cell>
          <cell r="C55">
            <v>7298</v>
          </cell>
        </row>
        <row r="56">
          <cell r="A56" t="str">
            <v>APR</v>
          </cell>
          <cell r="B56">
            <v>590669</v>
          </cell>
          <cell r="C56">
            <v>7325</v>
          </cell>
        </row>
        <row r="57">
          <cell r="A57" t="str">
            <v>MAJ</v>
          </cell>
          <cell r="B57">
            <v>591604</v>
          </cell>
          <cell r="C57">
            <v>7355</v>
          </cell>
        </row>
        <row r="58">
          <cell r="A58" t="str">
            <v>JUN</v>
          </cell>
          <cell r="B58">
            <v>593230</v>
          </cell>
          <cell r="C58">
            <v>7419</v>
          </cell>
        </row>
        <row r="59">
          <cell r="A59" t="str">
            <v>JUL</v>
          </cell>
          <cell r="B59">
            <v>592637</v>
          </cell>
          <cell r="C59">
            <v>7393</v>
          </cell>
        </row>
        <row r="60">
          <cell r="A60" t="str">
            <v>AVG</v>
          </cell>
          <cell r="B60">
            <v>592398</v>
          </cell>
          <cell r="C60">
            <v>7377</v>
          </cell>
        </row>
        <row r="61">
          <cell r="A61" t="str">
            <v>SEP</v>
          </cell>
          <cell r="B61">
            <v>593975</v>
          </cell>
          <cell r="C61">
            <v>7813</v>
          </cell>
        </row>
        <row r="62">
          <cell r="A62" t="str">
            <v>OKT</v>
          </cell>
          <cell r="B62">
            <v>595507</v>
          </cell>
          <cell r="C62">
            <v>7525</v>
          </cell>
        </row>
        <row r="63">
          <cell r="A63" t="str">
            <v>NOV</v>
          </cell>
          <cell r="B63">
            <v>595261</v>
          </cell>
          <cell r="C63">
            <v>7133</v>
          </cell>
        </row>
        <row r="64">
          <cell r="A64" t="str">
            <v>DEC</v>
          </cell>
          <cell r="B64">
            <v>593689</v>
          </cell>
          <cell r="C64">
            <v>7010</v>
          </cell>
        </row>
        <row r="65">
          <cell r="A65">
            <v>2000</v>
          </cell>
          <cell r="B65">
            <v>591806.33333333326</v>
          </cell>
          <cell r="C65">
            <v>7319.166666666667</v>
          </cell>
        </row>
        <row r="68">
          <cell r="B68" t="str">
            <v>Total</v>
          </cell>
          <cell r="C68" t="str">
            <v>A</v>
          </cell>
        </row>
        <row r="69">
          <cell r="A69" t="str">
            <v>JAN</v>
          </cell>
          <cell r="B69">
            <v>593701</v>
          </cell>
          <cell r="C69">
            <v>6896</v>
          </cell>
        </row>
        <row r="70">
          <cell r="A70" t="str">
            <v>FEB</v>
          </cell>
          <cell r="B70">
            <v>594472</v>
          </cell>
          <cell r="C70">
            <v>6875</v>
          </cell>
        </row>
        <row r="71">
          <cell r="A71" t="str">
            <v>MAR</v>
          </cell>
          <cell r="B71">
            <v>598394</v>
          </cell>
          <cell r="C71">
            <v>6951</v>
          </cell>
        </row>
        <row r="72">
          <cell r="A72" t="str">
            <v>APR</v>
          </cell>
          <cell r="B72">
            <v>600445</v>
          </cell>
          <cell r="C72">
            <v>6943</v>
          </cell>
        </row>
        <row r="73">
          <cell r="A73" t="str">
            <v>MAJ</v>
          </cell>
          <cell r="B73">
            <v>603082</v>
          </cell>
          <cell r="C73">
            <v>7062</v>
          </cell>
        </row>
        <row r="74">
          <cell r="A74" t="str">
            <v>JUN</v>
          </cell>
          <cell r="B74">
            <v>604590</v>
          </cell>
          <cell r="C74">
            <v>6940</v>
          </cell>
        </row>
        <row r="75">
          <cell r="A75" t="str">
            <v>JUL</v>
          </cell>
          <cell r="B75">
            <v>604546</v>
          </cell>
          <cell r="C75">
            <v>6781</v>
          </cell>
        </row>
        <row r="76">
          <cell r="A76" t="str">
            <v>AVG</v>
          </cell>
          <cell r="B76">
            <v>604339</v>
          </cell>
          <cell r="C76">
            <v>6635</v>
          </cell>
        </row>
        <row r="77">
          <cell r="A77" t="str">
            <v>SEP</v>
          </cell>
          <cell r="B77">
            <v>607350</v>
          </cell>
          <cell r="C77">
            <v>6806</v>
          </cell>
        </row>
        <row r="78">
          <cell r="A78" t="str">
            <v>OKT</v>
          </cell>
          <cell r="B78">
            <v>608109</v>
          </cell>
          <cell r="C78">
            <v>6804</v>
          </cell>
        </row>
        <row r="79">
          <cell r="A79" t="str">
            <v>NOV</v>
          </cell>
          <cell r="B79">
            <v>607786</v>
          </cell>
          <cell r="C79">
            <v>6467</v>
          </cell>
        </row>
        <row r="80">
          <cell r="A80" t="str">
            <v>DEC</v>
          </cell>
          <cell r="B80">
            <v>605600</v>
          </cell>
          <cell r="C80">
            <v>6305</v>
          </cell>
        </row>
        <row r="81">
          <cell r="A81">
            <v>2001</v>
          </cell>
          <cell r="B81">
            <v>602702</v>
          </cell>
          <cell r="C81">
            <v>6789</v>
          </cell>
        </row>
        <row r="83">
          <cell r="A83" t="str">
            <v>Share</v>
          </cell>
          <cell r="C83">
            <v>1.1264273222919452</v>
          </cell>
        </row>
        <row r="84">
          <cell r="A84" t="str">
            <v>Data without changes</v>
          </cell>
          <cell r="B84" t="str">
            <v>Total</v>
          </cell>
          <cell r="C84" t="str">
            <v>A</v>
          </cell>
        </row>
        <row r="85">
          <cell r="A85" t="str">
            <v>JAN</v>
          </cell>
          <cell r="B85">
            <v>605094</v>
          </cell>
          <cell r="C85">
            <v>6140</v>
          </cell>
        </row>
        <row r="86">
          <cell r="A86" t="str">
            <v>FEB</v>
          </cell>
          <cell r="B86">
            <v>606374</v>
          </cell>
          <cell r="C86">
            <v>6589</v>
          </cell>
          <cell r="H86">
            <v>33441</v>
          </cell>
        </row>
        <row r="87">
          <cell r="A87" t="str">
            <v>MAR</v>
          </cell>
          <cell r="B87">
            <v>607521</v>
          </cell>
          <cell r="C87">
            <v>6753</v>
          </cell>
          <cell r="H87">
            <v>33464</v>
          </cell>
        </row>
        <row r="88">
          <cell r="A88" t="str">
            <v>APR</v>
          </cell>
          <cell r="B88">
            <v>608401</v>
          </cell>
          <cell r="C88">
            <v>6827</v>
          </cell>
          <cell r="H88">
            <v>33641</v>
          </cell>
        </row>
        <row r="89">
          <cell r="A89" t="str">
            <v>MAJ</v>
          </cell>
          <cell r="B89">
            <v>608968</v>
          </cell>
          <cell r="C89">
            <v>6826</v>
          </cell>
          <cell r="H89">
            <v>33740</v>
          </cell>
        </row>
        <row r="90">
          <cell r="A90" t="str">
            <v>JUN</v>
          </cell>
          <cell r="B90">
            <v>609108</v>
          </cell>
          <cell r="C90">
            <v>6750</v>
          </cell>
          <cell r="H90">
            <v>33746</v>
          </cell>
        </row>
        <row r="91">
          <cell r="A91" t="str">
            <v>JUL</v>
          </cell>
          <cell r="B91">
            <v>607911</v>
          </cell>
          <cell r="C91">
            <v>6637</v>
          </cell>
          <cell r="H91">
            <v>33711</v>
          </cell>
        </row>
        <row r="92">
          <cell r="A92" t="str">
            <v>AVG</v>
          </cell>
          <cell r="B92">
            <v>606560</v>
          </cell>
          <cell r="C92">
            <v>6535</v>
          </cell>
          <cell r="H92">
            <v>33763</v>
          </cell>
        </row>
        <row r="94">
          <cell r="A94" t="str">
            <v>Datas with changes</v>
          </cell>
        </row>
        <row r="95">
          <cell r="A95">
            <v>2002</v>
          </cell>
          <cell r="B95" t="str">
            <v>Total</v>
          </cell>
          <cell r="C95" t="str">
            <v>A</v>
          </cell>
          <cell r="H95" t="str">
            <v>F</v>
          </cell>
        </row>
        <row r="96">
          <cell r="A96" t="str">
            <v>JAN</v>
          </cell>
          <cell r="B96">
            <v>605094</v>
          </cell>
          <cell r="C96">
            <v>6140</v>
          </cell>
          <cell r="H96">
            <v>33259</v>
          </cell>
        </row>
        <row r="97">
          <cell r="A97" t="str">
            <v>FEB</v>
          </cell>
          <cell r="B97">
            <v>606374</v>
          </cell>
          <cell r="C97">
            <v>6589</v>
          </cell>
          <cell r="H97">
            <v>33441</v>
          </cell>
        </row>
        <row r="98">
          <cell r="A98" t="str">
            <v>MAR</v>
          </cell>
          <cell r="B98">
            <v>607521</v>
          </cell>
          <cell r="C98">
            <v>6753</v>
          </cell>
          <cell r="H98">
            <v>33464</v>
          </cell>
        </row>
        <row r="99">
          <cell r="A99" t="str">
            <v>APR</v>
          </cell>
          <cell r="B99">
            <v>608401</v>
          </cell>
          <cell r="C99">
            <v>6827</v>
          </cell>
          <cell r="H99">
            <v>33641</v>
          </cell>
        </row>
        <row r="100">
          <cell r="A100" t="str">
            <v>MAJ</v>
          </cell>
          <cell r="B100">
            <v>608968</v>
          </cell>
          <cell r="C100">
            <v>6826</v>
          </cell>
        </row>
        <row r="101">
          <cell r="A101" t="str">
            <v>JUN</v>
          </cell>
          <cell r="B101">
            <v>609108</v>
          </cell>
          <cell r="C101">
            <v>6750</v>
          </cell>
        </row>
        <row r="102">
          <cell r="A102" t="str">
            <v>JUL</v>
          </cell>
          <cell r="B102">
            <v>607911</v>
          </cell>
          <cell r="C102">
            <v>6637</v>
          </cell>
        </row>
        <row r="103">
          <cell r="A103" t="str">
            <v>AVG</v>
          </cell>
          <cell r="B103">
            <v>606560</v>
          </cell>
          <cell r="C103">
            <v>6535</v>
          </cell>
        </row>
        <row r="105">
          <cell r="A105" t="str">
            <v>Data without changes</v>
          </cell>
          <cell r="B105" t="str">
            <v>Total</v>
          </cell>
          <cell r="C105" t="str">
            <v>A</v>
          </cell>
        </row>
        <row r="106">
          <cell r="A106" t="str">
            <v>JAN</v>
          </cell>
          <cell r="B106">
            <v>605094</v>
          </cell>
          <cell r="C106">
            <v>6140</v>
          </cell>
        </row>
        <row r="107">
          <cell r="A107" t="str">
            <v>FEB</v>
          </cell>
          <cell r="B107">
            <v>606374</v>
          </cell>
          <cell r="C107">
            <v>6116</v>
          </cell>
        </row>
        <row r="108">
          <cell r="A108" t="str">
            <v>MAR</v>
          </cell>
          <cell r="B108">
            <v>607521</v>
          </cell>
          <cell r="C108">
            <v>6216</v>
          </cell>
        </row>
        <row r="109">
          <cell r="A109" t="str">
            <v>APR</v>
          </cell>
          <cell r="B109">
            <v>608401</v>
          </cell>
          <cell r="C109">
            <v>6289</v>
          </cell>
        </row>
        <row r="110">
          <cell r="A110" t="str">
            <v>MAJ</v>
          </cell>
          <cell r="B110">
            <v>608968</v>
          </cell>
          <cell r="C110">
            <v>6342</v>
          </cell>
        </row>
        <row r="111">
          <cell r="A111" t="str">
            <v>JUN</v>
          </cell>
          <cell r="B111">
            <v>609108</v>
          </cell>
          <cell r="C111">
            <v>6253</v>
          </cell>
        </row>
        <row r="112">
          <cell r="A112" t="str">
            <v>JUL</v>
          </cell>
          <cell r="B112">
            <v>607911</v>
          </cell>
          <cell r="C112">
            <v>6137</v>
          </cell>
        </row>
        <row r="113">
          <cell r="A113" t="str">
            <v>AVG</v>
          </cell>
          <cell r="B113">
            <v>606560</v>
          </cell>
          <cell r="C113">
            <v>6033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age Data"/>
      <sheetName val="Wages by sector"/>
      <sheetName val="Wages_sectors"/>
      <sheetName val="Wages"/>
      <sheetName val="Priv S wages"/>
      <sheetName val="Pub S wages"/>
      <sheetName val="Wages_graphs"/>
      <sheetName val="Wages Manuf."/>
      <sheetName val="Real wages"/>
      <sheetName val="Real wages by sector"/>
      <sheetName val="Employment Data Sectors (wages)"/>
      <sheetName val="Employment data by sectors"/>
      <sheetName val="Employment_Full time equivalent"/>
      <sheetName val="Employment data"/>
      <sheetName val="Sheet1"/>
      <sheetName val="Total Employment"/>
      <sheetName val="Employment public services"/>
      <sheetName val="Employment table"/>
      <sheetName val="Balassa-Samuelson"/>
      <sheetName val="Wages and Consumption"/>
      <sheetName val="Wages and tax revenu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>
        <row r="6">
          <cell r="H6">
            <v>31509</v>
          </cell>
        </row>
        <row r="7">
          <cell r="H7">
            <v>31785</v>
          </cell>
        </row>
        <row r="8">
          <cell r="H8">
            <v>32217</v>
          </cell>
        </row>
        <row r="9">
          <cell r="H9">
            <v>32309</v>
          </cell>
        </row>
        <row r="10">
          <cell r="H10">
            <v>32261</v>
          </cell>
        </row>
        <row r="11">
          <cell r="A11" t="str">
            <v>JUL</v>
          </cell>
          <cell r="B11">
            <v>575913</v>
          </cell>
          <cell r="C11">
            <v>8045</v>
          </cell>
          <cell r="H11">
            <v>32480</v>
          </cell>
        </row>
        <row r="12">
          <cell r="A12" t="str">
            <v>AVG</v>
          </cell>
          <cell r="B12">
            <v>574495</v>
          </cell>
          <cell r="C12">
            <v>8070</v>
          </cell>
          <cell r="H12">
            <v>32444</v>
          </cell>
        </row>
        <row r="13">
          <cell r="A13" t="str">
            <v>SEP</v>
          </cell>
          <cell r="B13">
            <v>575282</v>
          </cell>
          <cell r="C13">
            <v>7946</v>
          </cell>
          <cell r="H13">
            <v>32895</v>
          </cell>
        </row>
        <row r="14">
          <cell r="A14" t="str">
            <v>OKT</v>
          </cell>
          <cell r="B14">
            <v>576186</v>
          </cell>
          <cell r="C14">
            <v>7965</v>
          </cell>
          <cell r="H14">
            <v>32892</v>
          </cell>
        </row>
        <row r="15">
          <cell r="A15" t="str">
            <v>NOV</v>
          </cell>
          <cell r="B15">
            <v>576133</v>
          </cell>
          <cell r="C15">
            <v>8164</v>
          </cell>
          <cell r="H15">
            <v>32836</v>
          </cell>
        </row>
        <row r="16">
          <cell r="A16" t="str">
            <v>DEC</v>
          </cell>
          <cell r="B16">
            <v>572807</v>
          </cell>
          <cell r="C16">
            <v>7995</v>
          </cell>
          <cell r="H16">
            <v>32298</v>
          </cell>
        </row>
        <row r="17">
          <cell r="A17">
            <v>1997</v>
          </cell>
          <cell r="B17">
            <v>576225.75</v>
          </cell>
          <cell r="C17">
            <v>8073.416666666667</v>
          </cell>
          <cell r="H17">
            <v>32287.166666666668</v>
          </cell>
        </row>
        <row r="20">
          <cell r="B20" t="str">
            <v>Total</v>
          </cell>
          <cell r="C20" t="str">
            <v>A</v>
          </cell>
        </row>
        <row r="21">
          <cell r="A21" t="str">
            <v>JAN</v>
          </cell>
          <cell r="B21">
            <v>570812</v>
          </cell>
          <cell r="C21">
            <v>7859</v>
          </cell>
        </row>
        <row r="22">
          <cell r="A22" t="str">
            <v>FEB</v>
          </cell>
          <cell r="B22">
            <v>570863</v>
          </cell>
          <cell r="C22">
            <v>7916</v>
          </cell>
        </row>
        <row r="23">
          <cell r="A23" t="str">
            <v>MAR</v>
          </cell>
          <cell r="B23">
            <v>571919</v>
          </cell>
          <cell r="C23">
            <v>7960</v>
          </cell>
        </row>
        <row r="24">
          <cell r="A24" t="str">
            <v>APR</v>
          </cell>
          <cell r="B24">
            <v>574030</v>
          </cell>
          <cell r="C24">
            <v>7953</v>
          </cell>
        </row>
        <row r="25">
          <cell r="A25" t="str">
            <v>MAJ</v>
          </cell>
          <cell r="B25">
            <v>574751</v>
          </cell>
          <cell r="C25">
            <v>7923</v>
          </cell>
        </row>
        <row r="26">
          <cell r="A26" t="str">
            <v>JUN</v>
          </cell>
          <cell r="B26">
            <v>574773</v>
          </cell>
          <cell r="C26">
            <v>8016</v>
          </cell>
        </row>
        <row r="27">
          <cell r="A27" t="str">
            <v>JUL</v>
          </cell>
          <cell r="B27">
            <v>574914</v>
          </cell>
          <cell r="C27">
            <v>7989</v>
          </cell>
        </row>
        <row r="28">
          <cell r="A28" t="str">
            <v>AVG</v>
          </cell>
          <cell r="B28">
            <v>574755</v>
          </cell>
          <cell r="C28">
            <v>7913</v>
          </cell>
        </row>
        <row r="29">
          <cell r="A29" t="str">
            <v>SEP</v>
          </cell>
          <cell r="B29">
            <v>575464</v>
          </cell>
          <cell r="C29">
            <v>7891</v>
          </cell>
        </row>
        <row r="30">
          <cell r="A30" t="str">
            <v>OKT</v>
          </cell>
          <cell r="B30">
            <v>576124</v>
          </cell>
          <cell r="C30">
            <v>7875</v>
          </cell>
        </row>
        <row r="31">
          <cell r="A31" t="str">
            <v>NOV</v>
          </cell>
          <cell r="B31">
            <v>576937</v>
          </cell>
          <cell r="C31">
            <v>7782</v>
          </cell>
        </row>
        <row r="32">
          <cell r="A32" t="str">
            <v>DEC</v>
          </cell>
          <cell r="B32">
            <v>575048</v>
          </cell>
          <cell r="C32">
            <v>7657</v>
          </cell>
        </row>
        <row r="33">
          <cell r="A33">
            <v>1998</v>
          </cell>
          <cell r="B33">
            <v>574202.58333333326</v>
          </cell>
          <cell r="C33">
            <v>7894.5</v>
          </cell>
        </row>
        <row r="36">
          <cell r="B36" t="str">
            <v>Total</v>
          </cell>
          <cell r="C36" t="str">
            <v>A</v>
          </cell>
        </row>
        <row r="37">
          <cell r="A37" t="str">
            <v>JAN</v>
          </cell>
          <cell r="B37">
            <v>576144</v>
          </cell>
          <cell r="C37">
            <v>7583</v>
          </cell>
        </row>
        <row r="38">
          <cell r="A38" t="str">
            <v>FEB</v>
          </cell>
          <cell r="B38">
            <v>578019</v>
          </cell>
          <cell r="C38">
            <v>7557</v>
          </cell>
        </row>
        <row r="39">
          <cell r="A39" t="str">
            <v>MAR</v>
          </cell>
          <cell r="B39">
            <v>579604</v>
          </cell>
          <cell r="C39">
            <v>7656</v>
          </cell>
        </row>
        <row r="40">
          <cell r="A40" t="str">
            <v>APR</v>
          </cell>
          <cell r="B40">
            <v>581047</v>
          </cell>
          <cell r="C40">
            <v>7710</v>
          </cell>
        </row>
        <row r="41">
          <cell r="A41" t="str">
            <v>MAJ</v>
          </cell>
          <cell r="B41">
            <v>582571</v>
          </cell>
          <cell r="C41">
            <v>7747</v>
          </cell>
        </row>
        <row r="42">
          <cell r="A42" t="str">
            <v>JUN</v>
          </cell>
          <cell r="B42">
            <v>584084</v>
          </cell>
          <cell r="C42">
            <v>7782</v>
          </cell>
        </row>
        <row r="43">
          <cell r="A43" t="str">
            <v>JUL</v>
          </cell>
          <cell r="B43">
            <v>585353</v>
          </cell>
          <cell r="C43">
            <v>7821</v>
          </cell>
        </row>
        <row r="44">
          <cell r="A44" t="str">
            <v>AVG</v>
          </cell>
          <cell r="B44">
            <v>584885</v>
          </cell>
          <cell r="C44">
            <v>7517</v>
          </cell>
        </row>
        <row r="45">
          <cell r="A45" t="str">
            <v>SEP</v>
          </cell>
          <cell r="B45">
            <v>587070</v>
          </cell>
          <cell r="C45">
            <v>7692</v>
          </cell>
        </row>
        <row r="46">
          <cell r="A46" t="str">
            <v>OKT</v>
          </cell>
          <cell r="B46">
            <v>589206</v>
          </cell>
          <cell r="C46">
            <v>7710</v>
          </cell>
        </row>
        <row r="47">
          <cell r="A47" t="str">
            <v>NOV</v>
          </cell>
          <cell r="B47">
            <v>589722</v>
          </cell>
          <cell r="C47">
            <v>7550</v>
          </cell>
        </row>
        <row r="48">
          <cell r="A48" t="str">
            <v>DEC</v>
          </cell>
          <cell r="B48">
            <v>587237</v>
          </cell>
          <cell r="C48">
            <v>7214</v>
          </cell>
        </row>
        <row r="49">
          <cell r="A49">
            <v>1999</v>
          </cell>
          <cell r="B49">
            <v>583801</v>
          </cell>
          <cell r="C49">
            <v>7628</v>
          </cell>
        </row>
        <row r="52">
          <cell r="B52" t="str">
            <v>Total</v>
          </cell>
          <cell r="C52" t="str">
            <v>A</v>
          </cell>
        </row>
        <row r="53">
          <cell r="A53" t="str">
            <v>JAN</v>
          </cell>
          <cell r="B53">
            <v>585835</v>
          </cell>
          <cell r="C53">
            <v>7092</v>
          </cell>
        </row>
        <row r="54">
          <cell r="A54" t="str">
            <v>FEB</v>
          </cell>
          <cell r="B54">
            <v>587900</v>
          </cell>
          <cell r="C54">
            <v>7090</v>
          </cell>
        </row>
        <row r="55">
          <cell r="A55" t="str">
            <v>MAR</v>
          </cell>
          <cell r="B55">
            <v>588971</v>
          </cell>
          <cell r="C55">
            <v>7298</v>
          </cell>
        </row>
        <row r="56">
          <cell r="A56" t="str">
            <v>APR</v>
          </cell>
          <cell r="B56">
            <v>590669</v>
          </cell>
          <cell r="C56">
            <v>7325</v>
          </cell>
        </row>
        <row r="57">
          <cell r="A57" t="str">
            <v>MAJ</v>
          </cell>
          <cell r="B57">
            <v>591604</v>
          </cell>
          <cell r="C57">
            <v>7355</v>
          </cell>
        </row>
        <row r="58">
          <cell r="A58" t="str">
            <v>JUN</v>
          </cell>
          <cell r="B58">
            <v>593230</v>
          </cell>
          <cell r="C58">
            <v>7419</v>
          </cell>
        </row>
        <row r="59">
          <cell r="A59" t="str">
            <v>JUL</v>
          </cell>
          <cell r="B59">
            <v>592637</v>
          </cell>
          <cell r="C59">
            <v>7393</v>
          </cell>
        </row>
        <row r="60">
          <cell r="A60" t="str">
            <v>AVG</v>
          </cell>
          <cell r="B60">
            <v>592398</v>
          </cell>
          <cell r="C60">
            <v>7377</v>
          </cell>
        </row>
        <row r="61">
          <cell r="A61" t="str">
            <v>SEP</v>
          </cell>
          <cell r="B61">
            <v>593975</v>
          </cell>
          <cell r="C61">
            <v>7813</v>
          </cell>
        </row>
        <row r="62">
          <cell r="A62" t="str">
            <v>OKT</v>
          </cell>
          <cell r="B62">
            <v>595507</v>
          </cell>
          <cell r="C62">
            <v>7525</v>
          </cell>
        </row>
        <row r="63">
          <cell r="A63" t="str">
            <v>NOV</v>
          </cell>
          <cell r="B63">
            <v>595261</v>
          </cell>
          <cell r="C63">
            <v>7133</v>
          </cell>
        </row>
        <row r="64">
          <cell r="A64" t="str">
            <v>DEC</v>
          </cell>
          <cell r="B64">
            <v>593689</v>
          </cell>
          <cell r="C64">
            <v>7010</v>
          </cell>
        </row>
        <row r="65">
          <cell r="A65">
            <v>2000</v>
          </cell>
          <cell r="B65">
            <v>591806.33333333326</v>
          </cell>
          <cell r="C65">
            <v>7319.166666666667</v>
          </cell>
        </row>
        <row r="68">
          <cell r="B68" t="str">
            <v>Total</v>
          </cell>
          <cell r="C68" t="str">
            <v>A</v>
          </cell>
        </row>
        <row r="69">
          <cell r="A69" t="str">
            <v>JAN</v>
          </cell>
          <cell r="B69">
            <v>593701</v>
          </cell>
          <cell r="C69">
            <v>6896</v>
          </cell>
        </row>
        <row r="70">
          <cell r="A70" t="str">
            <v>FEB</v>
          </cell>
          <cell r="B70">
            <v>594472</v>
          </cell>
          <cell r="C70">
            <v>6875</v>
          </cell>
        </row>
        <row r="71">
          <cell r="A71" t="str">
            <v>MAR</v>
          </cell>
          <cell r="B71">
            <v>598394</v>
          </cell>
          <cell r="C71">
            <v>6951</v>
          </cell>
        </row>
        <row r="72">
          <cell r="A72" t="str">
            <v>APR</v>
          </cell>
          <cell r="B72">
            <v>600445</v>
          </cell>
          <cell r="C72">
            <v>6943</v>
          </cell>
        </row>
        <row r="73">
          <cell r="A73" t="str">
            <v>MAJ</v>
          </cell>
          <cell r="B73">
            <v>603082</v>
          </cell>
          <cell r="C73">
            <v>7062</v>
          </cell>
        </row>
        <row r="74">
          <cell r="A74" t="str">
            <v>JUN</v>
          </cell>
          <cell r="B74">
            <v>604590</v>
          </cell>
          <cell r="C74">
            <v>6940</v>
          </cell>
        </row>
        <row r="75">
          <cell r="A75" t="str">
            <v>JUL</v>
          </cell>
          <cell r="B75">
            <v>604546</v>
          </cell>
          <cell r="C75">
            <v>6781</v>
          </cell>
        </row>
        <row r="76">
          <cell r="A76" t="str">
            <v>AVG</v>
          </cell>
          <cell r="B76">
            <v>604339</v>
          </cell>
          <cell r="C76">
            <v>6635</v>
          </cell>
        </row>
        <row r="77">
          <cell r="A77" t="str">
            <v>SEP</v>
          </cell>
          <cell r="B77">
            <v>607350</v>
          </cell>
          <cell r="C77">
            <v>6806</v>
          </cell>
        </row>
        <row r="78">
          <cell r="A78" t="str">
            <v>OKT</v>
          </cell>
          <cell r="B78">
            <v>608109</v>
          </cell>
          <cell r="C78">
            <v>6804</v>
          </cell>
        </row>
        <row r="79">
          <cell r="A79" t="str">
            <v>NOV</v>
          </cell>
          <cell r="B79">
            <v>607786</v>
          </cell>
          <cell r="C79">
            <v>6467</v>
          </cell>
        </row>
        <row r="80">
          <cell r="A80" t="str">
            <v>DEC</v>
          </cell>
          <cell r="B80">
            <v>605600</v>
          </cell>
          <cell r="C80">
            <v>6305</v>
          </cell>
        </row>
        <row r="81">
          <cell r="A81">
            <v>2001</v>
          </cell>
          <cell r="B81">
            <v>602702</v>
          </cell>
          <cell r="C81">
            <v>6789</v>
          </cell>
        </row>
        <row r="83">
          <cell r="A83" t="str">
            <v>Share</v>
          </cell>
          <cell r="C83">
            <v>1.1264273222919452</v>
          </cell>
        </row>
        <row r="84">
          <cell r="A84" t="str">
            <v>Data without changes</v>
          </cell>
          <cell r="B84" t="str">
            <v>Total</v>
          </cell>
          <cell r="C84" t="str">
            <v>A</v>
          </cell>
        </row>
        <row r="85">
          <cell r="A85" t="str">
            <v>JAN</v>
          </cell>
          <cell r="B85">
            <v>605094</v>
          </cell>
          <cell r="C85">
            <v>6140</v>
          </cell>
        </row>
        <row r="86">
          <cell r="A86" t="str">
            <v>FEB</v>
          </cell>
          <cell r="B86">
            <v>606374</v>
          </cell>
          <cell r="C86">
            <v>6589</v>
          </cell>
          <cell r="H86">
            <v>33441</v>
          </cell>
        </row>
        <row r="87">
          <cell r="A87" t="str">
            <v>MAR</v>
          </cell>
          <cell r="B87">
            <v>607521</v>
          </cell>
          <cell r="C87">
            <v>6753</v>
          </cell>
          <cell r="H87">
            <v>33464</v>
          </cell>
        </row>
        <row r="88">
          <cell r="A88" t="str">
            <v>APR</v>
          </cell>
          <cell r="B88">
            <v>608401</v>
          </cell>
          <cell r="C88">
            <v>6827</v>
          </cell>
          <cell r="H88">
            <v>33641</v>
          </cell>
        </row>
        <row r="89">
          <cell r="A89" t="str">
            <v>MAJ</v>
          </cell>
          <cell r="B89">
            <v>608968</v>
          </cell>
          <cell r="C89">
            <v>6826</v>
          </cell>
          <cell r="H89">
            <v>33740</v>
          </cell>
        </row>
        <row r="90">
          <cell r="A90" t="str">
            <v>JUN</v>
          </cell>
          <cell r="B90">
            <v>609108</v>
          </cell>
          <cell r="C90">
            <v>6750</v>
          </cell>
          <cell r="H90">
            <v>33746</v>
          </cell>
        </row>
        <row r="91">
          <cell r="A91" t="str">
            <v>JUL</v>
          </cell>
          <cell r="B91">
            <v>607911</v>
          </cell>
          <cell r="C91">
            <v>6637</v>
          </cell>
          <cell r="H91">
            <v>33711</v>
          </cell>
        </row>
        <row r="92">
          <cell r="A92" t="str">
            <v>AVG</v>
          </cell>
          <cell r="B92">
            <v>606560</v>
          </cell>
          <cell r="C92">
            <v>6535</v>
          </cell>
          <cell r="H92">
            <v>33763</v>
          </cell>
        </row>
        <row r="94">
          <cell r="A94" t="str">
            <v>Datas with changes</v>
          </cell>
        </row>
        <row r="95">
          <cell r="A95">
            <v>2002</v>
          </cell>
          <cell r="B95" t="str">
            <v>Total</v>
          </cell>
          <cell r="C95" t="str">
            <v>A</v>
          </cell>
          <cell r="H95" t="str">
            <v>F</v>
          </cell>
        </row>
        <row r="96">
          <cell r="A96" t="str">
            <v>JAN</v>
          </cell>
          <cell r="B96">
            <v>605094</v>
          </cell>
          <cell r="C96">
            <v>6140</v>
          </cell>
          <cell r="H96">
            <v>33259</v>
          </cell>
        </row>
        <row r="97">
          <cell r="A97" t="str">
            <v>FEB</v>
          </cell>
          <cell r="B97">
            <v>606374</v>
          </cell>
          <cell r="C97">
            <v>6589</v>
          </cell>
          <cell r="H97">
            <v>33441</v>
          </cell>
        </row>
        <row r="98">
          <cell r="A98" t="str">
            <v>MAR</v>
          </cell>
          <cell r="B98">
            <v>607521</v>
          </cell>
          <cell r="C98">
            <v>6753</v>
          </cell>
          <cell r="H98">
            <v>33464</v>
          </cell>
        </row>
        <row r="99">
          <cell r="A99" t="str">
            <v>APR</v>
          </cell>
          <cell r="B99">
            <v>608401</v>
          </cell>
          <cell r="C99">
            <v>6827</v>
          </cell>
          <cell r="H99">
            <v>33641</v>
          </cell>
        </row>
        <row r="100">
          <cell r="A100" t="str">
            <v>MAJ</v>
          </cell>
          <cell r="B100">
            <v>608968</v>
          </cell>
          <cell r="C100">
            <v>6826</v>
          </cell>
        </row>
        <row r="101">
          <cell r="A101" t="str">
            <v>JUN</v>
          </cell>
          <cell r="B101">
            <v>609108</v>
          </cell>
          <cell r="C101">
            <v>6750</v>
          </cell>
        </row>
        <row r="102">
          <cell r="A102" t="str">
            <v>JUL</v>
          </cell>
          <cell r="B102">
            <v>607911</v>
          </cell>
          <cell r="C102">
            <v>6637</v>
          </cell>
        </row>
        <row r="103">
          <cell r="A103" t="str">
            <v>AVG</v>
          </cell>
          <cell r="B103">
            <v>606560</v>
          </cell>
          <cell r="C103">
            <v>6535</v>
          </cell>
        </row>
        <row r="105">
          <cell r="A105" t="str">
            <v>Data without changes</v>
          </cell>
          <cell r="B105" t="str">
            <v>Total</v>
          </cell>
          <cell r="C105" t="str">
            <v>A</v>
          </cell>
        </row>
        <row r="106">
          <cell r="A106" t="str">
            <v>JAN</v>
          </cell>
          <cell r="B106">
            <v>605094</v>
          </cell>
          <cell r="C106">
            <v>6140</v>
          </cell>
        </row>
        <row r="107">
          <cell r="A107" t="str">
            <v>FEB</v>
          </cell>
          <cell r="B107">
            <v>606374</v>
          </cell>
          <cell r="C107">
            <v>6116</v>
          </cell>
        </row>
        <row r="108">
          <cell r="A108" t="str">
            <v>MAR</v>
          </cell>
          <cell r="B108">
            <v>607521</v>
          </cell>
          <cell r="C108">
            <v>6216</v>
          </cell>
        </row>
        <row r="109">
          <cell r="A109" t="str">
            <v>APR</v>
          </cell>
          <cell r="B109">
            <v>608401</v>
          </cell>
          <cell r="C109">
            <v>6289</v>
          </cell>
        </row>
        <row r="110">
          <cell r="A110" t="str">
            <v>MAJ</v>
          </cell>
          <cell r="B110">
            <v>608968</v>
          </cell>
          <cell r="C110">
            <v>6342</v>
          </cell>
        </row>
        <row r="111">
          <cell r="A111" t="str">
            <v>JUN</v>
          </cell>
          <cell r="B111">
            <v>609108</v>
          </cell>
          <cell r="C111">
            <v>6253</v>
          </cell>
        </row>
        <row r="112">
          <cell r="A112" t="str">
            <v>JUL</v>
          </cell>
          <cell r="B112">
            <v>607911</v>
          </cell>
          <cell r="C112">
            <v>6137</v>
          </cell>
        </row>
        <row r="113">
          <cell r="A113" t="str">
            <v>AVG</v>
          </cell>
          <cell r="B113">
            <v>606560</v>
          </cell>
          <cell r="C113">
            <v>6033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ControlSheet"/>
      <sheetName val="i1-CA"/>
      <sheetName val="i2-KA"/>
      <sheetName val="i3-LQ"/>
      <sheetName val="KA2"/>
      <sheetName val="my table"/>
      <sheetName val="Debt"/>
      <sheetName val="Assu"/>
      <sheetName val="2000-prelim"/>
      <sheetName val="BOP"/>
      <sheetName val="output"/>
      <sheetName val="staff report table"/>
      <sheetName val="Assu. summary"/>
      <sheetName val="outmacro"/>
      <sheetName val="trade-struct"/>
      <sheetName val="dir-trade"/>
    </sheetNames>
    <sheetDataSet>
      <sheetData sheetId="0"/>
      <sheetData sheetId="1" refreshError="1"/>
      <sheetData sheetId="2"/>
      <sheetData sheetId="3"/>
      <sheetData sheetId="4"/>
      <sheetData sheetId="5" refreshError="1"/>
      <sheetData sheetId="6" refreshError="1"/>
      <sheetData sheetId="7" refreshError="1"/>
      <sheetData sheetId="8"/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FRS"/>
      <sheetName val="Acc"/>
      <sheetName val="Account"/>
      <sheetName val="Konsolidácia"/>
      <sheetName val="SQL"/>
      <sheetName val="GDP"/>
      <sheetName val="Pravidlo 50%"/>
      <sheetName val="Pravidlo 50% (pôvodné)"/>
      <sheetName val=" JAVYS"/>
      <sheetName val="Úč PODV 3-01 2015"/>
      <sheetName val="EKRK"/>
    </sheetNames>
    <sheetDataSet>
      <sheetData sheetId="0">
        <row r="4">
          <cell r="P4" t="str">
            <v>s</v>
          </cell>
          <cell r="Q4" t="str">
            <v>s</v>
          </cell>
          <cell r="Y4">
            <v>27805</v>
          </cell>
        </row>
        <row r="5">
          <cell r="P5" t="str">
            <v>s</v>
          </cell>
          <cell r="Q5" t="str">
            <v>s</v>
          </cell>
          <cell r="Y5">
            <v>133939</v>
          </cell>
        </row>
        <row r="6">
          <cell r="P6" t="str">
            <v>P13</v>
          </cell>
          <cell r="Q6" t="str">
            <v>P131</v>
          </cell>
          <cell r="Y6">
            <v>0</v>
          </cell>
        </row>
        <row r="7">
          <cell r="P7" t="str">
            <v>P13</v>
          </cell>
          <cell r="Q7" t="str">
            <v>P131</v>
          </cell>
          <cell r="Y7">
            <v>0</v>
          </cell>
        </row>
        <row r="8">
          <cell r="P8" t="str">
            <v>P13</v>
          </cell>
          <cell r="Q8" t="str">
            <v>P131</v>
          </cell>
          <cell r="Y8">
            <v>27805</v>
          </cell>
        </row>
        <row r="9">
          <cell r="P9" t="str">
            <v>s</v>
          </cell>
          <cell r="Q9" t="str">
            <v>s</v>
          </cell>
          <cell r="Y9">
            <v>0</v>
          </cell>
        </row>
        <row r="10">
          <cell r="P10" t="str">
            <v>P12</v>
          </cell>
          <cell r="Q10" t="str">
            <v>P12</v>
          </cell>
          <cell r="Y10">
            <v>1884</v>
          </cell>
        </row>
        <row r="11">
          <cell r="P11" t="str">
            <v>P5D</v>
          </cell>
          <cell r="Q11" t="str">
            <v>P5113</v>
          </cell>
          <cell r="Y11">
            <v>718</v>
          </cell>
        </row>
        <row r="12">
          <cell r="P12" t="str">
            <v>D9REC</v>
          </cell>
          <cell r="Q12" t="str">
            <v>D92REC</v>
          </cell>
          <cell r="Y12">
            <v>103531</v>
          </cell>
        </row>
        <row r="13">
          <cell r="P13" t="str">
            <v>s</v>
          </cell>
          <cell r="Q13" t="str">
            <v>s</v>
          </cell>
          <cell r="Y13">
            <v>0</v>
          </cell>
        </row>
        <row r="14">
          <cell r="P14" t="str">
            <v>P13</v>
          </cell>
          <cell r="Q14" t="str">
            <v>P131</v>
          </cell>
          <cell r="Y14">
            <v>0</v>
          </cell>
        </row>
        <row r="15">
          <cell r="P15" t="str">
            <v>P2</v>
          </cell>
          <cell r="Q15" t="str">
            <v>P2</v>
          </cell>
          <cell r="Y15">
            <v>0</v>
          </cell>
        </row>
        <row r="16">
          <cell r="P16" t="str">
            <v>x</v>
          </cell>
          <cell r="Q16" t="str">
            <v>x</v>
          </cell>
          <cell r="Y16">
            <v>0</v>
          </cell>
        </row>
        <row r="17">
          <cell r="P17" t="str">
            <v>P2</v>
          </cell>
          <cell r="Q17" t="str">
            <v>P2</v>
          </cell>
          <cell r="Y17">
            <v>0</v>
          </cell>
        </row>
        <row r="18">
          <cell r="P18" t="str">
            <v>s</v>
          </cell>
          <cell r="Q18" t="str">
            <v>s</v>
          </cell>
          <cell r="Y18">
            <v>29960</v>
          </cell>
        </row>
        <row r="19">
          <cell r="P19" t="str">
            <v>D1PAY</v>
          </cell>
          <cell r="Q19" t="str">
            <v>D11PAY</v>
          </cell>
          <cell r="Y19">
            <v>0</v>
          </cell>
        </row>
        <row r="20">
          <cell r="P20" t="str">
            <v>D1PAY</v>
          </cell>
          <cell r="Q20" t="str">
            <v>D11PAY</v>
          </cell>
          <cell r="Y20">
            <v>0</v>
          </cell>
        </row>
        <row r="21">
          <cell r="P21" t="str">
            <v>D1PAY</v>
          </cell>
          <cell r="Q21" t="str">
            <v>D1211PAY</v>
          </cell>
          <cell r="Y21">
            <v>0</v>
          </cell>
        </row>
        <row r="22">
          <cell r="P22" t="str">
            <v>D1PAY</v>
          </cell>
          <cell r="Q22" t="str">
            <v>D1221PAY</v>
          </cell>
          <cell r="Y22">
            <v>0</v>
          </cell>
        </row>
        <row r="23">
          <cell r="P23" t="str">
            <v>D2PAY</v>
          </cell>
          <cell r="Q23" t="str">
            <v>D29PAY</v>
          </cell>
          <cell r="Y23">
            <v>2709</v>
          </cell>
        </row>
        <row r="24">
          <cell r="P24" t="str">
            <v>P51C</v>
          </cell>
          <cell r="Q24" t="str">
            <v>P51C</v>
          </cell>
          <cell r="Y24">
            <v>0</v>
          </cell>
        </row>
        <row r="25">
          <cell r="P25" t="str">
            <v>x</v>
          </cell>
          <cell r="Q25" t="str">
            <v>x</v>
          </cell>
          <cell r="Y25">
            <v>0</v>
          </cell>
        </row>
        <row r="26">
          <cell r="P26" t="str">
            <v>x</v>
          </cell>
          <cell r="Q26" t="str">
            <v>x</v>
          </cell>
          <cell r="Y26">
            <v>0</v>
          </cell>
        </row>
        <row r="27">
          <cell r="P27" t="str">
            <v>x</v>
          </cell>
          <cell r="Q27" t="str">
            <v>x</v>
          </cell>
          <cell r="Y27">
            <v>155</v>
          </cell>
        </row>
        <row r="28">
          <cell r="P28" t="str">
            <v>x</v>
          </cell>
          <cell r="Q28" t="str">
            <v>x</v>
          </cell>
          <cell r="Y28">
            <v>0</v>
          </cell>
        </row>
        <row r="29">
          <cell r="P29" t="str">
            <v>D7PAY</v>
          </cell>
          <cell r="Q29" t="str">
            <v>D759PAY</v>
          </cell>
          <cell r="Y29">
            <v>47561</v>
          </cell>
        </row>
        <row r="30">
          <cell r="P30" t="str">
            <v>x</v>
          </cell>
          <cell r="Q30" t="str">
            <v>x</v>
          </cell>
          <cell r="Y30">
            <v>-168</v>
          </cell>
        </row>
        <row r="31">
          <cell r="P31" t="str">
            <v>x</v>
          </cell>
          <cell r="Q31" t="str">
            <v>x</v>
          </cell>
          <cell r="Y31">
            <v>-6072</v>
          </cell>
        </row>
        <row r="32">
          <cell r="P32" t="str">
            <v>x</v>
          </cell>
          <cell r="Q32" t="str">
            <v>x</v>
          </cell>
          <cell r="Y32">
            <v>0</v>
          </cell>
        </row>
        <row r="33">
          <cell r="P33" t="str">
            <v>?</v>
          </cell>
          <cell r="Q33" t="str">
            <v>?</v>
          </cell>
          <cell r="Y33">
            <v>0</v>
          </cell>
        </row>
        <row r="34">
          <cell r="P34" t="str">
            <v>?</v>
          </cell>
          <cell r="Q34" t="str">
            <v>?</v>
          </cell>
          <cell r="Y34">
            <v>0</v>
          </cell>
        </row>
        <row r="35">
          <cell r="P35" t="str">
            <v>?</v>
          </cell>
          <cell r="Q35" t="str">
            <v>?</v>
          </cell>
          <cell r="Y35">
            <v>0</v>
          </cell>
        </row>
        <row r="36">
          <cell r="P36" t="str">
            <v>?</v>
          </cell>
          <cell r="Q36" t="str">
            <v>?</v>
          </cell>
          <cell r="Y36">
            <v>0</v>
          </cell>
        </row>
        <row r="37">
          <cell r="P37" t="str">
            <v>?</v>
          </cell>
          <cell r="Q37" t="str">
            <v>?</v>
          </cell>
          <cell r="Y37">
            <v>0</v>
          </cell>
        </row>
        <row r="38">
          <cell r="P38" t="str">
            <v>?</v>
          </cell>
          <cell r="Q38" t="str">
            <v>?</v>
          </cell>
          <cell r="Y38">
            <v>0</v>
          </cell>
        </row>
        <row r="39">
          <cell r="P39" t="str">
            <v>?</v>
          </cell>
          <cell r="Q39" t="str">
            <v>?</v>
          </cell>
          <cell r="Y39">
            <v>0</v>
          </cell>
        </row>
        <row r="40">
          <cell r="P40" t="str">
            <v>?</v>
          </cell>
          <cell r="Q40" t="str">
            <v>?</v>
          </cell>
          <cell r="Y40">
            <v>0</v>
          </cell>
        </row>
        <row r="41">
          <cell r="P41" t="str">
            <v>?</v>
          </cell>
          <cell r="Q41" t="str">
            <v>?</v>
          </cell>
          <cell r="Y41">
            <v>0</v>
          </cell>
        </row>
        <row r="42">
          <cell r="P42" t="str">
            <v>s</v>
          </cell>
          <cell r="Q42" t="str">
            <v>s</v>
          </cell>
          <cell r="Y42">
            <v>2270</v>
          </cell>
        </row>
        <row r="43">
          <cell r="P43" t="str">
            <v>D4REC</v>
          </cell>
          <cell r="Q43" t="str">
            <v>D41PUBREC</v>
          </cell>
          <cell r="Y43">
            <v>0</v>
          </cell>
        </row>
        <row r="44">
          <cell r="P44" t="str">
            <v>D4REC</v>
          </cell>
          <cell r="Q44" t="str">
            <v>D41PUBREC</v>
          </cell>
          <cell r="Y44">
            <v>2270</v>
          </cell>
        </row>
        <row r="45">
          <cell r="P45" t="str">
            <v>RF2A</v>
          </cell>
          <cell r="Q45" t="str">
            <v>RF21A</v>
          </cell>
          <cell r="Y45">
            <v>0</v>
          </cell>
        </row>
        <row r="46">
          <cell r="P46" t="str">
            <v>RF5A</v>
          </cell>
          <cell r="Q46" t="str">
            <v>RF519A</v>
          </cell>
          <cell r="Y46">
            <v>0</v>
          </cell>
        </row>
        <row r="47">
          <cell r="P47" t="str">
            <v>D4REC</v>
          </cell>
          <cell r="Q47" t="str">
            <v>D41PUBREC</v>
          </cell>
          <cell r="Y47">
            <v>0</v>
          </cell>
        </row>
        <row r="48">
          <cell r="P48" t="str">
            <v>s</v>
          </cell>
          <cell r="Q48" t="str">
            <v>s</v>
          </cell>
          <cell r="Y48">
            <v>0</v>
          </cell>
        </row>
        <row r="49">
          <cell r="P49" t="str">
            <v>F5AD</v>
          </cell>
          <cell r="Q49" t="str">
            <v>F519AD</v>
          </cell>
          <cell r="Y49">
            <v>0</v>
          </cell>
        </row>
        <row r="50">
          <cell r="P50" t="str">
            <v>?</v>
          </cell>
          <cell r="Q50" t="str">
            <v>?</v>
          </cell>
          <cell r="Y50">
            <v>0</v>
          </cell>
        </row>
        <row r="51">
          <cell r="P51" t="str">
            <v>?</v>
          </cell>
          <cell r="Q51" t="str">
            <v>?</v>
          </cell>
          <cell r="Y51">
            <v>0</v>
          </cell>
        </row>
        <row r="52">
          <cell r="P52" t="str">
            <v>?</v>
          </cell>
          <cell r="Q52" t="str">
            <v>?</v>
          </cell>
          <cell r="Y52">
            <v>0</v>
          </cell>
        </row>
        <row r="53">
          <cell r="P53" t="str">
            <v>?</v>
          </cell>
          <cell r="Q53" t="str">
            <v>?</v>
          </cell>
          <cell r="Y53">
            <v>0</v>
          </cell>
        </row>
        <row r="54">
          <cell r="P54" t="str">
            <v>?</v>
          </cell>
          <cell r="Q54" t="str">
            <v>?</v>
          </cell>
          <cell r="Y54">
            <v>0</v>
          </cell>
        </row>
        <row r="55">
          <cell r="P55" t="str">
            <v>RF2A</v>
          </cell>
          <cell r="Q55" t="str">
            <v>RF21A</v>
          </cell>
          <cell r="Y55">
            <v>0</v>
          </cell>
        </row>
        <row r="56">
          <cell r="P56" t="str">
            <v>?</v>
          </cell>
          <cell r="Q56" t="str">
            <v>?</v>
          </cell>
          <cell r="Y56">
            <v>0</v>
          </cell>
        </row>
        <row r="57">
          <cell r="P57" t="str">
            <v>D4PAY</v>
          </cell>
          <cell r="Q57" t="str">
            <v>D41PUBPAY</v>
          </cell>
          <cell r="Y57">
            <v>1</v>
          </cell>
        </row>
        <row r="58">
          <cell r="P58" t="str">
            <v>s</v>
          </cell>
          <cell r="Q58" t="str">
            <v>s</v>
          </cell>
          <cell r="Y58">
            <v>2268</v>
          </cell>
        </row>
        <row r="59">
          <cell r="P59" t="str">
            <v>s</v>
          </cell>
          <cell r="Q59" t="str">
            <v>s</v>
          </cell>
          <cell r="Y59">
            <v>2100</v>
          </cell>
        </row>
        <row r="60">
          <cell r="P60" t="str">
            <v>s</v>
          </cell>
          <cell r="Q60" t="str">
            <v>s</v>
          </cell>
          <cell r="Y60">
            <v>504</v>
          </cell>
        </row>
        <row r="61">
          <cell r="P61" t="str">
            <v>D5PAY</v>
          </cell>
          <cell r="Q61" t="str">
            <v>D51PAY</v>
          </cell>
          <cell r="Y61">
            <v>504</v>
          </cell>
        </row>
        <row r="62">
          <cell r="P62" t="str">
            <v>x</v>
          </cell>
          <cell r="Q62" t="str">
            <v>x</v>
          </cell>
          <cell r="Y62">
            <v>0</v>
          </cell>
        </row>
        <row r="63">
          <cell r="P63" t="str">
            <v>D4PAY</v>
          </cell>
          <cell r="Q63" t="str">
            <v>D421PAY</v>
          </cell>
          <cell r="Y63">
            <v>0</v>
          </cell>
        </row>
        <row r="64">
          <cell r="P64" t="str">
            <v>x</v>
          </cell>
          <cell r="Q64" t="str">
            <v>x</v>
          </cell>
          <cell r="Y64">
            <v>1596</v>
          </cell>
        </row>
        <row r="66">
          <cell r="P66" t="str">
            <v>ESA*</v>
          </cell>
          <cell r="Q66" t="str">
            <v>ESA</v>
          </cell>
          <cell r="Y66">
            <v>2012</v>
          </cell>
        </row>
        <row r="67">
          <cell r="P67">
            <v>2012</v>
          </cell>
          <cell r="Q67">
            <v>2012</v>
          </cell>
          <cell r="Y67">
            <v>2012</v>
          </cell>
        </row>
        <row r="68">
          <cell r="P68" t="str">
            <v>s</v>
          </cell>
          <cell r="Q68" t="str">
            <v>s</v>
          </cell>
          <cell r="Y68">
            <v>1290316</v>
          </cell>
        </row>
        <row r="69">
          <cell r="P69" t="str">
            <v>s</v>
          </cell>
          <cell r="Q69" t="str">
            <v>s</v>
          </cell>
          <cell r="Y69">
            <v>238231</v>
          </cell>
        </row>
        <row r="70">
          <cell r="P70" t="str">
            <v>s</v>
          </cell>
          <cell r="Q70" t="str">
            <v>s</v>
          </cell>
          <cell r="Y70">
            <v>3692</v>
          </cell>
        </row>
        <row r="71">
          <cell r="P71" t="str">
            <v>x</v>
          </cell>
          <cell r="Q71" t="str">
            <v>x</v>
          </cell>
          <cell r="Y71">
            <v>0</v>
          </cell>
        </row>
        <row r="72">
          <cell r="P72" t="str">
            <v>AN1E</v>
          </cell>
          <cell r="Q72" t="str">
            <v>AN1E</v>
          </cell>
          <cell r="Y72">
            <v>2671</v>
          </cell>
        </row>
        <row r="73">
          <cell r="P73" t="str">
            <v>AN2E</v>
          </cell>
          <cell r="Q73" t="str">
            <v>AN2E</v>
          </cell>
          <cell r="Y73">
            <v>941</v>
          </cell>
        </row>
        <row r="74">
          <cell r="P74" t="str">
            <v>AN2E</v>
          </cell>
          <cell r="Q74" t="str">
            <v>AN2E</v>
          </cell>
          <cell r="Y74">
            <v>0</v>
          </cell>
        </row>
        <row r="75">
          <cell r="P75" t="str">
            <v>x</v>
          </cell>
          <cell r="Q75" t="str">
            <v>x</v>
          </cell>
          <cell r="Y75">
            <v>0</v>
          </cell>
        </row>
        <row r="76">
          <cell r="P76" t="str">
            <v>AN1E</v>
          </cell>
          <cell r="Q76" t="str">
            <v>AN1E</v>
          </cell>
          <cell r="Y76">
            <v>80</v>
          </cell>
        </row>
        <row r="77">
          <cell r="P77" t="str">
            <v>AF8AE</v>
          </cell>
          <cell r="Q77" t="str">
            <v>AF89AE</v>
          </cell>
          <cell r="Y77">
            <v>0</v>
          </cell>
        </row>
        <row r="78">
          <cell r="P78" t="str">
            <v>s</v>
          </cell>
          <cell r="Q78" t="str">
            <v>s</v>
          </cell>
          <cell r="Y78">
            <v>118251</v>
          </cell>
        </row>
        <row r="79">
          <cell r="P79" t="str">
            <v>AN2E</v>
          </cell>
          <cell r="Q79" t="str">
            <v>AN2E</v>
          </cell>
          <cell r="Y79">
            <v>2031</v>
          </cell>
        </row>
        <row r="80">
          <cell r="P80" t="str">
            <v>AN1E</v>
          </cell>
          <cell r="Q80" t="str">
            <v>AN1E</v>
          </cell>
          <cell r="Y80">
            <v>28231</v>
          </cell>
        </row>
        <row r="81">
          <cell r="P81" t="str">
            <v>AN1E</v>
          </cell>
          <cell r="Q81" t="str">
            <v>AN1E</v>
          </cell>
          <cell r="Y81">
            <v>68825</v>
          </cell>
        </row>
        <row r="82">
          <cell r="P82" t="str">
            <v>AN1E</v>
          </cell>
          <cell r="Q82" t="str">
            <v>AN1E</v>
          </cell>
          <cell r="Y82">
            <v>0</v>
          </cell>
        </row>
        <row r="83">
          <cell r="P83" t="str">
            <v>AN1E</v>
          </cell>
          <cell r="Q83" t="str">
            <v>AN1E</v>
          </cell>
          <cell r="Y83">
            <v>0</v>
          </cell>
        </row>
        <row r="84">
          <cell r="P84" t="str">
            <v>AN1E</v>
          </cell>
          <cell r="Q84" t="str">
            <v>AN1E</v>
          </cell>
          <cell r="Y84">
            <v>13</v>
          </cell>
        </row>
        <row r="85">
          <cell r="P85" t="str">
            <v>AN1E</v>
          </cell>
          <cell r="Q85" t="str">
            <v>AN1E</v>
          </cell>
          <cell r="Y85">
            <v>15089</v>
          </cell>
        </row>
        <row r="86">
          <cell r="P86" t="str">
            <v>AF8AE</v>
          </cell>
          <cell r="Q86" t="str">
            <v>AF89AE</v>
          </cell>
          <cell r="Y86">
            <v>4061</v>
          </cell>
        </row>
        <row r="87">
          <cell r="P87" t="str">
            <v>x</v>
          </cell>
          <cell r="Q87" t="str">
            <v>x</v>
          </cell>
          <cell r="Y87">
            <v>0</v>
          </cell>
        </row>
        <row r="88">
          <cell r="P88" t="str">
            <v>s</v>
          </cell>
          <cell r="Q88" t="str">
            <v>s</v>
          </cell>
          <cell r="Y88">
            <v>116288</v>
          </cell>
        </row>
        <row r="89">
          <cell r="P89" t="str">
            <v>AF5AE</v>
          </cell>
          <cell r="Q89" t="str">
            <v>AF519AE</v>
          </cell>
          <cell r="Y89">
            <v>0</v>
          </cell>
        </row>
        <row r="90">
          <cell r="P90" t="str">
            <v>AF5AE</v>
          </cell>
          <cell r="Q90" t="str">
            <v>AF519AE</v>
          </cell>
          <cell r="Y90">
            <v>116288</v>
          </cell>
        </row>
        <row r="91">
          <cell r="P91" t="str">
            <v>AF5AE</v>
          </cell>
          <cell r="Q91" t="str">
            <v>AF519AE</v>
          </cell>
          <cell r="Y91">
            <v>0</v>
          </cell>
        </row>
        <row r="92">
          <cell r="P92" t="str">
            <v>AF4AE</v>
          </cell>
          <cell r="Q92" t="str">
            <v>AF42AE</v>
          </cell>
          <cell r="Y92">
            <v>0</v>
          </cell>
        </row>
        <row r="93">
          <cell r="P93" t="str">
            <v>AF4AE</v>
          </cell>
          <cell r="Q93" t="str">
            <v>AF42AE</v>
          </cell>
          <cell r="Y93">
            <v>0</v>
          </cell>
        </row>
        <row r="94">
          <cell r="P94" t="str">
            <v>AF4AE</v>
          </cell>
          <cell r="Q94" t="str">
            <v>AF42AE</v>
          </cell>
          <cell r="Y94">
            <v>0</v>
          </cell>
        </row>
        <row r="95">
          <cell r="P95" t="str">
            <v>AF3AE</v>
          </cell>
          <cell r="Q95" t="str">
            <v>AF32AE</v>
          </cell>
          <cell r="Y95">
            <v>0</v>
          </cell>
        </row>
        <row r="96">
          <cell r="P96" t="str">
            <v>AF4AE</v>
          </cell>
          <cell r="Q96" t="str">
            <v>AF41AE</v>
          </cell>
          <cell r="Y96">
            <v>0</v>
          </cell>
        </row>
        <row r="97">
          <cell r="P97" t="str">
            <v>AF2AE</v>
          </cell>
          <cell r="Q97" t="str">
            <v>AF22AE</v>
          </cell>
          <cell r="Y97">
            <v>0</v>
          </cell>
        </row>
        <row r="98">
          <cell r="P98" t="str">
            <v>AF5AE</v>
          </cell>
          <cell r="Q98" t="str">
            <v>AF519AE</v>
          </cell>
          <cell r="Y98">
            <v>0</v>
          </cell>
        </row>
        <row r="99">
          <cell r="P99" t="str">
            <v>AF8AE</v>
          </cell>
          <cell r="Q99" t="str">
            <v>AF89AE</v>
          </cell>
          <cell r="Y99">
            <v>0</v>
          </cell>
        </row>
        <row r="100">
          <cell r="P100" t="str">
            <v>s</v>
          </cell>
          <cell r="Q100" t="str">
            <v>s</v>
          </cell>
          <cell r="Y100">
            <v>1289811</v>
          </cell>
        </row>
        <row r="101">
          <cell r="P101" t="str">
            <v>AN1E</v>
          </cell>
          <cell r="Q101" t="str">
            <v>AN1E</v>
          </cell>
          <cell r="Y101">
            <v>505</v>
          </cell>
        </row>
        <row r="102">
          <cell r="P102" t="str">
            <v>AN1E</v>
          </cell>
          <cell r="Q102" t="str">
            <v>AN1E</v>
          </cell>
          <cell r="Y102">
            <v>505</v>
          </cell>
        </row>
        <row r="103">
          <cell r="P103" t="str">
            <v>AN1E</v>
          </cell>
          <cell r="Q103" t="str">
            <v>AN1E</v>
          </cell>
          <cell r="Y103">
            <v>0</v>
          </cell>
        </row>
        <row r="104">
          <cell r="P104" t="str">
            <v>AN1E</v>
          </cell>
          <cell r="Q104" t="str">
            <v>AN1E</v>
          </cell>
          <cell r="Y104">
            <v>0</v>
          </cell>
        </row>
        <row r="105">
          <cell r="P105" t="str">
            <v>AN1E</v>
          </cell>
          <cell r="Q105" t="str">
            <v>AN1E</v>
          </cell>
          <cell r="Y105">
            <v>0</v>
          </cell>
        </row>
        <row r="106">
          <cell r="P106" t="str">
            <v>AN1E</v>
          </cell>
          <cell r="Q106" t="str">
            <v>AN1E</v>
          </cell>
          <cell r="Y106">
            <v>0</v>
          </cell>
        </row>
        <row r="107">
          <cell r="P107" t="str">
            <v>AF8AE</v>
          </cell>
          <cell r="Q107" t="str">
            <v>AF89AE</v>
          </cell>
          <cell r="Y107">
            <v>0</v>
          </cell>
        </row>
        <row r="108">
          <cell r="P108" t="str">
            <v>s</v>
          </cell>
          <cell r="Q108" t="str">
            <v>s</v>
          </cell>
          <cell r="Y108">
            <v>4292</v>
          </cell>
        </row>
        <row r="109">
          <cell r="P109" t="str">
            <v>AF8AE</v>
          </cell>
          <cell r="Q109" t="str">
            <v>AF81AE</v>
          </cell>
          <cell r="Y109">
            <v>0</v>
          </cell>
        </row>
        <row r="110">
          <cell r="P110" t="str">
            <v>AF8AE</v>
          </cell>
          <cell r="Q110" t="str">
            <v>AF81AE</v>
          </cell>
          <cell r="Y110">
            <v>0</v>
          </cell>
        </row>
        <row r="111">
          <cell r="P111" t="str">
            <v>AF8AE</v>
          </cell>
          <cell r="Q111" t="str">
            <v>AF81AE</v>
          </cell>
          <cell r="Y111">
            <v>0</v>
          </cell>
        </row>
        <row r="112">
          <cell r="P112" t="str">
            <v>AF8AE</v>
          </cell>
          <cell r="Q112" t="str">
            <v>AF81AE</v>
          </cell>
          <cell r="Y112">
            <v>0</v>
          </cell>
        </row>
        <row r="113">
          <cell r="P113" t="str">
            <v>AF8AE</v>
          </cell>
          <cell r="Q113" t="str">
            <v>AF89AE</v>
          </cell>
          <cell r="Y113">
            <v>0</v>
          </cell>
        </row>
        <row r="114">
          <cell r="P114" t="str">
            <v>x</v>
          </cell>
          <cell r="Q114" t="str">
            <v>x</v>
          </cell>
          <cell r="Y114">
            <v>0</v>
          </cell>
        </row>
        <row r="115">
          <cell r="P115" t="str">
            <v>x</v>
          </cell>
          <cell r="Q115" t="str">
            <v>x</v>
          </cell>
          <cell r="Y115">
            <v>0</v>
          </cell>
        </row>
        <row r="116">
          <cell r="P116" t="str">
            <v>x</v>
          </cell>
          <cell r="Q116" t="str">
            <v>x</v>
          </cell>
          <cell r="Y116">
            <v>0</v>
          </cell>
        </row>
        <row r="117">
          <cell r="P117" t="str">
            <v>x</v>
          </cell>
          <cell r="Q117" t="str">
            <v>x</v>
          </cell>
          <cell r="Y117">
            <v>0</v>
          </cell>
        </row>
        <row r="118">
          <cell r="P118" t="str">
            <v>AF8AE</v>
          </cell>
          <cell r="Q118" t="str">
            <v>AF89AE</v>
          </cell>
          <cell r="Y118">
            <v>363</v>
          </cell>
        </row>
        <row r="119">
          <cell r="P119" t="str">
            <v>x</v>
          </cell>
          <cell r="Q119" t="str">
            <v>x</v>
          </cell>
          <cell r="Y119">
            <v>3928</v>
          </cell>
        </row>
        <row r="120">
          <cell r="P120" t="str">
            <v>s</v>
          </cell>
          <cell r="Q120" t="str">
            <v>s</v>
          </cell>
          <cell r="Y120">
            <v>1063568</v>
          </cell>
        </row>
        <row r="121">
          <cell r="P121" t="str">
            <v>s</v>
          </cell>
          <cell r="Q121" t="str">
            <v>s</v>
          </cell>
          <cell r="Y121">
            <v>4675</v>
          </cell>
        </row>
        <row r="122">
          <cell r="P122" t="str">
            <v>AF8AE</v>
          </cell>
          <cell r="Q122" t="str">
            <v>AF81AE</v>
          </cell>
          <cell r="Y122">
            <v>0</v>
          </cell>
        </row>
        <row r="123">
          <cell r="P123" t="str">
            <v>AF8AE</v>
          </cell>
          <cell r="Q123" t="str">
            <v>AF81AE</v>
          </cell>
          <cell r="Y123">
            <v>0</v>
          </cell>
        </row>
        <row r="124">
          <cell r="P124" t="str">
            <v>AF8AE</v>
          </cell>
          <cell r="Q124" t="str">
            <v>AF81AE</v>
          </cell>
          <cell r="Y124">
            <v>4675</v>
          </cell>
        </row>
        <row r="125">
          <cell r="P125" t="str">
            <v>AF8AE</v>
          </cell>
          <cell r="Q125" t="str">
            <v>AF89AE</v>
          </cell>
          <cell r="Y125">
            <v>0</v>
          </cell>
        </row>
        <row r="126">
          <cell r="P126" t="str">
            <v>AF8AE</v>
          </cell>
          <cell r="Q126" t="str">
            <v>AF89AE</v>
          </cell>
          <cell r="Y126">
            <v>0</v>
          </cell>
        </row>
        <row r="127">
          <cell r="P127" t="str">
            <v>AF8AE</v>
          </cell>
          <cell r="Q127" t="str">
            <v>AF89AE</v>
          </cell>
          <cell r="Y127">
            <v>0</v>
          </cell>
        </row>
        <row r="128">
          <cell r="P128" t="str">
            <v>AF8AE</v>
          </cell>
          <cell r="Q128" t="str">
            <v>AF89AE</v>
          </cell>
          <cell r="Y128">
            <v>0</v>
          </cell>
        </row>
        <row r="129">
          <cell r="P129" t="str">
            <v>?</v>
          </cell>
          <cell r="Q129" t="str">
            <v>?</v>
          </cell>
          <cell r="Y129">
            <v>0</v>
          </cell>
        </row>
        <row r="130">
          <cell r="P130" t="str">
            <v>?</v>
          </cell>
          <cell r="Q130" t="str">
            <v>?</v>
          </cell>
          <cell r="Y130">
            <v>1058874</v>
          </cell>
        </row>
        <row r="131">
          <cell r="P131" t="str">
            <v>?</v>
          </cell>
          <cell r="Q131" t="str">
            <v>?</v>
          </cell>
          <cell r="Y131">
            <v>0</v>
          </cell>
        </row>
        <row r="132">
          <cell r="P132" t="str">
            <v>AF8AE</v>
          </cell>
          <cell r="Q132" t="str">
            <v>AF89AE</v>
          </cell>
          <cell r="Y132">
            <v>19</v>
          </cell>
        </row>
        <row r="133">
          <cell r="P133" t="str">
            <v>s</v>
          </cell>
          <cell r="Q133" t="str">
            <v>s</v>
          </cell>
          <cell r="Y133">
            <v>0</v>
          </cell>
        </row>
        <row r="134">
          <cell r="P134" t="str">
            <v>AF5AE</v>
          </cell>
          <cell r="Q134" t="str">
            <v>AF519AE</v>
          </cell>
          <cell r="Y134">
            <v>0</v>
          </cell>
        </row>
        <row r="135">
          <cell r="P135" t="str">
            <v>AF5AE</v>
          </cell>
          <cell r="Q135" t="str">
            <v>AF519AE</v>
          </cell>
          <cell r="Y135">
            <v>0</v>
          </cell>
        </row>
        <row r="136">
          <cell r="P136" t="str">
            <v>?</v>
          </cell>
          <cell r="Q136" t="str">
            <v>?</v>
          </cell>
          <cell r="Y136">
            <v>0</v>
          </cell>
        </row>
        <row r="137">
          <cell r="P137" t="str">
            <v>AF5AE</v>
          </cell>
          <cell r="Q137" t="str">
            <v>AF519AE</v>
          </cell>
          <cell r="Y137">
            <v>0</v>
          </cell>
        </row>
        <row r="138">
          <cell r="P138" t="str">
            <v>s</v>
          </cell>
          <cell r="Q138" t="str">
            <v>s</v>
          </cell>
          <cell r="Y138">
            <v>221364</v>
          </cell>
        </row>
        <row r="139">
          <cell r="P139" t="str">
            <v>AF2AE</v>
          </cell>
          <cell r="Q139" t="str">
            <v>AF21AE</v>
          </cell>
          <cell r="Y139">
            <v>82</v>
          </cell>
        </row>
        <row r="140">
          <cell r="P140" t="str">
            <v>AF2AE</v>
          </cell>
          <cell r="Q140" t="str">
            <v>AF21AE</v>
          </cell>
          <cell r="Y140">
            <v>221364</v>
          </cell>
        </row>
        <row r="141">
          <cell r="P141" t="str">
            <v>s</v>
          </cell>
          <cell r="Q141" t="str">
            <v>s</v>
          </cell>
          <cell r="Y141">
            <v>2130</v>
          </cell>
        </row>
        <row r="142">
          <cell r="P142" t="str">
            <v>x</v>
          </cell>
          <cell r="Q142" t="str">
            <v>x</v>
          </cell>
          <cell r="Y142">
            <v>30</v>
          </cell>
        </row>
        <row r="143">
          <cell r="P143" t="str">
            <v>x</v>
          </cell>
          <cell r="Q143" t="str">
            <v>x</v>
          </cell>
          <cell r="Y143">
            <v>119</v>
          </cell>
        </row>
        <row r="144">
          <cell r="P144" t="str">
            <v>x</v>
          </cell>
          <cell r="Q144" t="str">
            <v>x</v>
          </cell>
          <cell r="Y144">
            <v>0</v>
          </cell>
        </row>
        <row r="145">
          <cell r="P145" t="str">
            <v>x</v>
          </cell>
          <cell r="Q145" t="str">
            <v>x</v>
          </cell>
          <cell r="Y145">
            <v>1981</v>
          </cell>
        </row>
        <row r="146">
          <cell r="P146" t="str">
            <v xml:space="preserve"> </v>
          </cell>
        </row>
        <row r="147">
          <cell r="P147" t="str">
            <v xml:space="preserve"> </v>
          </cell>
        </row>
        <row r="148">
          <cell r="P148" t="str">
            <v>ESA*</v>
          </cell>
          <cell r="Q148" t="str">
            <v>ESA</v>
          </cell>
          <cell r="Y148">
            <v>2012</v>
          </cell>
        </row>
        <row r="149">
          <cell r="P149">
            <v>2012</v>
          </cell>
          <cell r="Q149">
            <v>2012</v>
          </cell>
          <cell r="Y149">
            <v>2012</v>
          </cell>
        </row>
        <row r="150">
          <cell r="P150" t="str">
            <v>s</v>
          </cell>
          <cell r="Q150" t="str">
            <v>s</v>
          </cell>
          <cell r="Y150">
            <v>0</v>
          </cell>
        </row>
        <row r="151">
          <cell r="P151" t="str">
            <v>s</v>
          </cell>
          <cell r="Q151" t="str">
            <v>s</v>
          </cell>
          <cell r="Y151">
            <v>221792</v>
          </cell>
        </row>
        <row r="152">
          <cell r="P152" t="str">
            <v>s</v>
          </cell>
          <cell r="Q152" t="str">
            <v>s</v>
          </cell>
          <cell r="Y152">
            <v>36447</v>
          </cell>
        </row>
        <row r="153">
          <cell r="P153" t="str">
            <v>AF5LE</v>
          </cell>
          <cell r="Q153" t="str">
            <v>AF519LE</v>
          </cell>
          <cell r="Y153">
            <v>36447</v>
          </cell>
        </row>
        <row r="154">
          <cell r="P154" t="str">
            <v>AF5LE</v>
          </cell>
          <cell r="Q154" t="str">
            <v>AF519LE</v>
          </cell>
          <cell r="Y154">
            <v>0</v>
          </cell>
        </row>
        <row r="155">
          <cell r="P155" t="str">
            <v>AF5LE</v>
          </cell>
          <cell r="Q155" t="str">
            <v>AF519LE</v>
          </cell>
          <cell r="Y155">
            <v>0</v>
          </cell>
        </row>
        <row r="156">
          <cell r="P156" t="str">
            <v>AF5LE</v>
          </cell>
          <cell r="Q156" t="str">
            <v>AF519LE</v>
          </cell>
          <cell r="Y156">
            <v>0</v>
          </cell>
        </row>
        <row r="157">
          <cell r="P157" t="str">
            <v>x</v>
          </cell>
          <cell r="Q157" t="str">
            <v>x</v>
          </cell>
          <cell r="Y157">
            <v>0</v>
          </cell>
        </row>
        <row r="158">
          <cell r="P158" t="str">
            <v>x</v>
          </cell>
          <cell r="Q158" t="str">
            <v>x</v>
          </cell>
          <cell r="Y158">
            <v>8423</v>
          </cell>
        </row>
        <row r="159">
          <cell r="P159" t="str">
            <v>x</v>
          </cell>
          <cell r="Q159" t="str">
            <v>x</v>
          </cell>
          <cell r="Y159">
            <v>8423</v>
          </cell>
        </row>
        <row r="160">
          <cell r="P160" t="str">
            <v>x</v>
          </cell>
          <cell r="Q160" t="str">
            <v>x</v>
          </cell>
          <cell r="Y160">
            <v>0</v>
          </cell>
        </row>
        <row r="161">
          <cell r="P161" t="str">
            <v>x</v>
          </cell>
          <cell r="Q161" t="str">
            <v>x</v>
          </cell>
          <cell r="Y161">
            <v>26654</v>
          </cell>
        </row>
        <row r="162">
          <cell r="P162" t="str">
            <v>x</v>
          </cell>
          <cell r="Q162" t="str">
            <v>x</v>
          </cell>
          <cell r="Y162">
            <v>0</v>
          </cell>
        </row>
        <row r="163">
          <cell r="P163" t="str">
            <v>x</v>
          </cell>
          <cell r="Q163" t="str">
            <v>x</v>
          </cell>
          <cell r="Y163">
            <v>26654</v>
          </cell>
        </row>
        <row r="164">
          <cell r="P164" t="str">
            <v>x</v>
          </cell>
          <cell r="Q164" t="str">
            <v>x</v>
          </cell>
          <cell r="Y164">
            <v>110023</v>
          </cell>
        </row>
        <row r="165">
          <cell r="P165" t="str">
            <v>x</v>
          </cell>
          <cell r="Q165" t="str">
            <v>x</v>
          </cell>
          <cell r="Y165">
            <v>-5088</v>
          </cell>
        </row>
        <row r="166">
          <cell r="P166" t="str">
            <v>x</v>
          </cell>
          <cell r="Q166" t="str">
            <v>x</v>
          </cell>
          <cell r="Y166">
            <v>115091</v>
          </cell>
        </row>
        <row r="167">
          <cell r="P167" t="str">
            <v>x</v>
          </cell>
          <cell r="Q167" t="str">
            <v>x</v>
          </cell>
          <cell r="Y167">
            <v>0</v>
          </cell>
        </row>
        <row r="168">
          <cell r="P168" t="str">
            <v>x</v>
          </cell>
          <cell r="Q168" t="str">
            <v>x</v>
          </cell>
          <cell r="Y168">
            <v>38669</v>
          </cell>
        </row>
        <row r="169">
          <cell r="P169" t="str">
            <v>x</v>
          </cell>
          <cell r="Q169" t="str">
            <v>x</v>
          </cell>
          <cell r="Y169">
            <v>38669</v>
          </cell>
        </row>
        <row r="170">
          <cell r="P170" t="str">
            <v>x</v>
          </cell>
          <cell r="Q170" t="str">
            <v>x</v>
          </cell>
          <cell r="Y170">
            <v>0</v>
          </cell>
        </row>
        <row r="171">
          <cell r="P171" t="str">
            <v>x</v>
          </cell>
          <cell r="Q171" t="str">
            <v>x</v>
          </cell>
          <cell r="Y171">
            <v>1596</v>
          </cell>
        </row>
        <row r="172">
          <cell r="P172" t="str">
            <v>s</v>
          </cell>
          <cell r="Q172" t="str">
            <v>s</v>
          </cell>
          <cell r="Y172">
            <v>1244975</v>
          </cell>
        </row>
        <row r="173">
          <cell r="P173" t="str">
            <v>s</v>
          </cell>
          <cell r="Q173" t="str">
            <v>s</v>
          </cell>
          <cell r="Y173">
            <v>61497</v>
          </cell>
        </row>
        <row r="174">
          <cell r="P174" t="str">
            <v>s</v>
          </cell>
          <cell r="Q174" t="str">
            <v>s</v>
          </cell>
          <cell r="Y174">
            <v>0</v>
          </cell>
        </row>
        <row r="175">
          <cell r="P175" t="str">
            <v>AF8LE</v>
          </cell>
          <cell r="Q175" t="str">
            <v>AF81LE</v>
          </cell>
          <cell r="Y175">
            <v>0</v>
          </cell>
        </row>
        <row r="176">
          <cell r="P176" t="str">
            <v>AF8LE</v>
          </cell>
          <cell r="Q176" t="str">
            <v>AF81LE</v>
          </cell>
          <cell r="Y176">
            <v>0</v>
          </cell>
        </row>
        <row r="177">
          <cell r="P177" t="str">
            <v>AF8LE</v>
          </cell>
          <cell r="Q177" t="str">
            <v>AF81LE</v>
          </cell>
          <cell r="Y177">
            <v>0</v>
          </cell>
        </row>
        <row r="178">
          <cell r="P178" t="str">
            <v>AF8LE</v>
          </cell>
          <cell r="Q178" t="str">
            <v>AF89LE</v>
          </cell>
          <cell r="Y178">
            <v>61120</v>
          </cell>
        </row>
        <row r="179">
          <cell r="P179" t="str">
            <v>AF8LE</v>
          </cell>
          <cell r="Q179" t="str">
            <v>AF89LE</v>
          </cell>
          <cell r="Y179">
            <v>0</v>
          </cell>
        </row>
        <row r="180">
          <cell r="P180" t="str">
            <v>AF8LE</v>
          </cell>
          <cell r="Q180" t="str">
            <v>AF89LE</v>
          </cell>
          <cell r="Y180">
            <v>0</v>
          </cell>
        </row>
        <row r="181">
          <cell r="P181" t="str">
            <v>AF8LE</v>
          </cell>
          <cell r="Q181" t="str">
            <v>AF89LE</v>
          </cell>
          <cell r="Y181">
            <v>0</v>
          </cell>
        </row>
        <row r="182">
          <cell r="P182" t="str">
            <v>AF8LE</v>
          </cell>
          <cell r="Q182" t="str">
            <v>AF89LE</v>
          </cell>
          <cell r="Y182">
            <v>0</v>
          </cell>
        </row>
        <row r="183">
          <cell r="P183" t="str">
            <v>AF8LE</v>
          </cell>
          <cell r="Q183" t="str">
            <v>AF89LE</v>
          </cell>
          <cell r="Y183">
            <v>0</v>
          </cell>
        </row>
        <row r="184">
          <cell r="P184" t="str">
            <v>AF3LE</v>
          </cell>
          <cell r="Q184" t="str">
            <v>AF32LE</v>
          </cell>
          <cell r="Y184">
            <v>0</v>
          </cell>
        </row>
        <row r="185">
          <cell r="P185" t="str">
            <v>AF8LE</v>
          </cell>
          <cell r="Q185" t="str">
            <v>AF89LE</v>
          </cell>
          <cell r="Y185">
            <v>377</v>
          </cell>
        </row>
        <row r="186">
          <cell r="P186" t="str">
            <v>AF8LE</v>
          </cell>
          <cell r="Q186" t="str">
            <v>AF89LE</v>
          </cell>
          <cell r="Y186">
            <v>0</v>
          </cell>
        </row>
        <row r="187">
          <cell r="P187" t="str">
            <v>?</v>
          </cell>
          <cell r="Q187" t="str">
            <v>?</v>
          </cell>
          <cell r="Y187">
            <v>0</v>
          </cell>
        </row>
        <row r="188">
          <cell r="P188" t="str">
            <v>?</v>
          </cell>
          <cell r="Q188" t="str">
            <v>?</v>
          </cell>
          <cell r="Y188">
            <v>0</v>
          </cell>
        </row>
        <row r="189">
          <cell r="P189" t="str">
            <v>x</v>
          </cell>
          <cell r="Q189" t="str">
            <v>x</v>
          </cell>
          <cell r="Y189">
            <v>1131015</v>
          </cell>
        </row>
        <row r="190">
          <cell r="P190" t="str">
            <v>x</v>
          </cell>
          <cell r="Q190" t="str">
            <v>x</v>
          </cell>
          <cell r="Y190">
            <v>11</v>
          </cell>
        </row>
        <row r="191">
          <cell r="P191" t="str">
            <v>x</v>
          </cell>
          <cell r="Q191" t="str">
            <v>x</v>
          </cell>
          <cell r="Y191">
            <v>1131003</v>
          </cell>
        </row>
        <row r="192">
          <cell r="P192" t="str">
            <v>AF4LE</v>
          </cell>
          <cell r="Q192" t="str">
            <v>AF42LE</v>
          </cell>
          <cell r="Y192">
            <v>0</v>
          </cell>
        </row>
        <row r="193">
          <cell r="P193" t="str">
            <v>s</v>
          </cell>
          <cell r="Q193" t="str">
            <v>s</v>
          </cell>
          <cell r="Y193">
            <v>46114</v>
          </cell>
        </row>
        <row r="194">
          <cell r="P194" t="str">
            <v>s</v>
          </cell>
          <cell r="Q194" t="str">
            <v>s</v>
          </cell>
          <cell r="Y194">
            <v>16228</v>
          </cell>
        </row>
        <row r="195">
          <cell r="P195" t="str">
            <v>AF8LE</v>
          </cell>
          <cell r="Q195" t="str">
            <v>AF81LE</v>
          </cell>
          <cell r="Y195">
            <v>0</v>
          </cell>
        </row>
        <row r="196">
          <cell r="P196" t="str">
            <v>AF8LE</v>
          </cell>
          <cell r="Q196" t="str">
            <v>AF81LE</v>
          </cell>
          <cell r="Y196">
            <v>0</v>
          </cell>
        </row>
        <row r="197">
          <cell r="P197" t="str">
            <v>AF8LE</v>
          </cell>
          <cell r="Q197" t="str">
            <v>AF81LE</v>
          </cell>
          <cell r="Y197">
            <v>16228</v>
          </cell>
        </row>
        <row r="198">
          <cell r="P198" t="str">
            <v>AF8LE</v>
          </cell>
          <cell r="Q198" t="str">
            <v>AF89LE</v>
          </cell>
          <cell r="Y198">
            <v>6890</v>
          </cell>
        </row>
        <row r="199">
          <cell r="P199" t="str">
            <v>AF8LE</v>
          </cell>
          <cell r="Q199" t="str">
            <v>AF89LE</v>
          </cell>
          <cell r="Y199">
            <v>0</v>
          </cell>
        </row>
        <row r="200">
          <cell r="P200" t="str">
            <v>AF8LE</v>
          </cell>
          <cell r="Q200" t="str">
            <v>AF89LE</v>
          </cell>
          <cell r="Y200">
            <v>0</v>
          </cell>
        </row>
        <row r="201">
          <cell r="P201" t="str">
            <v>AF8LE</v>
          </cell>
          <cell r="Q201" t="str">
            <v>AF89LE</v>
          </cell>
          <cell r="Y201">
            <v>0</v>
          </cell>
        </row>
        <row r="202">
          <cell r="P202" t="str">
            <v>AF8LE</v>
          </cell>
          <cell r="Q202" t="str">
            <v>AF89LE</v>
          </cell>
          <cell r="Y202">
            <v>1678</v>
          </cell>
        </row>
        <row r="203">
          <cell r="P203" t="str">
            <v>AF8LE</v>
          </cell>
          <cell r="Q203" t="str">
            <v>AF89LE</v>
          </cell>
          <cell r="Y203">
            <v>800</v>
          </cell>
        </row>
        <row r="204">
          <cell r="P204" t="str">
            <v>?</v>
          </cell>
          <cell r="Q204" t="str">
            <v>?</v>
          </cell>
          <cell r="Y204">
            <v>345</v>
          </cell>
        </row>
        <row r="205">
          <cell r="P205" t="str">
            <v>?</v>
          </cell>
          <cell r="Q205" t="str">
            <v>?</v>
          </cell>
          <cell r="Y205">
            <v>0</v>
          </cell>
        </row>
        <row r="206">
          <cell r="P206" t="str">
            <v>AF8LE</v>
          </cell>
          <cell r="Q206" t="str">
            <v>AF89LE</v>
          </cell>
          <cell r="Y206">
            <v>20173</v>
          </cell>
        </row>
        <row r="207">
          <cell r="P207" t="str">
            <v>x</v>
          </cell>
          <cell r="Q207" t="str">
            <v>x</v>
          </cell>
          <cell r="Y207">
            <v>6347</v>
          </cell>
        </row>
        <row r="208">
          <cell r="P208" t="str">
            <v>x</v>
          </cell>
          <cell r="Q208" t="str">
            <v>x</v>
          </cell>
          <cell r="Y208">
            <v>3894</v>
          </cell>
        </row>
        <row r="209">
          <cell r="P209" t="str">
            <v>x</v>
          </cell>
          <cell r="Q209" t="str">
            <v>x</v>
          </cell>
          <cell r="Y209">
            <v>2454</v>
          </cell>
        </row>
        <row r="210">
          <cell r="P210" t="str">
            <v>AF4LE</v>
          </cell>
          <cell r="Q210" t="str">
            <v>AF41LE</v>
          </cell>
          <cell r="Y210">
            <v>2</v>
          </cell>
        </row>
        <row r="211">
          <cell r="P211" t="str">
            <v>AF4LE</v>
          </cell>
          <cell r="Q211" t="str">
            <v>AF41LE</v>
          </cell>
          <cell r="Y211">
            <v>0</v>
          </cell>
        </row>
        <row r="212">
          <cell r="P212" t="str">
            <v>x</v>
          </cell>
          <cell r="Q212" t="str">
            <v>x</v>
          </cell>
          <cell r="Y212">
            <v>63405</v>
          </cell>
        </row>
        <row r="213">
          <cell r="P213" t="str">
            <v>x</v>
          </cell>
          <cell r="Q213" t="str">
            <v>x</v>
          </cell>
          <cell r="Y213">
            <v>0</v>
          </cell>
        </row>
        <row r="214">
          <cell r="P214" t="str">
            <v>x</v>
          </cell>
          <cell r="Q214" t="str">
            <v>x</v>
          </cell>
          <cell r="Y214">
            <v>0</v>
          </cell>
        </row>
        <row r="215">
          <cell r="P215" t="str">
            <v>x</v>
          </cell>
          <cell r="Q215" t="str">
            <v>x</v>
          </cell>
          <cell r="Y215">
            <v>63405</v>
          </cell>
        </row>
        <row r="216">
          <cell r="P216" t="str">
            <v>x</v>
          </cell>
          <cell r="Q216" t="str">
            <v>x</v>
          </cell>
          <cell r="Y216">
            <v>0</v>
          </cell>
        </row>
        <row r="217">
          <cell r="P217">
            <v>0</v>
          </cell>
          <cell r="Q217">
            <v>0</v>
          </cell>
          <cell r="Y217">
            <v>0</v>
          </cell>
        </row>
        <row r="218">
          <cell r="P218">
            <v>0</v>
          </cell>
          <cell r="Q218">
            <v>0</v>
          </cell>
          <cell r="Y218">
            <v>0</v>
          </cell>
        </row>
        <row r="219">
          <cell r="P219" t="str">
            <v>ESA*</v>
          </cell>
          <cell r="Q219" t="str">
            <v>ESA</v>
          </cell>
          <cell r="Y219">
            <v>2012</v>
          </cell>
        </row>
        <row r="220">
          <cell r="P220">
            <v>2012</v>
          </cell>
          <cell r="Q220">
            <v>2012</v>
          </cell>
          <cell r="Y220">
            <v>2012</v>
          </cell>
        </row>
        <row r="221">
          <cell r="P221">
            <v>2012</v>
          </cell>
          <cell r="Q221">
            <v>2012</v>
          </cell>
          <cell r="Y221">
            <v>2012</v>
          </cell>
        </row>
        <row r="222">
          <cell r="P222" t="str">
            <v>x</v>
          </cell>
          <cell r="Q222" t="str">
            <v>x</v>
          </cell>
          <cell r="Y222">
            <v>0</v>
          </cell>
        </row>
        <row r="223">
          <cell r="P223" t="str">
            <v>x</v>
          </cell>
          <cell r="Q223" t="str">
            <v>x</v>
          </cell>
          <cell r="Y223">
            <v>0</v>
          </cell>
        </row>
        <row r="224">
          <cell r="P224" t="str">
            <v>x</v>
          </cell>
          <cell r="Q224" t="str">
            <v>x</v>
          </cell>
          <cell r="Y224">
            <v>0</v>
          </cell>
        </row>
        <row r="225">
          <cell r="P225" t="str">
            <v>x</v>
          </cell>
          <cell r="Q225" t="str">
            <v>x</v>
          </cell>
          <cell r="Y225">
            <v>0</v>
          </cell>
        </row>
        <row r="226">
          <cell r="P226" t="str">
            <v>x</v>
          </cell>
          <cell r="Q226" t="str">
            <v>x</v>
          </cell>
          <cell r="Y226">
            <v>0</v>
          </cell>
        </row>
        <row r="227">
          <cell r="P227" t="str">
            <v>x</v>
          </cell>
          <cell r="Q227" t="str">
            <v>x</v>
          </cell>
          <cell r="Y227">
            <v>0</v>
          </cell>
        </row>
        <row r="228">
          <cell r="P228" t="str">
            <v>x</v>
          </cell>
          <cell r="Q228" t="str">
            <v>x</v>
          </cell>
          <cell r="Y228">
            <v>0</v>
          </cell>
        </row>
        <row r="229">
          <cell r="P229" t="str">
            <v>x</v>
          </cell>
          <cell r="Q229" t="str">
            <v>x</v>
          </cell>
          <cell r="Y229">
            <v>0</v>
          </cell>
        </row>
        <row r="230">
          <cell r="P230" t="str">
            <v>x</v>
          </cell>
          <cell r="Q230" t="str">
            <v>x</v>
          </cell>
          <cell r="Y230">
            <v>0</v>
          </cell>
        </row>
        <row r="231">
          <cell r="P231" t="str">
            <v>D4REC</v>
          </cell>
          <cell r="Q231" t="str">
            <v>D41PUBREC</v>
          </cell>
          <cell r="Y231">
            <v>0</v>
          </cell>
        </row>
        <row r="232">
          <cell r="P232" t="str">
            <v>x</v>
          </cell>
          <cell r="Q232" t="str">
            <v>x</v>
          </cell>
          <cell r="Y232">
            <v>0</v>
          </cell>
        </row>
        <row r="233">
          <cell r="P233" t="str">
            <v>x</v>
          </cell>
          <cell r="Q233" t="str">
            <v>x</v>
          </cell>
          <cell r="Y233">
            <v>0</v>
          </cell>
        </row>
        <row r="234">
          <cell r="P234" t="str">
            <v>x</v>
          </cell>
          <cell r="Q234" t="str">
            <v>x</v>
          </cell>
          <cell r="Y234">
            <v>0</v>
          </cell>
        </row>
        <row r="235">
          <cell r="P235" t="str">
            <v>x</v>
          </cell>
          <cell r="Q235" t="str">
            <v>x</v>
          </cell>
          <cell r="Y235">
            <v>0</v>
          </cell>
        </row>
        <row r="236">
          <cell r="P236" t="str">
            <v>x</v>
          </cell>
          <cell r="Q236" t="str">
            <v>x</v>
          </cell>
          <cell r="Y236">
            <v>0</v>
          </cell>
        </row>
        <row r="237">
          <cell r="P237" t="str">
            <v>x</v>
          </cell>
          <cell r="Q237" t="str">
            <v>x</v>
          </cell>
          <cell r="Y237">
            <v>0</v>
          </cell>
        </row>
        <row r="238">
          <cell r="P238" t="str">
            <v>x</v>
          </cell>
          <cell r="Q238" t="str">
            <v>x</v>
          </cell>
          <cell r="Y238">
            <v>0</v>
          </cell>
        </row>
        <row r="239">
          <cell r="P239" t="str">
            <v>x</v>
          </cell>
          <cell r="Q239" t="str">
            <v>x</v>
          </cell>
          <cell r="Y239">
            <v>0</v>
          </cell>
        </row>
        <row r="240">
          <cell r="P240" t="str">
            <v>x</v>
          </cell>
          <cell r="Q240" t="str">
            <v>x</v>
          </cell>
          <cell r="Y240">
            <v>0</v>
          </cell>
        </row>
        <row r="241">
          <cell r="P241" t="str">
            <v>D5PAY</v>
          </cell>
          <cell r="Q241" t="str">
            <v>D51PAY</v>
          </cell>
          <cell r="Y241">
            <v>0</v>
          </cell>
        </row>
        <row r="242">
          <cell r="P242" t="str">
            <v>x</v>
          </cell>
          <cell r="Q242" t="str">
            <v>x</v>
          </cell>
          <cell r="Y242">
            <v>0</v>
          </cell>
        </row>
        <row r="243">
          <cell r="P243" t="str">
            <v>x</v>
          </cell>
          <cell r="Q243" t="str">
            <v>x</v>
          </cell>
          <cell r="Y243">
            <v>0</v>
          </cell>
        </row>
        <row r="244">
          <cell r="P244" t="str">
            <v>x</v>
          </cell>
          <cell r="Q244" t="str">
            <v>x</v>
          </cell>
          <cell r="Y244">
            <v>0</v>
          </cell>
        </row>
        <row r="245">
          <cell r="P245" t="str">
            <v>x</v>
          </cell>
          <cell r="Q245" t="str">
            <v>x</v>
          </cell>
          <cell r="Y245">
            <v>0</v>
          </cell>
        </row>
        <row r="246">
          <cell r="P246" t="str">
            <v>P5A</v>
          </cell>
          <cell r="Q246" t="str">
            <v>P5111</v>
          </cell>
          <cell r="Y246">
            <v>0</v>
          </cell>
        </row>
        <row r="247">
          <cell r="P247" t="str">
            <v>x</v>
          </cell>
          <cell r="Q247" t="str">
            <v>x</v>
          </cell>
          <cell r="Y247">
            <v>0</v>
          </cell>
        </row>
        <row r="248">
          <cell r="P248" t="str">
            <v>P5D</v>
          </cell>
          <cell r="Q248" t="str">
            <v>P5113</v>
          </cell>
          <cell r="Y248">
            <v>0</v>
          </cell>
        </row>
        <row r="249">
          <cell r="P249" t="str">
            <v>x</v>
          </cell>
          <cell r="Q249" t="str">
            <v>x</v>
          </cell>
          <cell r="Y249">
            <v>0</v>
          </cell>
        </row>
        <row r="250">
          <cell r="P250" t="str">
            <v>x</v>
          </cell>
          <cell r="Q250" t="str">
            <v>x</v>
          </cell>
          <cell r="Y250">
            <v>0</v>
          </cell>
        </row>
        <row r="251">
          <cell r="P251" t="str">
            <v>x</v>
          </cell>
          <cell r="Q251" t="str">
            <v>x</v>
          </cell>
          <cell r="Y251">
            <v>0</v>
          </cell>
        </row>
        <row r="252">
          <cell r="P252" t="str">
            <v>x</v>
          </cell>
          <cell r="Q252" t="str">
            <v>x</v>
          </cell>
          <cell r="Y252">
            <v>0</v>
          </cell>
        </row>
        <row r="253">
          <cell r="P253" t="str">
            <v>x</v>
          </cell>
          <cell r="Q253" t="str">
            <v>x</v>
          </cell>
          <cell r="Y253">
            <v>0</v>
          </cell>
        </row>
        <row r="254">
          <cell r="P254" t="str">
            <v>x</v>
          </cell>
          <cell r="Q254" t="str">
            <v>x</v>
          </cell>
          <cell r="Y254">
            <v>0</v>
          </cell>
        </row>
        <row r="255">
          <cell r="P255" t="str">
            <v>x</v>
          </cell>
          <cell r="Q255" t="str">
            <v>x</v>
          </cell>
          <cell r="Y255">
            <v>0</v>
          </cell>
        </row>
        <row r="256">
          <cell r="P256" t="str">
            <v>D4PAY</v>
          </cell>
          <cell r="Q256" t="str">
            <v>D421PAY</v>
          </cell>
          <cell r="Y256">
            <v>0</v>
          </cell>
        </row>
        <row r="257">
          <cell r="P257" t="str">
            <v>x</v>
          </cell>
          <cell r="Q257" t="str">
            <v>x</v>
          </cell>
          <cell r="Y257">
            <v>0</v>
          </cell>
        </row>
        <row r="258">
          <cell r="P258" t="str">
            <v>x</v>
          </cell>
          <cell r="Q258" t="str">
            <v>x</v>
          </cell>
          <cell r="Y258">
            <v>0</v>
          </cell>
        </row>
        <row r="259">
          <cell r="P259" t="str">
            <v>x</v>
          </cell>
          <cell r="Q259" t="str">
            <v>x</v>
          </cell>
          <cell r="Y259">
            <v>0</v>
          </cell>
        </row>
        <row r="260">
          <cell r="P260" t="str">
            <v>x</v>
          </cell>
          <cell r="Q260" t="str">
            <v>x</v>
          </cell>
          <cell r="Y260">
            <v>0</v>
          </cell>
        </row>
        <row r="261">
          <cell r="P261" t="str">
            <v>x</v>
          </cell>
          <cell r="Q261" t="str">
            <v>x</v>
          </cell>
          <cell r="Y261">
            <v>0</v>
          </cell>
        </row>
        <row r="262">
          <cell r="P262" t="str">
            <v>x</v>
          </cell>
          <cell r="Q262" t="str">
            <v>x</v>
          </cell>
          <cell r="Y262">
            <v>0</v>
          </cell>
        </row>
        <row r="263">
          <cell r="P263">
            <v>0</v>
          </cell>
          <cell r="Q263">
            <v>0</v>
          </cell>
          <cell r="Y263">
            <v>0</v>
          </cell>
        </row>
        <row r="265">
          <cell r="P265" t="str">
            <v>ESA*</v>
          </cell>
          <cell r="Q265" t="str">
            <v>ESA</v>
          </cell>
          <cell r="Y265">
            <v>2012</v>
          </cell>
        </row>
        <row r="266">
          <cell r="P266" t="str">
            <v>P5A</v>
          </cell>
          <cell r="Q266" t="str">
            <v>P5111</v>
          </cell>
          <cell r="Y266">
            <v>22330</v>
          </cell>
        </row>
        <row r="267">
          <cell r="P267" t="str">
            <v>NPA</v>
          </cell>
          <cell r="Q267" t="str">
            <v>NP1A</v>
          </cell>
          <cell r="Y267">
            <v>-48</v>
          </cell>
        </row>
        <row r="268">
          <cell r="P268" t="str">
            <v>P5D</v>
          </cell>
          <cell r="Q268" t="str">
            <v>P5113</v>
          </cell>
          <cell r="Y268">
            <v>0</v>
          </cell>
        </row>
        <row r="269">
          <cell r="P269" t="str">
            <v xml:space="preserve"> </v>
          </cell>
          <cell r="Q269" t="str">
            <v xml:space="preserve"> </v>
          </cell>
          <cell r="Y269">
            <v>0</v>
          </cell>
        </row>
        <row r="270">
          <cell r="P270" t="str">
            <v>D1PAY</v>
          </cell>
          <cell r="Q270" t="str">
            <v>D11PAY</v>
          </cell>
          <cell r="Y270">
            <v>18013</v>
          </cell>
        </row>
        <row r="271">
          <cell r="P271" t="str">
            <v>D1PAY</v>
          </cell>
          <cell r="Q271" t="str">
            <v>D1211PAY</v>
          </cell>
          <cell r="Y271">
            <v>7052</v>
          </cell>
        </row>
        <row r="272">
          <cell r="P272" t="str">
            <v>D1PAY</v>
          </cell>
          <cell r="Q272" t="str">
            <v>D1221PAY</v>
          </cell>
          <cell r="Y272">
            <v>45</v>
          </cell>
        </row>
        <row r="273">
          <cell r="P273" t="str">
            <v>P2</v>
          </cell>
          <cell r="Q273" t="str">
            <v>P2</v>
          </cell>
          <cell r="Y273">
            <v>35786</v>
          </cell>
        </row>
        <row r="274">
          <cell r="P274" t="str">
            <v>P13</v>
          </cell>
          <cell r="Q274" t="str">
            <v>P131</v>
          </cell>
          <cell r="Y274">
            <v>0</v>
          </cell>
        </row>
        <row r="275">
          <cell r="P275" t="str">
            <v>P12</v>
          </cell>
          <cell r="Q275" t="str">
            <v>P12</v>
          </cell>
          <cell r="Y275">
            <v>0</v>
          </cell>
        </row>
        <row r="276">
          <cell r="P276" t="str">
            <v xml:space="preserve"> </v>
          </cell>
          <cell r="Q276" t="str">
            <v xml:space="preserve"> </v>
          </cell>
          <cell r="Y276">
            <v>0</v>
          </cell>
        </row>
        <row r="277">
          <cell r="P277" t="str">
            <v>P13</v>
          </cell>
          <cell r="Q277" t="str">
            <v>P131</v>
          </cell>
          <cell r="Y277">
            <v>-4602</v>
          </cell>
        </row>
        <row r="278">
          <cell r="P278" t="str">
            <v>D9REC</v>
          </cell>
          <cell r="Q278" t="str">
            <v>D92REC</v>
          </cell>
          <cell r="Y278">
            <v>4602</v>
          </cell>
        </row>
        <row r="279">
          <cell r="P279">
            <v>4602</v>
          </cell>
          <cell r="Q279">
            <v>4602</v>
          </cell>
          <cell r="Y279">
            <v>0</v>
          </cell>
        </row>
        <row r="280">
          <cell r="P280">
            <v>0</v>
          </cell>
          <cell r="Q280" t="str">
            <v>P5D</v>
          </cell>
          <cell r="Y280">
            <v>0</v>
          </cell>
        </row>
        <row r="281">
          <cell r="P281">
            <v>0</v>
          </cell>
          <cell r="Q281" t="str">
            <v>P5A</v>
          </cell>
          <cell r="Y281">
            <v>0</v>
          </cell>
        </row>
        <row r="282">
          <cell r="P282">
            <v>0</v>
          </cell>
          <cell r="Q282">
            <v>0</v>
          </cell>
          <cell r="Y282">
            <v>0</v>
          </cell>
        </row>
        <row r="283">
          <cell r="P283" t="str">
            <v>P5A</v>
          </cell>
          <cell r="Q283" t="str">
            <v>P5111</v>
          </cell>
          <cell r="Y283">
            <v>-55</v>
          </cell>
        </row>
        <row r="284">
          <cell r="P284" t="str">
            <v>P5D</v>
          </cell>
          <cell r="Q284" t="str">
            <v>P52D</v>
          </cell>
          <cell r="Y284">
            <v>0</v>
          </cell>
        </row>
        <row r="285">
          <cell r="P285" t="str">
            <v>P5A</v>
          </cell>
          <cell r="Q285" t="str">
            <v>P52A</v>
          </cell>
          <cell r="Y285">
            <v>55</v>
          </cell>
        </row>
        <row r="286">
          <cell r="P286" t="str">
            <v>P12</v>
          </cell>
          <cell r="Q286" t="str">
            <v>P12</v>
          </cell>
          <cell r="Y286">
            <v>41189</v>
          </cell>
        </row>
        <row r="287">
          <cell r="P287" t="str">
            <v>P5A</v>
          </cell>
          <cell r="Q287" t="str">
            <v>P5111</v>
          </cell>
          <cell r="Y287">
            <v>41189</v>
          </cell>
        </row>
        <row r="288">
          <cell r="P288" t="str">
            <v>P51C</v>
          </cell>
          <cell r="Q288" t="str">
            <v>P51C</v>
          </cell>
          <cell r="Y288">
            <v>41189</v>
          </cell>
        </row>
        <row r="289">
          <cell r="P289" t="str">
            <v>P51C</v>
          </cell>
          <cell r="Q289" t="str">
            <v>P51C</v>
          </cell>
          <cell r="Y289">
            <v>4445</v>
          </cell>
        </row>
        <row r="290">
          <cell r="P290">
            <v>4445</v>
          </cell>
          <cell r="Q290">
            <v>4445</v>
          </cell>
          <cell r="Y290">
            <v>0</v>
          </cell>
        </row>
        <row r="291">
          <cell r="P291">
            <v>0</v>
          </cell>
          <cell r="Q291">
            <v>0</v>
          </cell>
          <cell r="Y291">
            <v>0</v>
          </cell>
        </row>
        <row r="292">
          <cell r="P292">
            <v>0</v>
          </cell>
          <cell r="Q292">
            <v>0</v>
          </cell>
          <cell r="Y292">
            <v>0</v>
          </cell>
        </row>
        <row r="293">
          <cell r="P293" t="str">
            <v>D9REC</v>
          </cell>
          <cell r="Q293" t="str">
            <v>D92REC</v>
          </cell>
          <cell r="Y293">
            <v>-66944</v>
          </cell>
        </row>
        <row r="294">
          <cell r="P294" t="str">
            <v>D9REC</v>
          </cell>
          <cell r="Q294" t="str">
            <v>D92REC</v>
          </cell>
          <cell r="Y294">
            <v>0</v>
          </cell>
        </row>
        <row r="295">
          <cell r="P295" t="str">
            <v>D9REC</v>
          </cell>
          <cell r="Q295" t="str">
            <v>D92REC</v>
          </cell>
          <cell r="Y295">
            <v>0</v>
          </cell>
        </row>
        <row r="296">
          <cell r="P296">
            <v>0</v>
          </cell>
          <cell r="Q296">
            <v>0</v>
          </cell>
          <cell r="Y296">
            <v>0</v>
          </cell>
        </row>
        <row r="297">
          <cell r="P297" t="str">
            <v>D7PAY</v>
          </cell>
          <cell r="Q297" t="str">
            <v>D759PAY</v>
          </cell>
          <cell r="Y297">
            <v>-45334</v>
          </cell>
        </row>
        <row r="298">
          <cell r="P298" t="str">
            <v>...</v>
          </cell>
          <cell r="Q298" t="str">
            <v>...</v>
          </cell>
          <cell r="Y298" t="str">
            <v>...</v>
          </cell>
        </row>
        <row r="300">
          <cell r="P300" t="str">
            <v>ESA*</v>
          </cell>
          <cell r="Q300" t="str">
            <v>ESA</v>
          </cell>
          <cell r="Y300">
            <v>2012</v>
          </cell>
        </row>
        <row r="301">
          <cell r="P301">
            <v>2012</v>
          </cell>
          <cell r="Q301">
            <v>2012</v>
          </cell>
          <cell r="Y301">
            <v>2012</v>
          </cell>
        </row>
        <row r="302">
          <cell r="P302">
            <v>2012</v>
          </cell>
          <cell r="Q302">
            <v>2012</v>
          </cell>
          <cell r="Y302">
            <v>2012</v>
          </cell>
        </row>
        <row r="303">
          <cell r="P303">
            <v>2012</v>
          </cell>
          <cell r="Q303">
            <v>2012</v>
          </cell>
          <cell r="Y303">
            <v>2012</v>
          </cell>
        </row>
        <row r="304">
          <cell r="P304">
            <v>2012</v>
          </cell>
          <cell r="Q304">
            <v>2012</v>
          </cell>
          <cell r="Y304">
            <v>2012</v>
          </cell>
        </row>
        <row r="305">
          <cell r="P305">
            <v>2012</v>
          </cell>
          <cell r="Q305">
            <v>2012</v>
          </cell>
          <cell r="Y305">
            <v>2012</v>
          </cell>
        </row>
        <row r="306">
          <cell r="P306">
            <v>2012</v>
          </cell>
          <cell r="Q306">
            <v>2012</v>
          </cell>
          <cell r="Y306">
            <v>2012</v>
          </cell>
        </row>
        <row r="307">
          <cell r="P307">
            <v>2012</v>
          </cell>
          <cell r="Q307">
            <v>2012</v>
          </cell>
          <cell r="Y307">
            <v>2012</v>
          </cell>
        </row>
        <row r="308">
          <cell r="P308">
            <v>2012</v>
          </cell>
          <cell r="Q308">
            <v>2012</v>
          </cell>
          <cell r="Y308">
            <v>2012</v>
          </cell>
        </row>
        <row r="309">
          <cell r="P309">
            <v>2012</v>
          </cell>
          <cell r="Q309">
            <v>2012</v>
          </cell>
          <cell r="Y309">
            <v>2012</v>
          </cell>
        </row>
        <row r="310">
          <cell r="P310">
            <v>2012</v>
          </cell>
          <cell r="Q310">
            <v>2012</v>
          </cell>
          <cell r="Y310">
            <v>2012</v>
          </cell>
        </row>
        <row r="311">
          <cell r="P311" t="str">
            <v>...</v>
          </cell>
          <cell r="Q311" t="str">
            <v>...</v>
          </cell>
          <cell r="Y311" t="str">
            <v>...</v>
          </cell>
        </row>
        <row r="313">
          <cell r="P313" t="str">
            <v>P51C*(-1)</v>
          </cell>
          <cell r="Q313" t="str">
            <v>P51C*(-1)</v>
          </cell>
          <cell r="Y313">
            <v>-45634</v>
          </cell>
        </row>
        <row r="315">
          <cell r="P315" t="str">
            <v>AN1S</v>
          </cell>
          <cell r="Q315" t="str">
            <v>AN1S</v>
          </cell>
          <cell r="Y315">
            <v>112268</v>
          </cell>
        </row>
        <row r="316">
          <cell r="P316" t="str">
            <v>AN2S</v>
          </cell>
          <cell r="Q316" t="str">
            <v>AN2S</v>
          </cell>
          <cell r="Y316">
            <v>3020</v>
          </cell>
        </row>
        <row r="317">
          <cell r="P317" t="str">
            <v>AF1AS</v>
          </cell>
          <cell r="Q317" t="str">
            <v>AF11AS</v>
          </cell>
          <cell r="Y317">
            <v>0</v>
          </cell>
        </row>
        <row r="318">
          <cell r="P318" t="str">
            <v>AF1AS</v>
          </cell>
          <cell r="Q318" t="str">
            <v>AF12AS</v>
          </cell>
          <cell r="Y318">
            <v>0</v>
          </cell>
        </row>
        <row r="319">
          <cell r="P319" t="str">
            <v>AF2AS</v>
          </cell>
          <cell r="Q319" t="str">
            <v>AF21AS</v>
          </cell>
          <cell r="Y319">
            <v>187953</v>
          </cell>
        </row>
        <row r="320">
          <cell r="P320" t="str">
            <v>AF2AS</v>
          </cell>
          <cell r="Q320" t="str">
            <v>AF221AS</v>
          </cell>
          <cell r="Y320">
            <v>0</v>
          </cell>
        </row>
        <row r="321">
          <cell r="P321" t="str">
            <v>AF2AS</v>
          </cell>
          <cell r="Q321" t="str">
            <v>AF229AS</v>
          </cell>
          <cell r="Y321">
            <v>0</v>
          </cell>
        </row>
        <row r="322">
          <cell r="P322" t="str">
            <v>AF2AS</v>
          </cell>
          <cell r="Q322" t="str">
            <v>AF29AS</v>
          </cell>
          <cell r="Y322">
            <v>0</v>
          </cell>
        </row>
        <row r="323">
          <cell r="P323" t="str">
            <v>AF3AS</v>
          </cell>
          <cell r="Q323" t="str">
            <v>AF31AS</v>
          </cell>
          <cell r="Y323">
            <v>0</v>
          </cell>
        </row>
        <row r="324">
          <cell r="P324" t="str">
            <v>AF3AS</v>
          </cell>
          <cell r="Q324" t="str">
            <v>AF32AS</v>
          </cell>
          <cell r="Y324">
            <v>0</v>
          </cell>
        </row>
        <row r="325">
          <cell r="P325" t="str">
            <v>AF4AS</v>
          </cell>
          <cell r="Q325" t="str">
            <v>AF41AS</v>
          </cell>
          <cell r="Y325">
            <v>0</v>
          </cell>
        </row>
        <row r="326">
          <cell r="P326" t="str">
            <v>AF4AS</v>
          </cell>
          <cell r="Q326" t="str">
            <v>AF42AS</v>
          </cell>
          <cell r="Y326">
            <v>0</v>
          </cell>
        </row>
        <row r="327">
          <cell r="P327" t="str">
            <v>AF5AS</v>
          </cell>
          <cell r="Q327" t="str">
            <v>AF511AS</v>
          </cell>
          <cell r="Y327">
            <v>0</v>
          </cell>
        </row>
        <row r="328">
          <cell r="P328" t="str">
            <v>AF5AS</v>
          </cell>
          <cell r="Q328" t="str">
            <v>AF512AS</v>
          </cell>
          <cell r="Y328">
            <v>0</v>
          </cell>
        </row>
        <row r="329">
          <cell r="P329" t="str">
            <v>AF5AS</v>
          </cell>
          <cell r="Q329" t="str">
            <v>AF519AS</v>
          </cell>
          <cell r="Y329">
            <v>117856</v>
          </cell>
        </row>
        <row r="330">
          <cell r="P330" t="str">
            <v>AF5AS</v>
          </cell>
          <cell r="Q330" t="str">
            <v>AF521AS</v>
          </cell>
          <cell r="Y330">
            <v>0</v>
          </cell>
        </row>
        <row r="331">
          <cell r="P331" t="str">
            <v>AF5AS</v>
          </cell>
          <cell r="Q331" t="str">
            <v>AF522AS</v>
          </cell>
          <cell r="Y331">
            <v>0</v>
          </cell>
        </row>
        <row r="332">
          <cell r="P332" t="str">
            <v>AF6AS</v>
          </cell>
          <cell r="Q332" t="str">
            <v>AF61AS</v>
          </cell>
          <cell r="Y332">
            <v>0</v>
          </cell>
        </row>
        <row r="333">
          <cell r="P333" t="str">
            <v>AF6AS</v>
          </cell>
          <cell r="Q333" t="str">
            <v>AF62AS</v>
          </cell>
          <cell r="Y333">
            <v>0</v>
          </cell>
        </row>
        <row r="334">
          <cell r="P334" t="str">
            <v>AF6AS</v>
          </cell>
          <cell r="Q334" t="str">
            <v>AF63AS</v>
          </cell>
          <cell r="Y334">
            <v>0</v>
          </cell>
        </row>
        <row r="335">
          <cell r="P335" t="str">
            <v>AF6AS</v>
          </cell>
          <cell r="Q335" t="str">
            <v>AF64AS</v>
          </cell>
          <cell r="Y335">
            <v>0</v>
          </cell>
        </row>
        <row r="336">
          <cell r="P336" t="str">
            <v>AF6AS</v>
          </cell>
          <cell r="Q336" t="str">
            <v>AF65AS</v>
          </cell>
          <cell r="Y336">
            <v>0</v>
          </cell>
        </row>
        <row r="337">
          <cell r="P337" t="str">
            <v>AF6AS</v>
          </cell>
          <cell r="Q337" t="str">
            <v>AF66AS</v>
          </cell>
          <cell r="Y337">
            <v>0</v>
          </cell>
        </row>
        <row r="338">
          <cell r="P338" t="str">
            <v>AF7AS</v>
          </cell>
          <cell r="Q338" t="str">
            <v>AF711AS</v>
          </cell>
          <cell r="Y338">
            <v>0</v>
          </cell>
        </row>
        <row r="339">
          <cell r="P339" t="str">
            <v>AF7AS</v>
          </cell>
          <cell r="Q339" t="str">
            <v>AF712AS</v>
          </cell>
          <cell r="Y339">
            <v>0</v>
          </cell>
        </row>
        <row r="340">
          <cell r="P340" t="str">
            <v>AF7AS</v>
          </cell>
          <cell r="Q340" t="str">
            <v>AF72AS</v>
          </cell>
          <cell r="Y340">
            <v>0</v>
          </cell>
        </row>
        <row r="341">
          <cell r="P341" t="str">
            <v>AF8AS</v>
          </cell>
          <cell r="Q341" t="str">
            <v>AF81AS</v>
          </cell>
          <cell r="Y341">
            <v>76607</v>
          </cell>
        </row>
        <row r="342">
          <cell r="P342" t="str">
            <v>AF8AS</v>
          </cell>
          <cell r="Q342" t="str">
            <v>AF89AS</v>
          </cell>
          <cell r="Y342">
            <v>3582</v>
          </cell>
        </row>
        <row r="344">
          <cell r="P344" t="str">
            <v>AF1LS</v>
          </cell>
          <cell r="Q344" t="str">
            <v>AF11LS</v>
          </cell>
          <cell r="Y344">
            <v>0</v>
          </cell>
        </row>
        <row r="345">
          <cell r="P345" t="str">
            <v>AF1LS</v>
          </cell>
          <cell r="Q345" t="str">
            <v>AF12LS</v>
          </cell>
          <cell r="Y345">
            <v>0</v>
          </cell>
        </row>
        <row r="346">
          <cell r="P346" t="str">
            <v>AF2LS</v>
          </cell>
          <cell r="Q346" t="str">
            <v>AF21LS</v>
          </cell>
          <cell r="Y346">
            <v>0</v>
          </cell>
        </row>
        <row r="347">
          <cell r="P347" t="str">
            <v>AF2LS</v>
          </cell>
          <cell r="Q347" t="str">
            <v>AF221LS</v>
          </cell>
          <cell r="Y347">
            <v>0</v>
          </cell>
        </row>
        <row r="348">
          <cell r="P348" t="str">
            <v>AF2LS</v>
          </cell>
          <cell r="Q348" t="str">
            <v>AF229LS</v>
          </cell>
          <cell r="Y348">
            <v>0</v>
          </cell>
        </row>
        <row r="349">
          <cell r="P349" t="str">
            <v>AF2LS</v>
          </cell>
          <cell r="Q349" t="str">
            <v>AF29LS</v>
          </cell>
          <cell r="Y349">
            <v>0</v>
          </cell>
        </row>
        <row r="350">
          <cell r="P350" t="str">
            <v>AF3LS</v>
          </cell>
          <cell r="Q350" t="str">
            <v>AF31LS</v>
          </cell>
          <cell r="Y350">
            <v>0</v>
          </cell>
        </row>
        <row r="351">
          <cell r="P351" t="str">
            <v>AF3LS</v>
          </cell>
          <cell r="Q351" t="str">
            <v>AF32LS</v>
          </cell>
          <cell r="Y351">
            <v>0</v>
          </cell>
        </row>
        <row r="352">
          <cell r="P352" t="str">
            <v>AF4LS</v>
          </cell>
          <cell r="Q352" t="str">
            <v>AF41LS</v>
          </cell>
          <cell r="Y352">
            <v>0</v>
          </cell>
        </row>
        <row r="353">
          <cell r="P353" t="str">
            <v>AF4LS</v>
          </cell>
          <cell r="Q353" t="str">
            <v>AF42LS</v>
          </cell>
          <cell r="Y353">
            <v>0</v>
          </cell>
        </row>
        <row r="354">
          <cell r="P354" t="str">
            <v>AF5LS</v>
          </cell>
          <cell r="Q354" t="str">
            <v>AF511LS</v>
          </cell>
          <cell r="Y354">
            <v>0</v>
          </cell>
        </row>
        <row r="355">
          <cell r="P355" t="str">
            <v>AF5LS</v>
          </cell>
          <cell r="Q355" t="str">
            <v>AF512LS</v>
          </cell>
          <cell r="Y355">
            <v>0</v>
          </cell>
        </row>
        <row r="356">
          <cell r="P356" t="str">
            <v>AF5LS</v>
          </cell>
          <cell r="Q356" t="str">
            <v>AF519LS</v>
          </cell>
          <cell r="Y356">
            <v>36447</v>
          </cell>
        </row>
        <row r="357">
          <cell r="P357" t="str">
            <v>AF5LS</v>
          </cell>
          <cell r="Q357" t="str">
            <v>AF521LS</v>
          </cell>
          <cell r="Y357">
            <v>0</v>
          </cell>
        </row>
        <row r="358">
          <cell r="P358" t="str">
            <v>AF5LS</v>
          </cell>
          <cell r="Q358" t="str">
            <v>AF522LS</v>
          </cell>
          <cell r="Y358">
            <v>0</v>
          </cell>
        </row>
        <row r="359">
          <cell r="P359" t="str">
            <v>AF6LS</v>
          </cell>
          <cell r="Q359" t="str">
            <v>AF61LS</v>
          </cell>
          <cell r="Y359">
            <v>0</v>
          </cell>
        </row>
        <row r="360">
          <cell r="P360" t="str">
            <v>AF6LS</v>
          </cell>
          <cell r="Q360" t="str">
            <v>AF62LS</v>
          </cell>
          <cell r="Y360">
            <v>0</v>
          </cell>
        </row>
        <row r="361">
          <cell r="P361" t="str">
            <v>AF6LS</v>
          </cell>
          <cell r="Q361" t="str">
            <v>AF63LS</v>
          </cell>
          <cell r="Y361">
            <v>0</v>
          </cell>
        </row>
        <row r="362">
          <cell r="P362" t="str">
            <v>AF6LS</v>
          </cell>
          <cell r="Q362" t="str">
            <v>AF64LS</v>
          </cell>
          <cell r="Y362">
            <v>0</v>
          </cell>
        </row>
        <row r="363">
          <cell r="P363" t="str">
            <v>AF6LS</v>
          </cell>
          <cell r="Q363" t="str">
            <v>AF65LS</v>
          </cell>
          <cell r="Y363">
            <v>0</v>
          </cell>
        </row>
        <row r="364">
          <cell r="P364" t="str">
            <v>AF6LS</v>
          </cell>
          <cell r="Q364" t="str">
            <v>AF66LS</v>
          </cell>
          <cell r="Y364">
            <v>0</v>
          </cell>
        </row>
        <row r="365">
          <cell r="P365" t="str">
            <v>AF7LS</v>
          </cell>
          <cell r="Q365" t="str">
            <v>AF711LS</v>
          </cell>
          <cell r="Y365">
            <v>0</v>
          </cell>
        </row>
        <row r="366">
          <cell r="P366" t="str">
            <v>AF7LS</v>
          </cell>
          <cell r="Q366" t="str">
            <v>AF712LS</v>
          </cell>
          <cell r="Y366">
            <v>0</v>
          </cell>
        </row>
        <row r="367">
          <cell r="P367" t="str">
            <v>AF7LS</v>
          </cell>
          <cell r="Q367" t="str">
            <v>AF72LS</v>
          </cell>
          <cell r="Y367">
            <v>0</v>
          </cell>
        </row>
        <row r="368">
          <cell r="P368" t="str">
            <v>AF8LS</v>
          </cell>
          <cell r="Q368" t="str">
            <v>AF81LS</v>
          </cell>
          <cell r="Y368">
            <v>38470</v>
          </cell>
        </row>
        <row r="369">
          <cell r="P369" t="str">
            <v>AF8LS</v>
          </cell>
          <cell r="Q369" t="str">
            <v>AF89LS</v>
          </cell>
          <cell r="Y369">
            <v>75446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croframework-Ver.2"/>
      <sheetName val="Macroframework-Ver.1"/>
    </sheetNames>
    <sheetDataSet>
      <sheetData sheetId="0" refreshError="1"/>
      <sheetData sheetId="1">
        <row r="1">
          <cell r="A1">
            <v>1</v>
          </cell>
        </row>
        <row r="2">
          <cell r="A2">
            <v>2</v>
          </cell>
        </row>
        <row r="3">
          <cell r="A3">
            <v>3</v>
          </cell>
        </row>
        <row r="4">
          <cell r="A4">
            <v>4</v>
          </cell>
        </row>
        <row r="5">
          <cell r="A5">
            <v>5</v>
          </cell>
        </row>
        <row r="6">
          <cell r="A6">
            <v>6</v>
          </cell>
        </row>
        <row r="7">
          <cell r="A7">
            <v>7</v>
          </cell>
        </row>
        <row r="8">
          <cell r="A8">
            <v>8</v>
          </cell>
        </row>
        <row r="9">
          <cell r="A9">
            <v>9</v>
          </cell>
        </row>
        <row r="10">
          <cell r="A10">
            <v>10</v>
          </cell>
        </row>
        <row r="11">
          <cell r="A11">
            <v>11</v>
          </cell>
        </row>
        <row r="12">
          <cell r="A12">
            <v>12</v>
          </cell>
        </row>
        <row r="13">
          <cell r="A13">
            <v>13</v>
          </cell>
        </row>
        <row r="14">
          <cell r="A14">
            <v>14</v>
          </cell>
        </row>
        <row r="15">
          <cell r="A15">
            <v>15</v>
          </cell>
        </row>
        <row r="16">
          <cell r="A16">
            <v>16</v>
          </cell>
        </row>
        <row r="17">
          <cell r="A17">
            <v>17</v>
          </cell>
        </row>
        <row r="18">
          <cell r="A18">
            <v>18</v>
          </cell>
        </row>
        <row r="19">
          <cell r="A19">
            <v>19</v>
          </cell>
        </row>
        <row r="20">
          <cell r="A20">
            <v>20</v>
          </cell>
        </row>
        <row r="21">
          <cell r="A21">
            <v>21</v>
          </cell>
        </row>
        <row r="22">
          <cell r="A22">
            <v>22</v>
          </cell>
        </row>
        <row r="24">
          <cell r="A24">
            <v>23</v>
          </cell>
        </row>
        <row r="25">
          <cell r="A25">
            <v>24</v>
          </cell>
        </row>
        <row r="26">
          <cell r="A26">
            <v>25</v>
          </cell>
        </row>
        <row r="27">
          <cell r="A27">
            <v>26</v>
          </cell>
        </row>
        <row r="28">
          <cell r="A28">
            <v>27</v>
          </cell>
        </row>
        <row r="29">
          <cell r="A29">
            <v>28</v>
          </cell>
        </row>
        <row r="30">
          <cell r="A30">
            <v>29</v>
          </cell>
        </row>
        <row r="31">
          <cell r="A31">
            <v>30</v>
          </cell>
        </row>
        <row r="32">
          <cell r="A32">
            <v>31</v>
          </cell>
        </row>
        <row r="33">
          <cell r="A33">
            <v>32</v>
          </cell>
        </row>
        <row r="34">
          <cell r="A34">
            <v>33</v>
          </cell>
        </row>
        <row r="35">
          <cell r="A35">
            <v>34</v>
          </cell>
        </row>
        <row r="36">
          <cell r="A36">
            <v>35</v>
          </cell>
        </row>
        <row r="37">
          <cell r="A37">
            <v>36</v>
          </cell>
        </row>
        <row r="38">
          <cell r="A38">
            <v>37</v>
          </cell>
        </row>
        <row r="39">
          <cell r="A39">
            <v>38</v>
          </cell>
        </row>
        <row r="40">
          <cell r="A40">
            <v>39</v>
          </cell>
        </row>
        <row r="41">
          <cell r="A41">
            <v>40</v>
          </cell>
        </row>
        <row r="42">
          <cell r="A42">
            <v>41</v>
          </cell>
        </row>
        <row r="43">
          <cell r="A43">
            <v>42</v>
          </cell>
        </row>
        <row r="44">
          <cell r="A44">
            <v>43</v>
          </cell>
        </row>
        <row r="45">
          <cell r="A45">
            <v>44</v>
          </cell>
        </row>
        <row r="46">
          <cell r="A46">
            <v>45</v>
          </cell>
        </row>
        <row r="47">
          <cell r="A47">
            <v>46</v>
          </cell>
        </row>
        <row r="51">
          <cell r="A51">
            <v>47</v>
          </cell>
        </row>
        <row r="52">
          <cell r="A52">
            <v>48</v>
          </cell>
        </row>
        <row r="53">
          <cell r="A53">
            <v>49</v>
          </cell>
        </row>
        <row r="54">
          <cell r="A54">
            <v>50</v>
          </cell>
        </row>
        <row r="55">
          <cell r="A55">
            <v>51</v>
          </cell>
        </row>
        <row r="56">
          <cell r="A56">
            <v>52</v>
          </cell>
        </row>
        <row r="57">
          <cell r="A57">
            <v>53</v>
          </cell>
        </row>
        <row r="58">
          <cell r="A58">
            <v>54</v>
          </cell>
        </row>
        <row r="59">
          <cell r="A59">
            <v>55</v>
          </cell>
        </row>
        <row r="60">
          <cell r="A60">
            <v>56</v>
          </cell>
        </row>
        <row r="61">
          <cell r="A61">
            <v>57</v>
          </cell>
        </row>
        <row r="62">
          <cell r="A62">
            <v>58</v>
          </cell>
        </row>
        <row r="63">
          <cell r="A63">
            <v>59</v>
          </cell>
        </row>
        <row r="64">
          <cell r="A64">
            <v>60</v>
          </cell>
        </row>
        <row r="65">
          <cell r="A65">
            <v>61</v>
          </cell>
        </row>
        <row r="66">
          <cell r="A66">
            <v>62</v>
          </cell>
        </row>
        <row r="67">
          <cell r="A67">
            <v>63</v>
          </cell>
        </row>
        <row r="68">
          <cell r="A68">
            <v>64</v>
          </cell>
        </row>
        <row r="69">
          <cell r="A69">
            <v>65</v>
          </cell>
        </row>
        <row r="70">
          <cell r="A70">
            <v>66</v>
          </cell>
        </row>
        <row r="71">
          <cell r="A71">
            <v>67</v>
          </cell>
        </row>
        <row r="72">
          <cell r="A72">
            <v>68</v>
          </cell>
        </row>
        <row r="73">
          <cell r="A73">
            <v>69</v>
          </cell>
        </row>
        <row r="74">
          <cell r="A74">
            <v>70</v>
          </cell>
        </row>
        <row r="75">
          <cell r="A75">
            <v>71</v>
          </cell>
        </row>
        <row r="76">
          <cell r="A76">
            <v>72</v>
          </cell>
        </row>
        <row r="77">
          <cell r="A77">
            <v>73</v>
          </cell>
        </row>
        <row r="78">
          <cell r="A78">
            <v>74</v>
          </cell>
        </row>
        <row r="79">
          <cell r="A79">
            <v>75</v>
          </cell>
        </row>
        <row r="80">
          <cell r="A80">
            <v>76</v>
          </cell>
        </row>
        <row r="81">
          <cell r="A81">
            <v>77</v>
          </cell>
        </row>
        <row r="82">
          <cell r="A82">
            <v>78</v>
          </cell>
        </row>
        <row r="83">
          <cell r="A83">
            <v>79</v>
          </cell>
        </row>
        <row r="84">
          <cell r="A84">
            <v>80</v>
          </cell>
        </row>
        <row r="85">
          <cell r="A85">
            <v>81</v>
          </cell>
        </row>
        <row r="86">
          <cell r="A86">
            <v>82</v>
          </cell>
        </row>
        <row r="87">
          <cell r="A87">
            <v>83</v>
          </cell>
        </row>
        <row r="88">
          <cell r="A88">
            <v>84</v>
          </cell>
        </row>
        <row r="89">
          <cell r="A89">
            <v>85</v>
          </cell>
        </row>
        <row r="90">
          <cell r="A90">
            <v>86</v>
          </cell>
        </row>
        <row r="91">
          <cell r="A91">
            <v>87</v>
          </cell>
        </row>
        <row r="92">
          <cell r="A92">
            <v>88</v>
          </cell>
        </row>
        <row r="93">
          <cell r="A93">
            <v>89</v>
          </cell>
        </row>
        <row r="94">
          <cell r="A94">
            <v>90</v>
          </cell>
        </row>
        <row r="95">
          <cell r="A95">
            <v>91</v>
          </cell>
        </row>
        <row r="96">
          <cell r="A96">
            <v>92</v>
          </cell>
        </row>
        <row r="97">
          <cell r="A97">
            <v>93</v>
          </cell>
        </row>
        <row r="98">
          <cell r="A98">
            <v>94</v>
          </cell>
        </row>
        <row r="99">
          <cell r="A99">
            <v>95</v>
          </cell>
        </row>
        <row r="100">
          <cell r="A100">
            <v>96</v>
          </cell>
        </row>
        <row r="101">
          <cell r="A101">
            <v>97</v>
          </cell>
        </row>
        <row r="102">
          <cell r="A102">
            <v>98</v>
          </cell>
        </row>
        <row r="103">
          <cell r="A103">
            <v>99</v>
          </cell>
        </row>
        <row r="104">
          <cell r="A104">
            <v>100</v>
          </cell>
        </row>
        <row r="105">
          <cell r="A105">
            <v>101</v>
          </cell>
        </row>
        <row r="106">
          <cell r="A106">
            <v>102</v>
          </cell>
        </row>
        <row r="107">
          <cell r="A107">
            <v>103</v>
          </cell>
        </row>
        <row r="108">
          <cell r="A108">
            <v>104</v>
          </cell>
        </row>
        <row r="109">
          <cell r="A109">
            <v>105</v>
          </cell>
        </row>
        <row r="110">
          <cell r="A110">
            <v>106</v>
          </cell>
        </row>
        <row r="111">
          <cell r="A111">
            <v>107</v>
          </cell>
        </row>
        <row r="112">
          <cell r="A112">
            <v>108</v>
          </cell>
        </row>
        <row r="113">
          <cell r="A113">
            <v>109</v>
          </cell>
        </row>
        <row r="114">
          <cell r="A114">
            <v>110</v>
          </cell>
        </row>
        <row r="115">
          <cell r="A115">
            <v>111</v>
          </cell>
        </row>
        <row r="116">
          <cell r="A116">
            <v>112</v>
          </cell>
        </row>
        <row r="117">
          <cell r="A117">
            <v>113</v>
          </cell>
        </row>
        <row r="118">
          <cell r="A118">
            <v>114</v>
          </cell>
        </row>
        <row r="119">
          <cell r="A119">
            <v>115</v>
          </cell>
        </row>
        <row r="120">
          <cell r="A120">
            <v>116</v>
          </cell>
        </row>
        <row r="121">
          <cell r="A121">
            <v>117</v>
          </cell>
        </row>
        <row r="122">
          <cell r="A122">
            <v>118</v>
          </cell>
        </row>
        <row r="123">
          <cell r="A123">
            <v>119</v>
          </cell>
        </row>
        <row r="124">
          <cell r="A124">
            <v>120</v>
          </cell>
        </row>
        <row r="125">
          <cell r="A125">
            <v>121</v>
          </cell>
        </row>
        <row r="126">
          <cell r="A126">
            <v>122</v>
          </cell>
        </row>
        <row r="127">
          <cell r="A127">
            <v>123</v>
          </cell>
        </row>
        <row r="128">
          <cell r="A128">
            <v>124</v>
          </cell>
        </row>
        <row r="129">
          <cell r="A129">
            <v>125</v>
          </cell>
        </row>
        <row r="130">
          <cell r="A130">
            <v>126</v>
          </cell>
        </row>
        <row r="131">
          <cell r="A131">
            <v>127</v>
          </cell>
        </row>
        <row r="132">
          <cell r="A132">
            <v>128</v>
          </cell>
        </row>
        <row r="133">
          <cell r="A133">
            <v>129</v>
          </cell>
        </row>
        <row r="134">
          <cell r="A134">
            <v>130</v>
          </cell>
        </row>
        <row r="135">
          <cell r="A135">
            <v>131</v>
          </cell>
        </row>
        <row r="136">
          <cell r="A136">
            <v>132</v>
          </cell>
        </row>
        <row r="137">
          <cell r="A137">
            <v>133</v>
          </cell>
        </row>
        <row r="138">
          <cell r="A138">
            <v>134</v>
          </cell>
        </row>
        <row r="139">
          <cell r="A139">
            <v>135</v>
          </cell>
        </row>
        <row r="140">
          <cell r="A140">
            <v>136</v>
          </cell>
        </row>
        <row r="141">
          <cell r="A141">
            <v>137</v>
          </cell>
        </row>
        <row r="142">
          <cell r="A142">
            <v>138</v>
          </cell>
        </row>
        <row r="143">
          <cell r="A143">
            <v>139</v>
          </cell>
        </row>
        <row r="144">
          <cell r="A144">
            <v>140</v>
          </cell>
        </row>
        <row r="145">
          <cell r="A145">
            <v>141</v>
          </cell>
        </row>
        <row r="146">
          <cell r="A146">
            <v>142</v>
          </cell>
        </row>
        <row r="147">
          <cell r="A147">
            <v>143</v>
          </cell>
        </row>
        <row r="148">
          <cell r="A148">
            <v>144</v>
          </cell>
        </row>
        <row r="149">
          <cell r="A149">
            <v>145</v>
          </cell>
        </row>
        <row r="150">
          <cell r="A150">
            <v>146</v>
          </cell>
        </row>
        <row r="151">
          <cell r="A151">
            <v>147</v>
          </cell>
        </row>
        <row r="152">
          <cell r="A152">
            <v>148</v>
          </cell>
        </row>
        <row r="153">
          <cell r="A153">
            <v>149</v>
          </cell>
        </row>
        <row r="154">
          <cell r="A154">
            <v>150</v>
          </cell>
        </row>
        <row r="155">
          <cell r="A155">
            <v>151</v>
          </cell>
        </row>
        <row r="156">
          <cell r="A156">
            <v>152</v>
          </cell>
        </row>
        <row r="157">
          <cell r="A157">
            <v>153</v>
          </cell>
        </row>
        <row r="158">
          <cell r="A158">
            <v>154</v>
          </cell>
        </row>
        <row r="159">
          <cell r="A159">
            <v>155</v>
          </cell>
        </row>
        <row r="160">
          <cell r="A160">
            <v>156</v>
          </cell>
        </row>
        <row r="161">
          <cell r="A161">
            <v>157</v>
          </cell>
        </row>
        <row r="162">
          <cell r="A162">
            <v>158</v>
          </cell>
        </row>
        <row r="163">
          <cell r="A163">
            <v>159</v>
          </cell>
        </row>
        <row r="164">
          <cell r="A164">
            <v>160</v>
          </cell>
        </row>
        <row r="165">
          <cell r="A165">
            <v>161</v>
          </cell>
        </row>
        <row r="166">
          <cell r="A166">
            <v>162</v>
          </cell>
        </row>
        <row r="167">
          <cell r="A167">
            <v>163</v>
          </cell>
        </row>
        <row r="168">
          <cell r="A168">
            <v>164</v>
          </cell>
        </row>
        <row r="169">
          <cell r="A169">
            <v>165</v>
          </cell>
        </row>
        <row r="170">
          <cell r="A170">
            <v>166</v>
          </cell>
        </row>
        <row r="171">
          <cell r="A171">
            <v>167</v>
          </cell>
        </row>
        <row r="172">
          <cell r="A172">
            <v>168</v>
          </cell>
        </row>
        <row r="173">
          <cell r="A173">
            <v>169</v>
          </cell>
        </row>
        <row r="174">
          <cell r="A174">
            <v>170</v>
          </cell>
        </row>
        <row r="175">
          <cell r="A175">
            <v>171</v>
          </cell>
        </row>
        <row r="176">
          <cell r="A176">
            <v>172</v>
          </cell>
        </row>
        <row r="177">
          <cell r="A177">
            <v>173</v>
          </cell>
        </row>
        <row r="178">
          <cell r="A178">
            <v>174</v>
          </cell>
        </row>
        <row r="179">
          <cell r="A179">
            <v>175</v>
          </cell>
        </row>
        <row r="180">
          <cell r="A180">
            <v>176</v>
          </cell>
        </row>
        <row r="181">
          <cell r="A181">
            <v>177</v>
          </cell>
        </row>
        <row r="182">
          <cell r="A182">
            <v>178</v>
          </cell>
        </row>
        <row r="183">
          <cell r="A183">
            <v>179</v>
          </cell>
        </row>
        <row r="184">
          <cell r="A184">
            <v>180</v>
          </cell>
        </row>
        <row r="185">
          <cell r="A185">
            <v>181</v>
          </cell>
        </row>
        <row r="186">
          <cell r="A186">
            <v>182</v>
          </cell>
        </row>
        <row r="187">
          <cell r="A187">
            <v>183</v>
          </cell>
        </row>
        <row r="188">
          <cell r="A188">
            <v>184</v>
          </cell>
        </row>
        <row r="189">
          <cell r="A189">
            <v>185</v>
          </cell>
        </row>
        <row r="190">
          <cell r="A190">
            <v>186</v>
          </cell>
        </row>
        <row r="191">
          <cell r="A191">
            <v>187</v>
          </cell>
        </row>
        <row r="192">
          <cell r="A192">
            <v>188</v>
          </cell>
        </row>
        <row r="193">
          <cell r="A193">
            <v>189</v>
          </cell>
        </row>
        <row r="194">
          <cell r="A194">
            <v>190</v>
          </cell>
        </row>
        <row r="195">
          <cell r="A195">
            <v>191</v>
          </cell>
        </row>
        <row r="196">
          <cell r="A196">
            <v>192</v>
          </cell>
        </row>
        <row r="197">
          <cell r="A197">
            <v>193</v>
          </cell>
        </row>
        <row r="198">
          <cell r="A198">
            <v>194</v>
          </cell>
        </row>
        <row r="199">
          <cell r="A199">
            <v>195</v>
          </cell>
        </row>
        <row r="200">
          <cell r="A200">
            <v>196</v>
          </cell>
        </row>
        <row r="201">
          <cell r="A201">
            <v>197</v>
          </cell>
        </row>
        <row r="202">
          <cell r="A202">
            <v>198</v>
          </cell>
        </row>
        <row r="203">
          <cell r="A203">
            <v>199</v>
          </cell>
        </row>
        <row r="204">
          <cell r="A204">
            <v>200</v>
          </cell>
        </row>
        <row r="205">
          <cell r="A205">
            <v>201</v>
          </cell>
        </row>
        <row r="206">
          <cell r="A206">
            <v>202</v>
          </cell>
        </row>
        <row r="207">
          <cell r="A207">
            <v>203</v>
          </cell>
        </row>
        <row r="208">
          <cell r="A208">
            <v>204</v>
          </cell>
        </row>
        <row r="209">
          <cell r="A209">
            <v>205</v>
          </cell>
        </row>
        <row r="210">
          <cell r="A210">
            <v>206</v>
          </cell>
        </row>
        <row r="211">
          <cell r="A211">
            <v>207</v>
          </cell>
        </row>
        <row r="212">
          <cell r="A212">
            <v>208</v>
          </cell>
        </row>
        <row r="213">
          <cell r="A213">
            <v>209</v>
          </cell>
        </row>
        <row r="214">
          <cell r="A214">
            <v>210</v>
          </cell>
        </row>
        <row r="215">
          <cell r="A215">
            <v>211</v>
          </cell>
        </row>
        <row r="216">
          <cell r="A216">
            <v>212</v>
          </cell>
        </row>
        <row r="217">
          <cell r="A217">
            <v>213</v>
          </cell>
        </row>
        <row r="218">
          <cell r="A218">
            <v>214</v>
          </cell>
        </row>
        <row r="219">
          <cell r="A219">
            <v>215</v>
          </cell>
        </row>
        <row r="220">
          <cell r="A220">
            <v>216</v>
          </cell>
        </row>
        <row r="221">
          <cell r="A221">
            <v>217</v>
          </cell>
        </row>
        <row r="222">
          <cell r="A222">
            <v>218</v>
          </cell>
        </row>
        <row r="223">
          <cell r="A223">
            <v>219</v>
          </cell>
        </row>
        <row r="224">
          <cell r="A224">
            <v>220</v>
          </cell>
        </row>
        <row r="225">
          <cell r="A225">
            <v>221</v>
          </cell>
        </row>
        <row r="226">
          <cell r="A226">
            <v>222</v>
          </cell>
        </row>
        <row r="227">
          <cell r="A227">
            <v>223</v>
          </cell>
        </row>
        <row r="228">
          <cell r="A228">
            <v>224</v>
          </cell>
        </row>
        <row r="229">
          <cell r="A229">
            <v>225</v>
          </cell>
        </row>
        <row r="230">
          <cell r="A230">
            <v>226</v>
          </cell>
        </row>
        <row r="231">
          <cell r="A231">
            <v>227</v>
          </cell>
        </row>
        <row r="232">
          <cell r="A232">
            <v>228</v>
          </cell>
        </row>
        <row r="233">
          <cell r="A233">
            <v>229</v>
          </cell>
        </row>
        <row r="234">
          <cell r="A234">
            <v>230</v>
          </cell>
        </row>
        <row r="235">
          <cell r="A235">
            <v>231</v>
          </cell>
        </row>
        <row r="236">
          <cell r="A236">
            <v>232</v>
          </cell>
        </row>
        <row r="237">
          <cell r="A237">
            <v>233</v>
          </cell>
        </row>
        <row r="238">
          <cell r="A238">
            <v>234</v>
          </cell>
        </row>
        <row r="239">
          <cell r="A239">
            <v>235</v>
          </cell>
        </row>
        <row r="240">
          <cell r="A240">
            <v>236</v>
          </cell>
        </row>
        <row r="241">
          <cell r="A241">
            <v>237</v>
          </cell>
        </row>
        <row r="242">
          <cell r="A242">
            <v>238</v>
          </cell>
        </row>
        <row r="243">
          <cell r="A243">
            <v>239</v>
          </cell>
        </row>
        <row r="244">
          <cell r="A244">
            <v>240</v>
          </cell>
        </row>
        <row r="245">
          <cell r="A245">
            <v>241</v>
          </cell>
        </row>
        <row r="246">
          <cell r="A246">
            <v>242</v>
          </cell>
        </row>
        <row r="247">
          <cell r="A247">
            <v>243</v>
          </cell>
        </row>
        <row r="248">
          <cell r="A248">
            <v>244</v>
          </cell>
        </row>
        <row r="249">
          <cell r="A249">
            <v>245</v>
          </cell>
        </row>
        <row r="250">
          <cell r="A250">
            <v>246</v>
          </cell>
        </row>
        <row r="251">
          <cell r="A251">
            <v>247</v>
          </cell>
        </row>
        <row r="252">
          <cell r="A252">
            <v>248</v>
          </cell>
        </row>
        <row r="253">
          <cell r="A253">
            <v>249</v>
          </cell>
        </row>
        <row r="254">
          <cell r="A254">
            <v>250</v>
          </cell>
        </row>
        <row r="255">
          <cell r="A255">
            <v>251</v>
          </cell>
        </row>
        <row r="256">
          <cell r="A256">
            <v>252</v>
          </cell>
        </row>
        <row r="257">
          <cell r="A257">
            <v>253</v>
          </cell>
        </row>
        <row r="258">
          <cell r="A258">
            <v>254</v>
          </cell>
        </row>
        <row r="259">
          <cell r="A259">
            <v>255</v>
          </cell>
        </row>
        <row r="260">
          <cell r="A260">
            <v>256</v>
          </cell>
        </row>
        <row r="261">
          <cell r="A261">
            <v>257</v>
          </cell>
        </row>
        <row r="262">
          <cell r="A262">
            <v>258</v>
          </cell>
        </row>
        <row r="263">
          <cell r="A263">
            <v>259</v>
          </cell>
        </row>
        <row r="264">
          <cell r="A264">
            <v>260</v>
          </cell>
        </row>
        <row r="265">
          <cell r="A265">
            <v>261</v>
          </cell>
        </row>
        <row r="266">
          <cell r="A266">
            <v>262</v>
          </cell>
        </row>
        <row r="267">
          <cell r="A267">
            <v>263</v>
          </cell>
        </row>
      </sheetData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croframework-Ver.2"/>
      <sheetName val="Macroframework-Ver.1"/>
      <sheetName val="e9"/>
      <sheetName val="Main"/>
      <sheetName val="Links"/>
      <sheetName val="ErrCheck"/>
      <sheetName val="Contents"/>
    </sheetNames>
    <sheetDataSet>
      <sheetData sheetId="0" refreshError="1"/>
      <sheetData sheetId="1">
        <row r="1">
          <cell r="A1">
            <v>1</v>
          </cell>
        </row>
        <row r="2">
          <cell r="A2">
            <v>2</v>
          </cell>
        </row>
        <row r="3">
          <cell r="A3">
            <v>3</v>
          </cell>
        </row>
        <row r="4">
          <cell r="A4">
            <v>4</v>
          </cell>
        </row>
        <row r="5">
          <cell r="A5">
            <v>5</v>
          </cell>
        </row>
        <row r="6">
          <cell r="A6">
            <v>6</v>
          </cell>
        </row>
        <row r="7">
          <cell r="A7">
            <v>7</v>
          </cell>
        </row>
        <row r="8">
          <cell r="A8">
            <v>8</v>
          </cell>
        </row>
        <row r="9">
          <cell r="A9">
            <v>9</v>
          </cell>
        </row>
        <row r="10">
          <cell r="A10">
            <v>10</v>
          </cell>
        </row>
        <row r="11">
          <cell r="A11">
            <v>11</v>
          </cell>
        </row>
        <row r="12">
          <cell r="A12">
            <v>12</v>
          </cell>
        </row>
        <row r="13">
          <cell r="A13">
            <v>13</v>
          </cell>
        </row>
        <row r="14">
          <cell r="A14">
            <v>14</v>
          </cell>
        </row>
        <row r="15">
          <cell r="A15">
            <v>15</v>
          </cell>
        </row>
        <row r="16">
          <cell r="A16">
            <v>16</v>
          </cell>
        </row>
        <row r="17">
          <cell r="A17">
            <v>17</v>
          </cell>
        </row>
        <row r="18">
          <cell r="A18">
            <v>18</v>
          </cell>
        </row>
        <row r="19">
          <cell r="A19">
            <v>19</v>
          </cell>
        </row>
        <row r="20">
          <cell r="A20">
            <v>20</v>
          </cell>
        </row>
        <row r="21">
          <cell r="A21">
            <v>21</v>
          </cell>
        </row>
        <row r="22">
          <cell r="A22">
            <v>22</v>
          </cell>
        </row>
        <row r="24">
          <cell r="A24">
            <v>23</v>
          </cell>
        </row>
        <row r="25">
          <cell r="A25">
            <v>24</v>
          </cell>
        </row>
        <row r="26">
          <cell r="A26">
            <v>25</v>
          </cell>
        </row>
        <row r="27">
          <cell r="A27">
            <v>26</v>
          </cell>
        </row>
        <row r="28">
          <cell r="A28">
            <v>27</v>
          </cell>
        </row>
        <row r="29">
          <cell r="A29">
            <v>28</v>
          </cell>
        </row>
        <row r="30">
          <cell r="A30">
            <v>29</v>
          </cell>
        </row>
        <row r="31">
          <cell r="A31">
            <v>30</v>
          </cell>
        </row>
        <row r="32">
          <cell r="A32">
            <v>31</v>
          </cell>
        </row>
        <row r="33">
          <cell r="A33">
            <v>32</v>
          </cell>
        </row>
        <row r="34">
          <cell r="A34">
            <v>33</v>
          </cell>
        </row>
        <row r="35">
          <cell r="A35">
            <v>34</v>
          </cell>
        </row>
        <row r="36">
          <cell r="A36">
            <v>35</v>
          </cell>
        </row>
        <row r="37">
          <cell r="A37">
            <v>36</v>
          </cell>
        </row>
        <row r="38">
          <cell r="A38">
            <v>37</v>
          </cell>
        </row>
        <row r="39">
          <cell r="A39">
            <v>38</v>
          </cell>
        </row>
        <row r="40">
          <cell r="A40">
            <v>39</v>
          </cell>
        </row>
        <row r="41">
          <cell r="A41">
            <v>40</v>
          </cell>
        </row>
        <row r="42">
          <cell r="A42">
            <v>41</v>
          </cell>
        </row>
        <row r="43">
          <cell r="A43">
            <v>42</v>
          </cell>
        </row>
        <row r="44">
          <cell r="A44">
            <v>43</v>
          </cell>
        </row>
        <row r="45">
          <cell r="A45">
            <v>44</v>
          </cell>
        </row>
        <row r="46">
          <cell r="A46">
            <v>45</v>
          </cell>
        </row>
        <row r="47">
          <cell r="A47">
            <v>46</v>
          </cell>
        </row>
        <row r="51">
          <cell r="A51">
            <v>47</v>
          </cell>
        </row>
        <row r="52">
          <cell r="A52">
            <v>48</v>
          </cell>
        </row>
        <row r="53">
          <cell r="A53">
            <v>49</v>
          </cell>
        </row>
        <row r="54">
          <cell r="A54">
            <v>50</v>
          </cell>
        </row>
        <row r="55">
          <cell r="A55">
            <v>51</v>
          </cell>
        </row>
        <row r="56">
          <cell r="A56">
            <v>52</v>
          </cell>
        </row>
        <row r="57">
          <cell r="A57">
            <v>53</v>
          </cell>
        </row>
        <row r="58">
          <cell r="A58">
            <v>54</v>
          </cell>
        </row>
        <row r="59">
          <cell r="A59">
            <v>55</v>
          </cell>
        </row>
        <row r="60">
          <cell r="A60">
            <v>56</v>
          </cell>
        </row>
        <row r="61">
          <cell r="A61">
            <v>57</v>
          </cell>
        </row>
        <row r="62">
          <cell r="A62">
            <v>58</v>
          </cell>
        </row>
        <row r="63">
          <cell r="A63">
            <v>59</v>
          </cell>
        </row>
        <row r="64">
          <cell r="A64">
            <v>60</v>
          </cell>
        </row>
        <row r="65">
          <cell r="A65">
            <v>61</v>
          </cell>
        </row>
        <row r="66">
          <cell r="A66">
            <v>62</v>
          </cell>
        </row>
        <row r="67">
          <cell r="A67">
            <v>63</v>
          </cell>
        </row>
        <row r="68">
          <cell r="A68">
            <v>64</v>
          </cell>
        </row>
        <row r="69">
          <cell r="A69">
            <v>65</v>
          </cell>
        </row>
        <row r="70">
          <cell r="A70">
            <v>66</v>
          </cell>
        </row>
        <row r="71">
          <cell r="A71">
            <v>67</v>
          </cell>
        </row>
        <row r="72">
          <cell r="A72">
            <v>68</v>
          </cell>
        </row>
        <row r="73">
          <cell r="A73">
            <v>69</v>
          </cell>
        </row>
        <row r="74">
          <cell r="A74">
            <v>70</v>
          </cell>
        </row>
        <row r="75">
          <cell r="A75">
            <v>71</v>
          </cell>
        </row>
        <row r="76">
          <cell r="A76">
            <v>72</v>
          </cell>
        </row>
        <row r="77">
          <cell r="A77">
            <v>73</v>
          </cell>
        </row>
        <row r="78">
          <cell r="A78">
            <v>74</v>
          </cell>
        </row>
        <row r="79">
          <cell r="A79">
            <v>75</v>
          </cell>
        </row>
        <row r="80">
          <cell r="A80">
            <v>76</v>
          </cell>
        </row>
        <row r="81">
          <cell r="A81">
            <v>77</v>
          </cell>
        </row>
        <row r="82">
          <cell r="A82">
            <v>78</v>
          </cell>
        </row>
        <row r="83">
          <cell r="A83">
            <v>79</v>
          </cell>
        </row>
        <row r="84">
          <cell r="A84">
            <v>80</v>
          </cell>
        </row>
        <row r="85">
          <cell r="A85">
            <v>81</v>
          </cell>
        </row>
        <row r="86">
          <cell r="A86">
            <v>82</v>
          </cell>
        </row>
        <row r="87">
          <cell r="A87">
            <v>83</v>
          </cell>
        </row>
        <row r="88">
          <cell r="A88">
            <v>84</v>
          </cell>
        </row>
        <row r="89">
          <cell r="A89">
            <v>85</v>
          </cell>
        </row>
        <row r="90">
          <cell r="A90">
            <v>86</v>
          </cell>
        </row>
        <row r="91">
          <cell r="A91">
            <v>87</v>
          </cell>
        </row>
        <row r="92">
          <cell r="A92">
            <v>88</v>
          </cell>
        </row>
        <row r="93">
          <cell r="A93">
            <v>89</v>
          </cell>
        </row>
        <row r="94">
          <cell r="A94">
            <v>90</v>
          </cell>
        </row>
        <row r="95">
          <cell r="A95">
            <v>91</v>
          </cell>
        </row>
        <row r="96">
          <cell r="A96">
            <v>92</v>
          </cell>
        </row>
        <row r="97">
          <cell r="A97">
            <v>93</v>
          </cell>
        </row>
        <row r="98">
          <cell r="A98">
            <v>94</v>
          </cell>
        </row>
        <row r="99">
          <cell r="A99">
            <v>95</v>
          </cell>
        </row>
        <row r="100">
          <cell r="A100">
            <v>96</v>
          </cell>
        </row>
        <row r="101">
          <cell r="A101">
            <v>97</v>
          </cell>
        </row>
        <row r="102">
          <cell r="A102">
            <v>98</v>
          </cell>
        </row>
        <row r="103">
          <cell r="A103">
            <v>99</v>
          </cell>
        </row>
        <row r="104">
          <cell r="A104">
            <v>100</v>
          </cell>
        </row>
        <row r="105">
          <cell r="A105">
            <v>101</v>
          </cell>
        </row>
        <row r="106">
          <cell r="A106">
            <v>102</v>
          </cell>
        </row>
        <row r="107">
          <cell r="A107">
            <v>103</v>
          </cell>
        </row>
        <row r="108">
          <cell r="A108">
            <v>104</v>
          </cell>
        </row>
        <row r="109">
          <cell r="A109">
            <v>105</v>
          </cell>
        </row>
        <row r="110">
          <cell r="A110">
            <v>106</v>
          </cell>
        </row>
        <row r="111">
          <cell r="A111">
            <v>107</v>
          </cell>
        </row>
        <row r="112">
          <cell r="A112">
            <v>108</v>
          </cell>
        </row>
        <row r="113">
          <cell r="A113">
            <v>109</v>
          </cell>
        </row>
        <row r="114">
          <cell r="A114">
            <v>110</v>
          </cell>
        </row>
        <row r="115">
          <cell r="A115">
            <v>111</v>
          </cell>
        </row>
        <row r="116">
          <cell r="A116">
            <v>112</v>
          </cell>
        </row>
        <row r="117">
          <cell r="A117">
            <v>113</v>
          </cell>
        </row>
        <row r="118">
          <cell r="A118">
            <v>114</v>
          </cell>
        </row>
        <row r="119">
          <cell r="A119">
            <v>115</v>
          </cell>
        </row>
        <row r="120">
          <cell r="A120">
            <v>116</v>
          </cell>
        </row>
        <row r="121">
          <cell r="A121">
            <v>117</v>
          </cell>
        </row>
        <row r="122">
          <cell r="A122">
            <v>118</v>
          </cell>
        </row>
        <row r="123">
          <cell r="A123">
            <v>119</v>
          </cell>
        </row>
        <row r="124">
          <cell r="A124">
            <v>120</v>
          </cell>
        </row>
        <row r="125">
          <cell r="A125">
            <v>121</v>
          </cell>
        </row>
        <row r="126">
          <cell r="A126">
            <v>122</v>
          </cell>
        </row>
        <row r="127">
          <cell r="A127">
            <v>123</v>
          </cell>
        </row>
        <row r="128">
          <cell r="A128">
            <v>124</v>
          </cell>
        </row>
        <row r="129">
          <cell r="A129">
            <v>125</v>
          </cell>
        </row>
        <row r="130">
          <cell r="A130">
            <v>126</v>
          </cell>
        </row>
        <row r="131">
          <cell r="A131">
            <v>127</v>
          </cell>
        </row>
        <row r="132">
          <cell r="A132">
            <v>128</v>
          </cell>
        </row>
        <row r="133">
          <cell r="A133">
            <v>129</v>
          </cell>
        </row>
        <row r="134">
          <cell r="A134">
            <v>130</v>
          </cell>
        </row>
        <row r="135">
          <cell r="A135">
            <v>131</v>
          </cell>
        </row>
        <row r="136">
          <cell r="A136">
            <v>132</v>
          </cell>
        </row>
        <row r="137">
          <cell r="A137">
            <v>133</v>
          </cell>
        </row>
        <row r="138">
          <cell r="A138">
            <v>134</v>
          </cell>
        </row>
        <row r="139">
          <cell r="A139">
            <v>135</v>
          </cell>
        </row>
        <row r="140">
          <cell r="A140">
            <v>136</v>
          </cell>
        </row>
        <row r="141">
          <cell r="A141">
            <v>137</v>
          </cell>
        </row>
        <row r="142">
          <cell r="A142">
            <v>138</v>
          </cell>
        </row>
        <row r="143">
          <cell r="A143">
            <v>139</v>
          </cell>
        </row>
        <row r="144">
          <cell r="A144">
            <v>140</v>
          </cell>
        </row>
        <row r="145">
          <cell r="A145">
            <v>141</v>
          </cell>
        </row>
        <row r="146">
          <cell r="A146">
            <v>142</v>
          </cell>
        </row>
        <row r="147">
          <cell r="A147">
            <v>143</v>
          </cell>
        </row>
        <row r="148">
          <cell r="A148">
            <v>144</v>
          </cell>
        </row>
        <row r="149">
          <cell r="A149">
            <v>145</v>
          </cell>
        </row>
        <row r="150">
          <cell r="A150">
            <v>146</v>
          </cell>
        </row>
        <row r="151">
          <cell r="A151">
            <v>147</v>
          </cell>
        </row>
        <row r="152">
          <cell r="A152">
            <v>148</v>
          </cell>
        </row>
        <row r="153">
          <cell r="A153">
            <v>149</v>
          </cell>
        </row>
        <row r="154">
          <cell r="A154">
            <v>150</v>
          </cell>
        </row>
        <row r="155">
          <cell r="A155">
            <v>151</v>
          </cell>
        </row>
        <row r="156">
          <cell r="A156">
            <v>152</v>
          </cell>
        </row>
        <row r="157">
          <cell r="A157">
            <v>153</v>
          </cell>
        </row>
        <row r="158">
          <cell r="A158">
            <v>154</v>
          </cell>
        </row>
        <row r="159">
          <cell r="A159">
            <v>155</v>
          </cell>
        </row>
        <row r="160">
          <cell r="A160">
            <v>156</v>
          </cell>
        </row>
        <row r="161">
          <cell r="A161">
            <v>157</v>
          </cell>
        </row>
        <row r="162">
          <cell r="A162">
            <v>158</v>
          </cell>
        </row>
        <row r="163">
          <cell r="A163">
            <v>159</v>
          </cell>
        </row>
        <row r="164">
          <cell r="A164">
            <v>160</v>
          </cell>
        </row>
        <row r="165">
          <cell r="A165">
            <v>161</v>
          </cell>
        </row>
        <row r="166">
          <cell r="A166">
            <v>162</v>
          </cell>
        </row>
        <row r="167">
          <cell r="A167">
            <v>163</v>
          </cell>
        </row>
        <row r="168">
          <cell r="A168">
            <v>164</v>
          </cell>
        </row>
        <row r="169">
          <cell r="A169">
            <v>165</v>
          </cell>
        </row>
        <row r="170">
          <cell r="A170">
            <v>166</v>
          </cell>
        </row>
        <row r="171">
          <cell r="A171">
            <v>167</v>
          </cell>
        </row>
        <row r="172">
          <cell r="A172">
            <v>168</v>
          </cell>
        </row>
        <row r="173">
          <cell r="A173">
            <v>169</v>
          </cell>
        </row>
        <row r="174">
          <cell r="A174">
            <v>170</v>
          </cell>
        </row>
        <row r="175">
          <cell r="A175">
            <v>171</v>
          </cell>
        </row>
        <row r="176">
          <cell r="A176">
            <v>172</v>
          </cell>
        </row>
        <row r="177">
          <cell r="A177">
            <v>173</v>
          </cell>
        </row>
        <row r="178">
          <cell r="A178">
            <v>174</v>
          </cell>
        </row>
        <row r="179">
          <cell r="A179">
            <v>175</v>
          </cell>
        </row>
        <row r="180">
          <cell r="A180">
            <v>176</v>
          </cell>
        </row>
        <row r="181">
          <cell r="A181">
            <v>177</v>
          </cell>
        </row>
        <row r="182">
          <cell r="A182">
            <v>178</v>
          </cell>
        </row>
        <row r="183">
          <cell r="A183">
            <v>179</v>
          </cell>
        </row>
        <row r="184">
          <cell r="A184">
            <v>180</v>
          </cell>
        </row>
        <row r="185">
          <cell r="A185">
            <v>181</v>
          </cell>
        </row>
        <row r="186">
          <cell r="A186">
            <v>182</v>
          </cell>
        </row>
        <row r="187">
          <cell r="A187">
            <v>183</v>
          </cell>
        </row>
        <row r="188">
          <cell r="A188">
            <v>184</v>
          </cell>
        </row>
        <row r="189">
          <cell r="A189">
            <v>185</v>
          </cell>
        </row>
        <row r="190">
          <cell r="A190">
            <v>186</v>
          </cell>
        </row>
        <row r="191">
          <cell r="A191">
            <v>187</v>
          </cell>
        </row>
        <row r="192">
          <cell r="A192">
            <v>188</v>
          </cell>
        </row>
        <row r="193">
          <cell r="A193">
            <v>189</v>
          </cell>
        </row>
        <row r="194">
          <cell r="A194">
            <v>190</v>
          </cell>
        </row>
        <row r="195">
          <cell r="A195">
            <v>191</v>
          </cell>
        </row>
        <row r="196">
          <cell r="A196">
            <v>192</v>
          </cell>
        </row>
        <row r="197">
          <cell r="A197">
            <v>193</v>
          </cell>
        </row>
        <row r="198">
          <cell r="A198">
            <v>194</v>
          </cell>
        </row>
        <row r="199">
          <cell r="A199">
            <v>195</v>
          </cell>
        </row>
        <row r="200">
          <cell r="A200">
            <v>196</v>
          </cell>
        </row>
        <row r="201">
          <cell r="A201">
            <v>197</v>
          </cell>
        </row>
        <row r="202">
          <cell r="A202">
            <v>198</v>
          </cell>
        </row>
        <row r="203">
          <cell r="A203">
            <v>199</v>
          </cell>
        </row>
        <row r="204">
          <cell r="A204">
            <v>200</v>
          </cell>
        </row>
        <row r="205">
          <cell r="A205">
            <v>201</v>
          </cell>
        </row>
        <row r="206">
          <cell r="A206">
            <v>202</v>
          </cell>
        </row>
        <row r="207">
          <cell r="A207">
            <v>203</v>
          </cell>
        </row>
        <row r="208">
          <cell r="A208">
            <v>204</v>
          </cell>
        </row>
        <row r="209">
          <cell r="A209">
            <v>205</v>
          </cell>
        </row>
        <row r="210">
          <cell r="A210">
            <v>206</v>
          </cell>
        </row>
        <row r="211">
          <cell r="A211">
            <v>207</v>
          </cell>
        </row>
        <row r="212">
          <cell r="A212">
            <v>208</v>
          </cell>
        </row>
        <row r="213">
          <cell r="A213">
            <v>209</v>
          </cell>
        </row>
        <row r="214">
          <cell r="A214">
            <v>210</v>
          </cell>
        </row>
        <row r="215">
          <cell r="A215">
            <v>211</v>
          </cell>
        </row>
        <row r="216">
          <cell r="A216">
            <v>212</v>
          </cell>
        </row>
        <row r="217">
          <cell r="A217">
            <v>213</v>
          </cell>
        </row>
        <row r="218">
          <cell r="A218">
            <v>214</v>
          </cell>
        </row>
        <row r="219">
          <cell r="A219">
            <v>215</v>
          </cell>
        </row>
        <row r="220">
          <cell r="A220">
            <v>216</v>
          </cell>
        </row>
        <row r="221">
          <cell r="A221">
            <v>217</v>
          </cell>
        </row>
        <row r="222">
          <cell r="A222">
            <v>218</v>
          </cell>
        </row>
        <row r="223">
          <cell r="A223">
            <v>219</v>
          </cell>
        </row>
        <row r="224">
          <cell r="A224">
            <v>220</v>
          </cell>
        </row>
        <row r="225">
          <cell r="A225">
            <v>221</v>
          </cell>
        </row>
        <row r="226">
          <cell r="A226">
            <v>222</v>
          </cell>
        </row>
        <row r="227">
          <cell r="A227">
            <v>223</v>
          </cell>
        </row>
        <row r="228">
          <cell r="A228">
            <v>224</v>
          </cell>
        </row>
        <row r="229">
          <cell r="A229">
            <v>225</v>
          </cell>
        </row>
        <row r="230">
          <cell r="A230">
            <v>226</v>
          </cell>
        </row>
        <row r="231">
          <cell r="A231">
            <v>227</v>
          </cell>
        </row>
        <row r="232">
          <cell r="A232">
            <v>228</v>
          </cell>
        </row>
        <row r="233">
          <cell r="A233">
            <v>229</v>
          </cell>
        </row>
        <row r="234">
          <cell r="A234">
            <v>230</v>
          </cell>
        </row>
        <row r="235">
          <cell r="A235">
            <v>231</v>
          </cell>
        </row>
        <row r="236">
          <cell r="A236">
            <v>232</v>
          </cell>
        </row>
        <row r="237">
          <cell r="A237">
            <v>233</v>
          </cell>
        </row>
        <row r="238">
          <cell r="A238">
            <v>234</v>
          </cell>
        </row>
        <row r="239">
          <cell r="A239">
            <v>235</v>
          </cell>
        </row>
        <row r="240">
          <cell r="A240">
            <v>236</v>
          </cell>
        </row>
        <row r="241">
          <cell r="A241">
            <v>237</v>
          </cell>
        </row>
        <row r="242">
          <cell r="A242">
            <v>238</v>
          </cell>
        </row>
        <row r="243">
          <cell r="A243">
            <v>239</v>
          </cell>
        </row>
        <row r="244">
          <cell r="A244">
            <v>240</v>
          </cell>
        </row>
        <row r="245">
          <cell r="A245">
            <v>241</v>
          </cell>
        </row>
        <row r="246">
          <cell r="A246">
            <v>242</v>
          </cell>
        </row>
        <row r="247">
          <cell r="A247">
            <v>243</v>
          </cell>
        </row>
        <row r="248">
          <cell r="A248">
            <v>244</v>
          </cell>
        </row>
        <row r="249">
          <cell r="A249">
            <v>245</v>
          </cell>
        </row>
        <row r="250">
          <cell r="A250">
            <v>246</v>
          </cell>
        </row>
        <row r="251">
          <cell r="A251">
            <v>247</v>
          </cell>
        </row>
        <row r="252">
          <cell r="A252">
            <v>248</v>
          </cell>
        </row>
        <row r="253">
          <cell r="A253">
            <v>249</v>
          </cell>
        </row>
        <row r="254">
          <cell r="A254">
            <v>250</v>
          </cell>
        </row>
        <row r="255">
          <cell r="A255">
            <v>251</v>
          </cell>
        </row>
        <row r="256">
          <cell r="A256">
            <v>252</v>
          </cell>
        </row>
        <row r="257">
          <cell r="A257">
            <v>253</v>
          </cell>
        </row>
        <row r="258">
          <cell r="A258">
            <v>254</v>
          </cell>
        </row>
        <row r="259">
          <cell r="A259">
            <v>255</v>
          </cell>
        </row>
        <row r="260">
          <cell r="A260">
            <v>256</v>
          </cell>
        </row>
        <row r="261">
          <cell r="A261">
            <v>257</v>
          </cell>
        </row>
        <row r="262">
          <cell r="A262">
            <v>258</v>
          </cell>
        </row>
        <row r="263">
          <cell r="A263">
            <v>259</v>
          </cell>
        </row>
        <row r="264">
          <cell r="A264">
            <v>260</v>
          </cell>
        </row>
        <row r="265">
          <cell r="A265">
            <v>261</v>
          </cell>
        </row>
        <row r="266">
          <cell r="A266">
            <v>262</v>
          </cell>
        </row>
        <row r="267">
          <cell r="A267">
            <v>263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croframework-Ver.2"/>
      <sheetName val="Macroframework-Ver.1"/>
      <sheetName val="e9"/>
      <sheetName val="Main"/>
      <sheetName val="Links"/>
      <sheetName val="ErrCheck"/>
      <sheetName val="Contents"/>
    </sheetNames>
    <sheetDataSet>
      <sheetData sheetId="0" refreshError="1"/>
      <sheetData sheetId="1">
        <row r="1">
          <cell r="A1">
            <v>1</v>
          </cell>
        </row>
        <row r="2">
          <cell r="A2">
            <v>2</v>
          </cell>
        </row>
        <row r="3">
          <cell r="A3">
            <v>3</v>
          </cell>
        </row>
        <row r="4">
          <cell r="A4">
            <v>4</v>
          </cell>
        </row>
        <row r="5">
          <cell r="A5">
            <v>5</v>
          </cell>
        </row>
        <row r="6">
          <cell r="A6">
            <v>6</v>
          </cell>
        </row>
        <row r="7">
          <cell r="A7">
            <v>7</v>
          </cell>
        </row>
        <row r="8">
          <cell r="A8">
            <v>8</v>
          </cell>
        </row>
        <row r="9">
          <cell r="A9">
            <v>9</v>
          </cell>
        </row>
        <row r="10">
          <cell r="A10">
            <v>10</v>
          </cell>
        </row>
        <row r="11">
          <cell r="A11">
            <v>11</v>
          </cell>
        </row>
        <row r="12">
          <cell r="A12">
            <v>12</v>
          </cell>
        </row>
        <row r="13">
          <cell r="A13">
            <v>13</v>
          </cell>
        </row>
        <row r="14">
          <cell r="A14">
            <v>14</v>
          </cell>
        </row>
        <row r="15">
          <cell r="A15">
            <v>15</v>
          </cell>
        </row>
        <row r="16">
          <cell r="A16">
            <v>16</v>
          </cell>
        </row>
        <row r="17">
          <cell r="A17">
            <v>17</v>
          </cell>
        </row>
        <row r="18">
          <cell r="A18">
            <v>18</v>
          </cell>
        </row>
        <row r="19">
          <cell r="A19">
            <v>19</v>
          </cell>
        </row>
        <row r="20">
          <cell r="A20">
            <v>20</v>
          </cell>
        </row>
        <row r="21">
          <cell r="A21">
            <v>21</v>
          </cell>
        </row>
        <row r="22">
          <cell r="A22">
            <v>22</v>
          </cell>
        </row>
        <row r="24">
          <cell r="A24">
            <v>23</v>
          </cell>
        </row>
        <row r="25">
          <cell r="A25">
            <v>24</v>
          </cell>
        </row>
        <row r="26">
          <cell r="A26">
            <v>25</v>
          </cell>
        </row>
        <row r="27">
          <cell r="A27">
            <v>26</v>
          </cell>
        </row>
        <row r="28">
          <cell r="A28">
            <v>27</v>
          </cell>
        </row>
        <row r="29">
          <cell r="A29">
            <v>28</v>
          </cell>
        </row>
        <row r="30">
          <cell r="A30">
            <v>29</v>
          </cell>
        </row>
        <row r="31">
          <cell r="A31">
            <v>30</v>
          </cell>
        </row>
        <row r="32">
          <cell r="A32">
            <v>31</v>
          </cell>
        </row>
        <row r="33">
          <cell r="A33">
            <v>32</v>
          </cell>
        </row>
        <row r="34">
          <cell r="A34">
            <v>33</v>
          </cell>
        </row>
        <row r="35">
          <cell r="A35">
            <v>34</v>
          </cell>
        </row>
        <row r="36">
          <cell r="A36">
            <v>35</v>
          </cell>
        </row>
        <row r="37">
          <cell r="A37">
            <v>36</v>
          </cell>
        </row>
        <row r="38">
          <cell r="A38">
            <v>37</v>
          </cell>
        </row>
        <row r="39">
          <cell r="A39">
            <v>38</v>
          </cell>
        </row>
        <row r="40">
          <cell r="A40">
            <v>39</v>
          </cell>
        </row>
        <row r="41">
          <cell r="A41">
            <v>40</v>
          </cell>
        </row>
        <row r="42">
          <cell r="A42">
            <v>41</v>
          </cell>
        </row>
        <row r="43">
          <cell r="A43">
            <v>42</v>
          </cell>
        </row>
        <row r="44">
          <cell r="A44">
            <v>43</v>
          </cell>
        </row>
        <row r="45">
          <cell r="A45">
            <v>44</v>
          </cell>
        </row>
        <row r="46">
          <cell r="A46">
            <v>45</v>
          </cell>
        </row>
        <row r="47">
          <cell r="A47">
            <v>46</v>
          </cell>
        </row>
        <row r="51">
          <cell r="A51">
            <v>47</v>
          </cell>
        </row>
        <row r="52">
          <cell r="A52">
            <v>48</v>
          </cell>
        </row>
        <row r="53">
          <cell r="A53">
            <v>49</v>
          </cell>
        </row>
        <row r="54">
          <cell r="A54">
            <v>50</v>
          </cell>
        </row>
        <row r="55">
          <cell r="A55">
            <v>51</v>
          </cell>
        </row>
        <row r="56">
          <cell r="A56">
            <v>52</v>
          </cell>
        </row>
        <row r="57">
          <cell r="A57">
            <v>53</v>
          </cell>
        </row>
        <row r="58">
          <cell r="A58">
            <v>54</v>
          </cell>
        </row>
        <row r="59">
          <cell r="A59">
            <v>55</v>
          </cell>
        </row>
        <row r="60">
          <cell r="A60">
            <v>56</v>
          </cell>
        </row>
        <row r="61">
          <cell r="A61">
            <v>57</v>
          </cell>
        </row>
        <row r="62">
          <cell r="A62">
            <v>58</v>
          </cell>
        </row>
        <row r="63">
          <cell r="A63">
            <v>59</v>
          </cell>
        </row>
        <row r="64">
          <cell r="A64">
            <v>60</v>
          </cell>
        </row>
        <row r="65">
          <cell r="A65">
            <v>61</v>
          </cell>
        </row>
        <row r="66">
          <cell r="A66">
            <v>62</v>
          </cell>
        </row>
        <row r="67">
          <cell r="A67">
            <v>63</v>
          </cell>
        </row>
        <row r="68">
          <cell r="A68">
            <v>64</v>
          </cell>
        </row>
        <row r="69">
          <cell r="A69">
            <v>65</v>
          </cell>
        </row>
        <row r="70">
          <cell r="A70">
            <v>66</v>
          </cell>
        </row>
        <row r="71">
          <cell r="A71">
            <v>67</v>
          </cell>
        </row>
        <row r="72">
          <cell r="A72">
            <v>68</v>
          </cell>
        </row>
        <row r="73">
          <cell r="A73">
            <v>69</v>
          </cell>
        </row>
        <row r="74">
          <cell r="A74">
            <v>70</v>
          </cell>
        </row>
        <row r="75">
          <cell r="A75">
            <v>71</v>
          </cell>
        </row>
        <row r="76">
          <cell r="A76">
            <v>72</v>
          </cell>
        </row>
        <row r="77">
          <cell r="A77">
            <v>73</v>
          </cell>
        </row>
        <row r="78">
          <cell r="A78">
            <v>74</v>
          </cell>
        </row>
        <row r="79">
          <cell r="A79">
            <v>75</v>
          </cell>
        </row>
        <row r="80">
          <cell r="A80">
            <v>76</v>
          </cell>
        </row>
        <row r="81">
          <cell r="A81">
            <v>77</v>
          </cell>
        </row>
        <row r="82">
          <cell r="A82">
            <v>78</v>
          </cell>
        </row>
        <row r="83">
          <cell r="A83">
            <v>79</v>
          </cell>
        </row>
        <row r="84">
          <cell r="A84">
            <v>80</v>
          </cell>
        </row>
        <row r="85">
          <cell r="A85">
            <v>81</v>
          </cell>
        </row>
        <row r="86">
          <cell r="A86">
            <v>82</v>
          </cell>
        </row>
        <row r="87">
          <cell r="A87">
            <v>83</v>
          </cell>
        </row>
        <row r="88">
          <cell r="A88">
            <v>84</v>
          </cell>
        </row>
        <row r="89">
          <cell r="A89">
            <v>85</v>
          </cell>
        </row>
        <row r="90">
          <cell r="A90">
            <v>86</v>
          </cell>
        </row>
        <row r="91">
          <cell r="A91">
            <v>87</v>
          </cell>
        </row>
        <row r="92">
          <cell r="A92">
            <v>88</v>
          </cell>
        </row>
        <row r="93">
          <cell r="A93">
            <v>89</v>
          </cell>
        </row>
        <row r="94">
          <cell r="A94">
            <v>90</v>
          </cell>
        </row>
        <row r="95">
          <cell r="A95">
            <v>91</v>
          </cell>
        </row>
        <row r="96">
          <cell r="A96">
            <v>92</v>
          </cell>
        </row>
        <row r="97">
          <cell r="A97">
            <v>93</v>
          </cell>
        </row>
        <row r="98">
          <cell r="A98">
            <v>94</v>
          </cell>
        </row>
        <row r="99">
          <cell r="A99">
            <v>95</v>
          </cell>
        </row>
        <row r="100">
          <cell r="A100">
            <v>96</v>
          </cell>
        </row>
        <row r="101">
          <cell r="A101">
            <v>97</v>
          </cell>
        </row>
        <row r="102">
          <cell r="A102">
            <v>98</v>
          </cell>
        </row>
        <row r="103">
          <cell r="A103">
            <v>99</v>
          </cell>
        </row>
        <row r="104">
          <cell r="A104">
            <v>100</v>
          </cell>
        </row>
        <row r="105">
          <cell r="A105">
            <v>101</v>
          </cell>
        </row>
        <row r="106">
          <cell r="A106">
            <v>102</v>
          </cell>
        </row>
        <row r="107">
          <cell r="A107">
            <v>103</v>
          </cell>
        </row>
        <row r="108">
          <cell r="A108">
            <v>104</v>
          </cell>
        </row>
        <row r="109">
          <cell r="A109">
            <v>105</v>
          </cell>
        </row>
        <row r="110">
          <cell r="A110">
            <v>106</v>
          </cell>
        </row>
        <row r="111">
          <cell r="A111">
            <v>107</v>
          </cell>
        </row>
        <row r="112">
          <cell r="A112">
            <v>108</v>
          </cell>
        </row>
        <row r="113">
          <cell r="A113">
            <v>109</v>
          </cell>
        </row>
        <row r="114">
          <cell r="A114">
            <v>110</v>
          </cell>
        </row>
        <row r="115">
          <cell r="A115">
            <v>111</v>
          </cell>
        </row>
        <row r="116">
          <cell r="A116">
            <v>112</v>
          </cell>
        </row>
        <row r="117">
          <cell r="A117">
            <v>113</v>
          </cell>
        </row>
        <row r="118">
          <cell r="A118">
            <v>114</v>
          </cell>
        </row>
        <row r="119">
          <cell r="A119">
            <v>115</v>
          </cell>
        </row>
        <row r="120">
          <cell r="A120">
            <v>116</v>
          </cell>
        </row>
        <row r="121">
          <cell r="A121">
            <v>117</v>
          </cell>
        </row>
        <row r="122">
          <cell r="A122">
            <v>118</v>
          </cell>
        </row>
        <row r="123">
          <cell r="A123">
            <v>119</v>
          </cell>
        </row>
        <row r="124">
          <cell r="A124">
            <v>120</v>
          </cell>
        </row>
        <row r="125">
          <cell r="A125">
            <v>121</v>
          </cell>
        </row>
        <row r="126">
          <cell r="A126">
            <v>122</v>
          </cell>
        </row>
        <row r="127">
          <cell r="A127">
            <v>123</v>
          </cell>
        </row>
        <row r="128">
          <cell r="A128">
            <v>124</v>
          </cell>
        </row>
        <row r="129">
          <cell r="A129">
            <v>125</v>
          </cell>
        </row>
        <row r="130">
          <cell r="A130">
            <v>126</v>
          </cell>
        </row>
        <row r="131">
          <cell r="A131">
            <v>127</v>
          </cell>
        </row>
        <row r="132">
          <cell r="A132">
            <v>128</v>
          </cell>
        </row>
        <row r="133">
          <cell r="A133">
            <v>129</v>
          </cell>
        </row>
        <row r="134">
          <cell r="A134">
            <v>130</v>
          </cell>
        </row>
        <row r="135">
          <cell r="A135">
            <v>131</v>
          </cell>
        </row>
        <row r="136">
          <cell r="A136">
            <v>132</v>
          </cell>
        </row>
        <row r="137">
          <cell r="A137">
            <v>133</v>
          </cell>
        </row>
        <row r="138">
          <cell r="A138">
            <v>134</v>
          </cell>
        </row>
        <row r="139">
          <cell r="A139">
            <v>135</v>
          </cell>
        </row>
        <row r="140">
          <cell r="A140">
            <v>136</v>
          </cell>
        </row>
        <row r="141">
          <cell r="A141">
            <v>137</v>
          </cell>
        </row>
        <row r="142">
          <cell r="A142">
            <v>138</v>
          </cell>
        </row>
        <row r="143">
          <cell r="A143">
            <v>139</v>
          </cell>
        </row>
        <row r="144">
          <cell r="A144">
            <v>140</v>
          </cell>
        </row>
        <row r="145">
          <cell r="A145">
            <v>141</v>
          </cell>
        </row>
        <row r="146">
          <cell r="A146">
            <v>142</v>
          </cell>
        </row>
        <row r="147">
          <cell r="A147">
            <v>143</v>
          </cell>
        </row>
        <row r="148">
          <cell r="A148">
            <v>144</v>
          </cell>
        </row>
        <row r="149">
          <cell r="A149">
            <v>145</v>
          </cell>
        </row>
        <row r="150">
          <cell r="A150">
            <v>146</v>
          </cell>
        </row>
        <row r="151">
          <cell r="A151">
            <v>147</v>
          </cell>
        </row>
        <row r="152">
          <cell r="A152">
            <v>148</v>
          </cell>
        </row>
        <row r="153">
          <cell r="A153">
            <v>149</v>
          </cell>
        </row>
        <row r="154">
          <cell r="A154">
            <v>150</v>
          </cell>
        </row>
        <row r="155">
          <cell r="A155">
            <v>151</v>
          </cell>
        </row>
        <row r="156">
          <cell r="A156">
            <v>152</v>
          </cell>
        </row>
        <row r="157">
          <cell r="A157">
            <v>153</v>
          </cell>
        </row>
        <row r="158">
          <cell r="A158">
            <v>154</v>
          </cell>
        </row>
        <row r="159">
          <cell r="A159">
            <v>155</v>
          </cell>
        </row>
        <row r="160">
          <cell r="A160">
            <v>156</v>
          </cell>
        </row>
        <row r="161">
          <cell r="A161">
            <v>157</v>
          </cell>
        </row>
        <row r="162">
          <cell r="A162">
            <v>158</v>
          </cell>
        </row>
        <row r="163">
          <cell r="A163">
            <v>159</v>
          </cell>
        </row>
        <row r="164">
          <cell r="A164">
            <v>160</v>
          </cell>
        </row>
        <row r="165">
          <cell r="A165">
            <v>161</v>
          </cell>
        </row>
        <row r="166">
          <cell r="A166">
            <v>162</v>
          </cell>
        </row>
        <row r="167">
          <cell r="A167">
            <v>163</v>
          </cell>
        </row>
        <row r="168">
          <cell r="A168">
            <v>164</v>
          </cell>
        </row>
        <row r="169">
          <cell r="A169">
            <v>165</v>
          </cell>
        </row>
        <row r="170">
          <cell r="A170">
            <v>166</v>
          </cell>
        </row>
        <row r="171">
          <cell r="A171">
            <v>167</v>
          </cell>
        </row>
        <row r="172">
          <cell r="A172">
            <v>168</v>
          </cell>
        </row>
        <row r="173">
          <cell r="A173">
            <v>169</v>
          </cell>
        </row>
        <row r="174">
          <cell r="A174">
            <v>170</v>
          </cell>
        </row>
        <row r="175">
          <cell r="A175">
            <v>171</v>
          </cell>
        </row>
        <row r="176">
          <cell r="A176">
            <v>172</v>
          </cell>
        </row>
        <row r="177">
          <cell r="A177">
            <v>173</v>
          </cell>
        </row>
        <row r="178">
          <cell r="A178">
            <v>174</v>
          </cell>
        </row>
        <row r="179">
          <cell r="A179">
            <v>175</v>
          </cell>
        </row>
        <row r="180">
          <cell r="A180">
            <v>176</v>
          </cell>
        </row>
        <row r="181">
          <cell r="A181">
            <v>177</v>
          </cell>
        </row>
        <row r="182">
          <cell r="A182">
            <v>178</v>
          </cell>
        </row>
        <row r="183">
          <cell r="A183">
            <v>179</v>
          </cell>
        </row>
        <row r="184">
          <cell r="A184">
            <v>180</v>
          </cell>
        </row>
        <row r="185">
          <cell r="A185">
            <v>181</v>
          </cell>
        </row>
        <row r="186">
          <cell r="A186">
            <v>182</v>
          </cell>
        </row>
        <row r="187">
          <cell r="A187">
            <v>183</v>
          </cell>
        </row>
        <row r="188">
          <cell r="A188">
            <v>184</v>
          </cell>
        </row>
        <row r="189">
          <cell r="A189">
            <v>185</v>
          </cell>
        </row>
        <row r="190">
          <cell r="A190">
            <v>186</v>
          </cell>
        </row>
        <row r="191">
          <cell r="A191">
            <v>187</v>
          </cell>
        </row>
        <row r="192">
          <cell r="A192">
            <v>188</v>
          </cell>
        </row>
        <row r="193">
          <cell r="A193">
            <v>189</v>
          </cell>
        </row>
        <row r="194">
          <cell r="A194">
            <v>190</v>
          </cell>
        </row>
        <row r="195">
          <cell r="A195">
            <v>191</v>
          </cell>
        </row>
        <row r="196">
          <cell r="A196">
            <v>192</v>
          </cell>
        </row>
        <row r="197">
          <cell r="A197">
            <v>193</v>
          </cell>
        </row>
        <row r="198">
          <cell r="A198">
            <v>194</v>
          </cell>
        </row>
        <row r="199">
          <cell r="A199">
            <v>195</v>
          </cell>
        </row>
        <row r="200">
          <cell r="A200">
            <v>196</v>
          </cell>
        </row>
        <row r="201">
          <cell r="A201">
            <v>197</v>
          </cell>
        </row>
        <row r="202">
          <cell r="A202">
            <v>198</v>
          </cell>
        </row>
        <row r="203">
          <cell r="A203">
            <v>199</v>
          </cell>
        </row>
        <row r="204">
          <cell r="A204">
            <v>200</v>
          </cell>
        </row>
        <row r="205">
          <cell r="A205">
            <v>201</v>
          </cell>
        </row>
        <row r="206">
          <cell r="A206">
            <v>202</v>
          </cell>
        </row>
        <row r="207">
          <cell r="A207">
            <v>203</v>
          </cell>
        </row>
        <row r="208">
          <cell r="A208">
            <v>204</v>
          </cell>
        </row>
        <row r="209">
          <cell r="A209">
            <v>205</v>
          </cell>
        </row>
        <row r="210">
          <cell r="A210">
            <v>206</v>
          </cell>
        </row>
        <row r="211">
          <cell r="A211">
            <v>207</v>
          </cell>
        </row>
        <row r="212">
          <cell r="A212">
            <v>208</v>
          </cell>
        </row>
        <row r="213">
          <cell r="A213">
            <v>209</v>
          </cell>
        </row>
        <row r="214">
          <cell r="A214">
            <v>210</v>
          </cell>
        </row>
        <row r="215">
          <cell r="A215">
            <v>211</v>
          </cell>
        </row>
        <row r="216">
          <cell r="A216">
            <v>212</v>
          </cell>
        </row>
        <row r="217">
          <cell r="A217">
            <v>213</v>
          </cell>
        </row>
        <row r="218">
          <cell r="A218">
            <v>214</v>
          </cell>
        </row>
        <row r="219">
          <cell r="A219">
            <v>215</v>
          </cell>
        </row>
        <row r="220">
          <cell r="A220">
            <v>216</v>
          </cell>
        </row>
        <row r="221">
          <cell r="A221">
            <v>217</v>
          </cell>
        </row>
        <row r="222">
          <cell r="A222">
            <v>218</v>
          </cell>
        </row>
        <row r="223">
          <cell r="A223">
            <v>219</v>
          </cell>
        </row>
        <row r="224">
          <cell r="A224">
            <v>220</v>
          </cell>
        </row>
        <row r="225">
          <cell r="A225">
            <v>221</v>
          </cell>
        </row>
        <row r="226">
          <cell r="A226">
            <v>222</v>
          </cell>
        </row>
        <row r="227">
          <cell r="A227">
            <v>223</v>
          </cell>
        </row>
        <row r="228">
          <cell r="A228">
            <v>224</v>
          </cell>
        </row>
        <row r="229">
          <cell r="A229">
            <v>225</v>
          </cell>
        </row>
        <row r="230">
          <cell r="A230">
            <v>226</v>
          </cell>
        </row>
        <row r="231">
          <cell r="A231">
            <v>227</v>
          </cell>
        </row>
        <row r="232">
          <cell r="A232">
            <v>228</v>
          </cell>
        </row>
        <row r="233">
          <cell r="A233">
            <v>229</v>
          </cell>
        </row>
        <row r="234">
          <cell r="A234">
            <v>230</v>
          </cell>
        </row>
        <row r="235">
          <cell r="A235">
            <v>231</v>
          </cell>
        </row>
        <row r="236">
          <cell r="A236">
            <v>232</v>
          </cell>
        </row>
        <row r="237">
          <cell r="A237">
            <v>233</v>
          </cell>
        </row>
        <row r="238">
          <cell r="A238">
            <v>234</v>
          </cell>
        </row>
        <row r="239">
          <cell r="A239">
            <v>235</v>
          </cell>
        </row>
        <row r="240">
          <cell r="A240">
            <v>236</v>
          </cell>
        </row>
        <row r="241">
          <cell r="A241">
            <v>237</v>
          </cell>
        </row>
        <row r="242">
          <cell r="A242">
            <v>238</v>
          </cell>
        </row>
        <row r="243">
          <cell r="A243">
            <v>239</v>
          </cell>
        </row>
        <row r="244">
          <cell r="A244">
            <v>240</v>
          </cell>
        </row>
        <row r="245">
          <cell r="A245">
            <v>241</v>
          </cell>
        </row>
        <row r="246">
          <cell r="A246">
            <v>242</v>
          </cell>
        </row>
        <row r="247">
          <cell r="A247">
            <v>243</v>
          </cell>
        </row>
        <row r="248">
          <cell r="A248">
            <v>244</v>
          </cell>
        </row>
        <row r="249">
          <cell r="A249">
            <v>245</v>
          </cell>
        </row>
        <row r="250">
          <cell r="A250">
            <v>246</v>
          </cell>
        </row>
        <row r="251">
          <cell r="A251">
            <v>247</v>
          </cell>
        </row>
        <row r="252">
          <cell r="A252">
            <v>248</v>
          </cell>
        </row>
        <row r="253">
          <cell r="A253">
            <v>249</v>
          </cell>
        </row>
        <row r="254">
          <cell r="A254">
            <v>250</v>
          </cell>
        </row>
        <row r="255">
          <cell r="A255">
            <v>251</v>
          </cell>
        </row>
        <row r="256">
          <cell r="A256">
            <v>252</v>
          </cell>
        </row>
        <row r="257">
          <cell r="A257">
            <v>253</v>
          </cell>
        </row>
        <row r="258">
          <cell r="A258">
            <v>254</v>
          </cell>
        </row>
        <row r="259">
          <cell r="A259">
            <v>255</v>
          </cell>
        </row>
        <row r="260">
          <cell r="A260">
            <v>256</v>
          </cell>
        </row>
        <row r="261">
          <cell r="A261">
            <v>257</v>
          </cell>
        </row>
        <row r="262">
          <cell r="A262">
            <v>258</v>
          </cell>
        </row>
        <row r="263">
          <cell r="A263">
            <v>259</v>
          </cell>
        </row>
        <row r="264">
          <cell r="A264">
            <v>260</v>
          </cell>
        </row>
        <row r="265">
          <cell r="A265">
            <v>261</v>
          </cell>
        </row>
        <row r="266">
          <cell r="A266">
            <v>262</v>
          </cell>
        </row>
        <row r="267">
          <cell r="A267">
            <v>263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GAS_061301"/>
      <sheetName val="GEE_061301"/>
      <sheetName val="B(Assump)"/>
      <sheetName val="GEE0901"/>
      <sheetName val="X"/>
      <sheetName val="M"/>
      <sheetName val="T-T"/>
      <sheetName val="S"/>
      <sheetName val="Check Interest"/>
      <sheetName val="G(Disb.)"/>
      <sheetName val="H(Amort)"/>
      <sheetName val="Debt scenario"/>
      <sheetName val="I(Interest)"/>
      <sheetName val="N(Debt)"/>
      <sheetName val="J(Priv.Cap)"/>
      <sheetName val="J(Fin. account)"/>
      <sheetName val="O(Arrears)"/>
      <sheetName val="K(Reserves)"/>
      <sheetName val="BOP_output"/>
      <sheetName val="L(Links)"/>
      <sheetName val="P(IMF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GAS_061301"/>
      <sheetName val="GEE_061301"/>
      <sheetName val="B(Assump)"/>
      <sheetName val="GEE0901"/>
      <sheetName val="X"/>
      <sheetName val="M"/>
      <sheetName val="T-T"/>
      <sheetName val="S"/>
      <sheetName val="Check Interest"/>
      <sheetName val="G(Disb.)"/>
      <sheetName val="H(Amort)"/>
      <sheetName val="Debt scenario"/>
      <sheetName val="I(Interest)"/>
      <sheetName val="N(Debt)"/>
      <sheetName val="J(Priv.Cap)"/>
      <sheetName val="J(Fin. account)"/>
      <sheetName val="O(Arrears)"/>
      <sheetName val="K(Reserves)"/>
      <sheetName val="BOP_output"/>
      <sheetName val="L(Links)"/>
      <sheetName val="P(IMF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CT-NEER"/>
      <sheetName val="CT-REERCPI"/>
      <sheetName val="CT-REERULC"/>
      <sheetName val="CT-REERPPI"/>
      <sheetName val="ct-neer2"/>
      <sheetName val="CT-reercpi2"/>
      <sheetName val="CT-reerulc2"/>
      <sheetName val="CT-reerppi2"/>
      <sheetName val="ChartVH_temp"/>
      <sheetName val="ControlSheet"/>
      <sheetName val="input_NSA"/>
      <sheetName val="inpu_SA"/>
      <sheetName val="REER ULC rev"/>
      <sheetName val="REER"/>
      <sheetName val="C"/>
      <sheetName val="D"/>
      <sheetName val="E"/>
      <sheetName val="F"/>
      <sheetName val="tables"/>
      <sheetName val="H"/>
      <sheetName val="Chart1"/>
      <sheetName val="Transfer EDDS"/>
      <sheetName val="Chart_reera1"/>
      <sheetName val="Chart_reera2"/>
      <sheetName val="Chart_reera3"/>
      <sheetName val="Panel1"/>
      <sheetName val="Sheet1"/>
      <sheetName val="Panel2"/>
      <sheetName val="CT_NEER"/>
      <sheetName val="Chart2"/>
      <sheetName val="Chart3"/>
      <sheetName val="Fig8"/>
      <sheetName val="CT_reer_INS"/>
      <sheetName val="CT_REER CPI_INS"/>
      <sheetName val="Chart4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/>
      <sheetData sheetId="14" refreshError="1">
        <row r="1">
          <cell r="F1" t="str">
            <v>CPI111</v>
          </cell>
        </row>
        <row r="11">
          <cell r="C11" t="str">
            <v>Mar90</v>
          </cell>
        </row>
        <row r="14">
          <cell r="C14" t="str">
            <v>Jun</v>
          </cell>
        </row>
        <row r="17">
          <cell r="C17" t="str">
            <v>Sep</v>
          </cell>
        </row>
        <row r="20">
          <cell r="C20" t="str">
            <v>Dec</v>
          </cell>
        </row>
        <row r="23">
          <cell r="C23" t="str">
            <v>Mar91</v>
          </cell>
        </row>
        <row r="26">
          <cell r="C26" t="str">
            <v>Jun</v>
          </cell>
        </row>
        <row r="29">
          <cell r="C29" t="str">
            <v>Sep</v>
          </cell>
        </row>
        <row r="32">
          <cell r="C32" t="str">
            <v>Dec</v>
          </cell>
        </row>
        <row r="35">
          <cell r="C35" t="str">
            <v>Mar92</v>
          </cell>
        </row>
        <row r="38">
          <cell r="C38" t="str">
            <v>Jun</v>
          </cell>
        </row>
        <row r="41">
          <cell r="C41" t="str">
            <v>Sep</v>
          </cell>
        </row>
        <row r="44">
          <cell r="C44" t="str">
            <v>Dec</v>
          </cell>
        </row>
        <row r="47">
          <cell r="C47" t="str">
            <v>Mar93</v>
          </cell>
        </row>
        <row r="50">
          <cell r="C50" t="str">
            <v>Jun</v>
          </cell>
        </row>
        <row r="53">
          <cell r="C53" t="str">
            <v>Sep</v>
          </cell>
        </row>
        <row r="56">
          <cell r="C56" t="str">
            <v>Dec</v>
          </cell>
        </row>
        <row r="59">
          <cell r="C59" t="str">
            <v>Mar94</v>
          </cell>
        </row>
        <row r="62">
          <cell r="C62" t="str">
            <v>Jun</v>
          </cell>
        </row>
        <row r="65">
          <cell r="C65" t="str">
            <v>Sep</v>
          </cell>
        </row>
        <row r="68">
          <cell r="C68" t="str">
            <v>Dec</v>
          </cell>
        </row>
        <row r="71">
          <cell r="C71" t="str">
            <v>Mar95</v>
          </cell>
        </row>
        <row r="74">
          <cell r="C74" t="str">
            <v>Jun</v>
          </cell>
        </row>
        <row r="140">
          <cell r="BK140">
            <v>90.145299612313636</v>
          </cell>
          <cell r="BN140">
            <v>112.36460206325194</v>
          </cell>
        </row>
        <row r="146">
          <cell r="BR146" t="str">
            <v>$NULCG6</v>
          </cell>
        </row>
        <row r="147">
          <cell r="BB147" t="str">
            <v>Index, Jan-Sept 1990=100</v>
          </cell>
        </row>
        <row r="149">
          <cell r="AY149" t="str">
            <v>Index, Jan-Sept 1990=100</v>
          </cell>
          <cell r="BR149" t="str">
            <v>$NULCG6</v>
          </cell>
        </row>
        <row r="150">
          <cell r="AY150" t="str">
            <v>NEER</v>
          </cell>
          <cell r="AZ150" t="str">
            <v>REER</v>
          </cell>
          <cell r="BB150" t="str">
            <v>REER</v>
          </cell>
        </row>
        <row r="151">
          <cell r="AY151" t="str">
            <v>(czech/</v>
          </cell>
          <cell r="AZ151" t="str">
            <v>(CPI based)</v>
          </cell>
          <cell r="BB151" t="str">
            <v>(PPI based)</v>
          </cell>
        </row>
        <row r="152">
          <cell r="AY152" t="str">
            <v>$nomxrg6)</v>
          </cell>
        </row>
        <row r="153">
          <cell r="AY153" t="str">
            <v>neer</v>
          </cell>
          <cell r="AZ153" t="str">
            <v>reerc</v>
          </cell>
          <cell r="BB153" t="str">
            <v>reerp</v>
          </cell>
        </row>
        <row r="154">
          <cell r="AY154">
            <v>102.86789797269462</v>
          </cell>
          <cell r="AZ154">
            <v>1.009642963192813</v>
          </cell>
          <cell r="BB154">
            <v>99.628468216542174</v>
          </cell>
          <cell r="BR154">
            <v>95.691962942667203</v>
          </cell>
        </row>
        <row r="155">
          <cell r="AY155">
            <v>99.947925183606046</v>
          </cell>
          <cell r="AZ155">
            <v>0.90584955274081691</v>
          </cell>
          <cell r="BB155">
            <v>95.434709131531818</v>
          </cell>
          <cell r="BR155">
            <v>97.295901743191223</v>
          </cell>
        </row>
        <row r="156">
          <cell r="AY156">
            <v>100.91072848615903</v>
          </cell>
          <cell r="AZ156">
            <v>1.0486060074945365</v>
          </cell>
          <cell r="BB156">
            <v>95.744050870788996</v>
          </cell>
          <cell r="BR156">
            <v>96.411216455223325</v>
          </cell>
        </row>
        <row r="157">
          <cell r="AY157">
            <v>100.37548391924503</v>
          </cell>
          <cell r="AZ157">
            <v>1.0096271689377452</v>
          </cell>
          <cell r="BB157">
            <v>95.834237220419894</v>
          </cell>
          <cell r="BR157">
            <v>98.084662018047695</v>
          </cell>
        </row>
        <row r="158">
          <cell r="AY158">
            <v>100.24539209966674</v>
          </cell>
          <cell r="AZ158">
            <v>1.0162113742847021</v>
          </cell>
          <cell r="BB158">
            <v>96.390366140930439</v>
          </cell>
          <cell r="BR158">
            <v>100.4380590649068</v>
          </cell>
        </row>
        <row r="159">
          <cell r="AY159">
            <v>99.406466786284071</v>
          </cell>
          <cell r="AZ159">
            <v>1.0058013162293933</v>
          </cell>
          <cell r="BB159">
            <v>96.891987257323052</v>
          </cell>
          <cell r="BR159">
            <v>99.255834884469436</v>
          </cell>
        </row>
        <row r="160">
          <cell r="AY160">
            <v>99.043344271983258</v>
          </cell>
          <cell r="AZ160">
            <v>0.99825031296119759</v>
          </cell>
          <cell r="BB160">
            <v>104.75520681254494</v>
          </cell>
          <cell r="BR160">
            <v>101.59603165985909</v>
          </cell>
        </row>
        <row r="161">
          <cell r="AY161">
            <v>98.224383732714244</v>
          </cell>
          <cell r="AZ161">
            <v>0.90352240973764386</v>
          </cell>
          <cell r="BB161">
            <v>106.43162390008962</v>
          </cell>
          <cell r="BR161">
            <v>105.45309736673832</v>
          </cell>
        </row>
        <row r="162">
          <cell r="AY162">
            <v>99.270019289441464</v>
          </cell>
          <cell r="AZ162">
            <v>0.91320229072180292</v>
          </cell>
          <cell r="BB162">
            <v>108.51287026828214</v>
          </cell>
          <cell r="BR162">
            <v>105.77323386489692</v>
          </cell>
        </row>
        <row r="163">
          <cell r="AY163">
            <v>75.108316466956168</v>
          </cell>
          <cell r="AZ163">
            <v>0.74689509092898387</v>
          </cell>
          <cell r="BB163">
            <v>83.098393824811879</v>
          </cell>
          <cell r="BR163">
            <v>109.03270591450871</v>
          </cell>
        </row>
        <row r="164">
          <cell r="AY164">
            <v>62.85120983133713</v>
          </cell>
          <cell r="AZ164">
            <v>0.69176599641183467</v>
          </cell>
          <cell r="BB164">
            <v>70.658774539049006</v>
          </cell>
          <cell r="BR164">
            <v>111.45691523948409</v>
          </cell>
        </row>
        <row r="165">
          <cell r="AY165">
            <v>61.776502297974325</v>
          </cell>
          <cell r="AZ165">
            <v>0.63812772138269314</v>
          </cell>
          <cell r="BB165">
            <v>69.310923367402808</v>
          </cell>
          <cell r="BR165">
            <v>111.18025598994335</v>
          </cell>
        </row>
        <row r="166">
          <cell r="AY166">
            <v>54.558086574227595</v>
          </cell>
          <cell r="AZ166">
            <v>0.52270821897392594</v>
          </cell>
          <cell r="BB166">
            <v>74.876734071685775</v>
          </cell>
          <cell r="BR166">
            <v>110.29792595046035</v>
          </cell>
        </row>
        <row r="167">
          <cell r="AY167">
            <v>54.015349274176515</v>
          </cell>
          <cell r="AZ167">
            <v>0.47988117591450397</v>
          </cell>
          <cell r="BB167">
            <v>77.700151743643303</v>
          </cell>
          <cell r="BR167">
            <v>112.61713711212916</v>
          </cell>
        </row>
        <row r="168">
          <cell r="AY168">
            <v>55.290903978447936</v>
          </cell>
          <cell r="AZ168">
            <v>0.56039049020909004</v>
          </cell>
          <cell r="BB168">
            <v>82.650913539433446</v>
          </cell>
          <cell r="BR168">
            <v>106.1393269872501</v>
          </cell>
        </row>
        <row r="169">
          <cell r="AY169">
            <v>55.912880617050263</v>
          </cell>
          <cell r="AZ169">
            <v>0.54919522992492209</v>
          </cell>
          <cell r="BB169">
            <v>85.696392246293911</v>
          </cell>
          <cell r="BR169">
            <v>102.14514072132152</v>
          </cell>
        </row>
        <row r="170">
          <cell r="AY170">
            <v>56.055952541289635</v>
          </cell>
          <cell r="AZ170">
            <v>0.55724065940892986</v>
          </cell>
          <cell r="BB170">
            <v>88.494629135030536</v>
          </cell>
          <cell r="BR170">
            <v>102.4437403724986</v>
          </cell>
        </row>
        <row r="171">
          <cell r="AY171">
            <v>56.615537036050299</v>
          </cell>
          <cell r="AZ171">
            <v>0.55913778196545905</v>
          </cell>
          <cell r="BB171">
            <v>91.651718075236374</v>
          </cell>
          <cell r="BR171">
            <v>98.610193879527401</v>
          </cell>
        </row>
        <row r="172">
          <cell r="AY172">
            <v>56.49905789331369</v>
          </cell>
          <cell r="AZ172">
            <v>0.55047749176402194</v>
          </cell>
          <cell r="BB172">
            <v>91.357517662392098</v>
          </cell>
          <cell r="BR172">
            <v>97.854489402868367</v>
          </cell>
        </row>
        <row r="173">
          <cell r="AY173">
            <v>56.157780520566568</v>
          </cell>
          <cell r="AZ173">
            <v>0.50339852751922243</v>
          </cell>
          <cell r="BB173">
            <v>91.426603220650108</v>
          </cell>
          <cell r="BR173">
            <v>99.735028326539265</v>
          </cell>
        </row>
        <row r="174">
          <cell r="AY174">
            <v>55.715493594823606</v>
          </cell>
          <cell r="AZ174">
            <v>0.49966963053337499</v>
          </cell>
          <cell r="BB174">
            <v>91.31354856636348</v>
          </cell>
          <cell r="BR174">
            <v>102.7981466749476</v>
          </cell>
        </row>
        <row r="175">
          <cell r="AY175">
            <v>55.752640753576912</v>
          </cell>
          <cell r="AZ175">
            <v>0.53751826927998125</v>
          </cell>
          <cell r="BB175">
            <v>91.889365073420862</v>
          </cell>
          <cell r="BR175">
            <v>104.02007099628467</v>
          </cell>
        </row>
        <row r="176">
          <cell r="AY176">
            <v>55.215393479311601</v>
          </cell>
          <cell r="AZ176">
            <v>0.58819341531803637</v>
          </cell>
          <cell r="BB176">
            <v>91.827677077459356</v>
          </cell>
          <cell r="BR176">
            <v>108.32028665722207</v>
          </cell>
        </row>
        <row r="177">
          <cell r="AY177">
            <v>54.700026761852506</v>
          </cell>
          <cell r="AZ177">
            <v>0.54520374429306806</v>
          </cell>
          <cell r="BB177">
            <v>91.481117726075098</v>
          </cell>
          <cell r="BR177">
            <v>111.37038443362279</v>
          </cell>
        </row>
        <row r="178">
          <cell r="AY178">
            <v>55.259209273165851</v>
          </cell>
          <cell r="AZ178">
            <v>0.50191922404464284</v>
          </cell>
          <cell r="BB178">
            <v>90.926560824615621</v>
          </cell>
          <cell r="BR178">
            <v>110.47021413309579</v>
          </cell>
        </row>
        <row r="179">
          <cell r="AY179">
            <v>55.725338712473693</v>
          </cell>
          <cell r="AZ179">
            <v>0.47289124089802442</v>
          </cell>
          <cell r="BB179">
            <v>91.014189822846134</v>
          </cell>
          <cell r="BR179">
            <v>107.69599003388875</v>
          </cell>
        </row>
        <row r="180">
          <cell r="AY180">
            <v>56.338311050802439</v>
          </cell>
          <cell r="AZ180">
            <v>0.53779372040718754</v>
          </cell>
          <cell r="BB180">
            <v>92.232958779605141</v>
          </cell>
          <cell r="BR180">
            <v>105.59519621476437</v>
          </cell>
        </row>
        <row r="181">
          <cell r="AY181">
            <v>56.12819460661035</v>
          </cell>
          <cell r="AZ181">
            <v>0.52031027090067539</v>
          </cell>
          <cell r="BB181">
            <v>92.772626968143811</v>
          </cell>
          <cell r="BR181">
            <v>106.78641712218815</v>
          </cell>
        </row>
        <row r="182">
          <cell r="AY182">
            <v>55.606727354075247</v>
          </cell>
          <cell r="AZ182">
            <v>0.52875625203352927</v>
          </cell>
          <cell r="BB182">
            <v>93.001698001445021</v>
          </cell>
          <cell r="BR182">
            <v>108.9704112267649</v>
          </cell>
        </row>
        <row r="183">
          <cell r="AY183">
            <v>54.97563313774311</v>
          </cell>
          <cell r="AZ183">
            <v>0.51822981815012714</v>
          </cell>
          <cell r="BB183">
            <v>92.865824432529138</v>
          </cell>
          <cell r="BR183">
            <v>112.47219189814078</v>
          </cell>
        </row>
        <row r="184">
          <cell r="AY184">
            <v>56.029281527488742</v>
          </cell>
          <cell r="AZ184">
            <v>0.52196485425297834</v>
          </cell>
          <cell r="BB184">
            <v>96.507376411799996</v>
          </cell>
          <cell r="BR184">
            <v>118.53657121506585</v>
          </cell>
        </row>
        <row r="185">
          <cell r="AY185">
            <v>53.501955004322753</v>
          </cell>
          <cell r="AZ185">
            <v>0.46212444178161682</v>
          </cell>
          <cell r="BB185">
            <v>93.135226312378833</v>
          </cell>
          <cell r="BR185">
            <v>121.89324328227858</v>
          </cell>
        </row>
        <row r="186">
          <cell r="AY186">
            <v>53.984185077433558</v>
          </cell>
          <cell r="AZ186">
            <v>0.46461534940216043</v>
          </cell>
          <cell r="BB186">
            <v>95.833387244499704</v>
          </cell>
          <cell r="BR186">
            <v>121.40140706967321</v>
          </cell>
        </row>
        <row r="187">
          <cell r="AY187">
            <v>55.479366182888569</v>
          </cell>
          <cell r="AZ187">
            <v>0.51685485848213586</v>
          </cell>
          <cell r="BB187">
            <v>100.72685496254793</v>
          </cell>
          <cell r="BR187">
            <v>117.53701277641271</v>
          </cell>
        </row>
        <row r="188">
          <cell r="AY188">
            <v>56.527811581069173</v>
          </cell>
          <cell r="AZ188">
            <v>0.58733078310468356</v>
          </cell>
          <cell r="BB188">
            <v>104.49852848523471</v>
          </cell>
          <cell r="BR188">
            <v>111.00441158319794</v>
          </cell>
        </row>
        <row r="189">
          <cell r="AY189">
            <v>56.466318920958159</v>
          </cell>
          <cell r="AZ189">
            <v>0.54467255674537707</v>
          </cell>
          <cell r="BB189">
            <v>104.67214134739345</v>
          </cell>
          <cell r="BR189">
            <v>110.92576832344108</v>
          </cell>
        </row>
        <row r="190">
          <cell r="AY190">
            <v>57.115684349787053</v>
          </cell>
          <cell r="AZ190">
            <v>0.49491628187393039</v>
          </cell>
          <cell r="BB190">
            <v>112.23791113848783</v>
          </cell>
          <cell r="BR190">
            <v>108.29879700559285</v>
          </cell>
        </row>
        <row r="191">
          <cell r="AY191">
            <v>57.945082835354</v>
          </cell>
          <cell r="AZ191">
            <v>0.47334006101170639</v>
          </cell>
          <cell r="BB191">
            <v>114.56545813830773</v>
          </cell>
          <cell r="BR191">
            <v>106.39483427575698</v>
          </cell>
        </row>
        <row r="192">
          <cell r="AY192">
            <v>58.149865425301343</v>
          </cell>
          <cell r="AZ192">
            <v>0.52731149208694328</v>
          </cell>
          <cell r="BB192">
            <v>115.57642065439403</v>
          </cell>
          <cell r="BR192">
            <v>106.1576239233615</v>
          </cell>
        </row>
        <row r="193">
          <cell r="AY193">
            <v>57.421529417366635</v>
          </cell>
          <cell r="AZ193">
            <v>0.50876388469734279</v>
          </cell>
          <cell r="BB193">
            <v>115.19325046803561</v>
          </cell>
          <cell r="BR193">
            <v>109.74526011834655</v>
          </cell>
        </row>
        <row r="194">
          <cell r="AY194">
            <v>57.129121222526145</v>
          </cell>
          <cell r="AZ194">
            <v>0.52822287627554354</v>
          </cell>
          <cell r="BB194">
            <v>115.95632307977576</v>
          </cell>
          <cell r="BR194">
            <v>110.06813666962888</v>
          </cell>
        </row>
        <row r="195">
          <cell r="AY195">
            <v>57.489793283476899</v>
          </cell>
          <cell r="AZ195">
            <v>0.52333103896538491</v>
          </cell>
          <cell r="BB195">
            <v>118.01739555428223</v>
          </cell>
          <cell r="BR195">
            <v>107.7680015111452</v>
          </cell>
        </row>
        <row r="196">
          <cell r="AY196">
            <v>57.996384480229487</v>
          </cell>
          <cell r="AZ196">
            <v>0.51958168623795009</v>
          </cell>
          <cell r="BB196">
            <v>120.40677174589869</v>
          </cell>
          <cell r="BR196">
            <v>104.2409149423403</v>
          </cell>
        </row>
        <row r="197">
          <cell r="AY197">
            <v>58.01054950005409</v>
          </cell>
          <cell r="AZ197">
            <v>0.48548465689332138</v>
          </cell>
          <cell r="BB197">
            <v>121.74527216982113</v>
          </cell>
          <cell r="BR197">
            <v>104.91547321491366</v>
          </cell>
        </row>
        <row r="198">
          <cell r="AY198">
            <v>57.6212361845689</v>
          </cell>
          <cell r="AZ198">
            <v>0.47719119328193266</v>
          </cell>
          <cell r="BB198">
            <v>122.59863817796432</v>
          </cell>
          <cell r="BR198">
            <v>108.69752125842918</v>
          </cell>
        </row>
        <row r="199">
          <cell r="AY199">
            <v>58.217291803783475</v>
          </cell>
          <cell r="AZ199">
            <v>0.52092006293441795</v>
          </cell>
          <cell r="BB199">
            <v>125.19071254430838</v>
          </cell>
          <cell r="BR199">
            <v>107.19885986473182</v>
          </cell>
        </row>
        <row r="200">
          <cell r="AY200">
            <v>58.506040312859533</v>
          </cell>
          <cell r="AZ200">
            <v>0.5901055816720554</v>
          </cell>
          <cell r="BB200">
            <v>126.22005615382726</v>
          </cell>
          <cell r="BR200">
            <v>104.02696339393587</v>
          </cell>
        </row>
        <row r="201">
          <cell r="AY201">
            <v>58.539475852722923</v>
          </cell>
          <cell r="AZ201">
            <v>0.54002173907925877</v>
          </cell>
          <cell r="BB201">
            <v>127.78599258269801</v>
          </cell>
          <cell r="BR201">
            <v>104.22766650071105</v>
          </cell>
        </row>
        <row r="202">
          <cell r="AY202">
            <v>58.686797979728709</v>
          </cell>
          <cell r="AZ202">
            <v>0.49219152015457668</v>
          </cell>
          <cell r="BB202">
            <v>127.24782485090257</v>
          </cell>
          <cell r="BR202">
            <v>103.71768974334496</v>
          </cell>
        </row>
        <row r="203">
          <cell r="AY203">
            <v>58.512051153900032</v>
          </cell>
          <cell r="AZ203">
            <v>0.46583880811168621</v>
          </cell>
          <cell r="BB203">
            <v>126.72927078211971</v>
          </cell>
          <cell r="BR203">
            <v>104.93841999759694</v>
          </cell>
        </row>
        <row r="204">
          <cell r="AY204">
            <v>58.256436021626691</v>
          </cell>
          <cell r="AZ204">
            <v>0.50706163561399498</v>
          </cell>
          <cell r="BB204">
            <v>126.75091583400464</v>
          </cell>
          <cell r="BR204">
            <v>106.36789359219681</v>
          </cell>
        </row>
        <row r="205">
          <cell r="AY205">
            <v>58.152780907580237</v>
          </cell>
          <cell r="AZ205">
            <v>0.49976394690650044</v>
          </cell>
          <cell r="BB205">
            <v>127.58613590811495</v>
          </cell>
          <cell r="BR205">
            <v>105.38392749462197</v>
          </cell>
        </row>
        <row r="206">
          <cell r="AY206">
            <v>57.830853856170549</v>
          </cell>
          <cell r="AZ206">
            <v>0.52513312910879206</v>
          </cell>
          <cell r="BB206">
            <v>128.02554913621626</v>
          </cell>
          <cell r="BR206">
            <v>106.81663562281649</v>
          </cell>
        </row>
        <row r="207">
          <cell r="AY207">
            <v>57.637037001166128</v>
          </cell>
          <cell r="AZ207">
            <v>0.51348097145076543</v>
          </cell>
          <cell r="BB207">
            <v>129.04483366657445</v>
          </cell>
          <cell r="BR207">
            <v>108.43120270275897</v>
          </cell>
        </row>
        <row r="208">
          <cell r="AY208">
            <v>57.364944804937565</v>
          </cell>
          <cell r="AZ208">
            <v>0.50145143880579912</v>
          </cell>
          <cell r="BB208">
            <v>129.4242727774234</v>
          </cell>
          <cell r="BR208">
            <v>111.89946758639846</v>
          </cell>
        </row>
        <row r="209">
          <cell r="AY209">
            <v>57.418668150083597</v>
          </cell>
          <cell r="AZ209">
            <v>0.47119476502599783</v>
          </cell>
          <cell r="BB209">
            <v>131.11893325059657</v>
          </cell>
          <cell r="BR209">
            <v>111.98683846709983</v>
          </cell>
        </row>
        <row r="210">
          <cell r="AY210">
            <v>57.217147304037255</v>
          </cell>
          <cell r="AZ210">
            <v>0.46201037289063729</v>
          </cell>
          <cell r="BB210">
            <v>132.03606809057149</v>
          </cell>
          <cell r="BR210">
            <v>113.10657987465447</v>
          </cell>
        </row>
        <row r="211">
          <cell r="BB211">
            <v>132.42813896018779</v>
          </cell>
          <cell r="BR211">
            <v>115.24376319109841</v>
          </cell>
        </row>
        <row r="212">
          <cell r="BB212">
            <v>133.55623384377358</v>
          </cell>
        </row>
      </sheetData>
      <sheetData sheetId="15" refreshError="1"/>
      <sheetData sheetId="16"/>
      <sheetData sheetId="17"/>
      <sheetData sheetId="18"/>
      <sheetData sheetId="19" refreshError="1"/>
      <sheetData sheetId="20" refreshError="1"/>
      <sheetData sheetId="21" refreshError="1"/>
      <sheetData sheetId="22"/>
      <sheetData sheetId="23" refreshError="1"/>
      <sheetData sheetId="24" refreshError="1"/>
      <sheetData sheetId="25" refreshError="1"/>
      <sheetData sheetId="26"/>
      <sheetData sheetId="27"/>
      <sheetData sheetId="28"/>
      <sheetData sheetId="29" refreshError="1"/>
      <sheetData sheetId="30" refreshError="1"/>
      <sheetData sheetId="31" refreshError="1"/>
      <sheetData sheetId="32"/>
      <sheetData sheetId="33" refreshError="1"/>
      <sheetData sheetId="34" refreshError="1"/>
      <sheetData sheetId="35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table1"/>
      <sheetName val="oldtab3"/>
      <sheetName val="monthly data for table4"/>
      <sheetName val="TAB2"/>
      <sheetName val="TAB3"/>
      <sheetName val="TAB4"/>
      <sheetName val="TAB8"/>
      <sheetName val="TAB9"/>
      <sheetName val="TAB10"/>
      <sheetName val="TAB11"/>
      <sheetName val="table6"/>
      <sheetName val="table7"/>
      <sheetName val="tab6"/>
      <sheetName val="TAB12"/>
      <sheetName val="TAB13"/>
      <sheetName val="TAB14"/>
      <sheetName val="TAB15"/>
      <sheetName val="table12"/>
      <sheetName val="TAB16"/>
      <sheetName val="TAB17"/>
      <sheetName val="oldtab14"/>
      <sheetName val="TAB18"/>
      <sheetName val="TAB19"/>
      <sheetName val="TAB20"/>
      <sheetName val="TAB21"/>
      <sheetName val="TAB22"/>
      <sheetName val="TAB23"/>
      <sheetName val="TAB24"/>
      <sheetName val="TAB25"/>
      <sheetName val="TAB26"/>
      <sheetName val="TAB27"/>
      <sheetName val="TAB28"/>
      <sheetName val="TAB29"/>
      <sheetName val="TAB30"/>
      <sheetName val="TAB31"/>
      <sheetName val="TAB32"/>
      <sheetName val="TAB33"/>
      <sheetName val="TAB34"/>
      <sheetName val="TAB35"/>
      <sheetName val="TAB36"/>
      <sheetName val="TAB37"/>
      <sheetName val="TAB38"/>
    </sheetNames>
    <sheetDataSet>
      <sheetData sheetId="0"/>
      <sheetData sheetId="1" refreshError="1"/>
      <sheetData sheetId="2" refreshError="1"/>
      <sheetData sheetId="3" refreshError="1"/>
      <sheetData sheetId="4"/>
      <sheetData sheetId="5"/>
      <sheetData sheetId="6"/>
      <sheetData sheetId="7"/>
      <sheetData sheetId="8" refreshError="1"/>
      <sheetData sheetId="9"/>
      <sheetData sheetId="10"/>
      <sheetData sheetId="11" refreshError="1"/>
      <sheetData sheetId="12" refreshError="1"/>
      <sheetData sheetId="13" refreshError="1"/>
      <sheetData sheetId="14"/>
      <sheetData sheetId="15"/>
      <sheetData sheetId="16"/>
      <sheetData sheetId="17"/>
      <sheetData sheetId="18" refreshError="1"/>
      <sheetData sheetId="19"/>
      <sheetData sheetId="20"/>
      <sheetData sheetId="21" refreshError="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table1"/>
      <sheetName val="oldtab3"/>
      <sheetName val="monthly data for table4"/>
      <sheetName val="TAB2"/>
      <sheetName val="TAB3"/>
      <sheetName val="TAB4"/>
      <sheetName val="TAB8"/>
      <sheetName val="TAB9"/>
      <sheetName val="TAB10"/>
      <sheetName val="TAB11"/>
      <sheetName val="table6"/>
      <sheetName val="table7"/>
      <sheetName val="tab6"/>
      <sheetName val="TAB12"/>
      <sheetName val="TAB13"/>
      <sheetName val="TAB14"/>
      <sheetName val="TAB15"/>
      <sheetName val="table12"/>
      <sheetName val="TAB16"/>
      <sheetName val="TAB17"/>
      <sheetName val="oldtab14"/>
      <sheetName val="TAB18"/>
      <sheetName val="TAB19"/>
      <sheetName val="TAB20"/>
      <sheetName val="TAB21"/>
      <sheetName val="TAB22"/>
      <sheetName val="TAB23"/>
      <sheetName val="TAB24"/>
      <sheetName val="TAB25"/>
      <sheetName val="TAB26"/>
      <sheetName val="TAB27"/>
      <sheetName val="TAB28"/>
      <sheetName val="TAB29"/>
      <sheetName val="TAB30"/>
      <sheetName val="TAB31"/>
      <sheetName val="TAB32"/>
      <sheetName val="TAB33"/>
      <sheetName val="TAB34"/>
      <sheetName val="TAB35"/>
      <sheetName val="TAB36"/>
      <sheetName val="TAB37"/>
      <sheetName val="TAB38"/>
    </sheetNames>
    <sheetDataSet>
      <sheetData sheetId="0"/>
      <sheetData sheetId="1" refreshError="1"/>
      <sheetData sheetId="2" refreshError="1"/>
      <sheetData sheetId="3" refreshError="1"/>
      <sheetData sheetId="4"/>
      <sheetData sheetId="5"/>
      <sheetData sheetId="6"/>
      <sheetData sheetId="7"/>
      <sheetData sheetId="8" refreshError="1"/>
      <sheetData sheetId="9"/>
      <sheetData sheetId="10"/>
      <sheetData sheetId="11" refreshError="1"/>
      <sheetData sheetId="12" refreshError="1"/>
      <sheetData sheetId="13" refreshError="1"/>
      <sheetData sheetId="14"/>
      <sheetData sheetId="15"/>
      <sheetData sheetId="16"/>
      <sheetData sheetId="17"/>
      <sheetData sheetId="18" refreshError="1"/>
      <sheetData sheetId="19"/>
      <sheetData sheetId="20"/>
      <sheetData sheetId="21" refreshError="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table1"/>
      <sheetName val="oldtab3"/>
      <sheetName val="monthly data for table4"/>
      <sheetName val="TAB2"/>
      <sheetName val="TAB3"/>
      <sheetName val="TAB4"/>
      <sheetName val="TAB8"/>
      <sheetName val="TAB9"/>
      <sheetName val="TAB10"/>
      <sheetName val="TAB11"/>
      <sheetName val="table6"/>
      <sheetName val="table7"/>
      <sheetName val="tab6"/>
      <sheetName val="TAB12"/>
      <sheetName val="TAB13"/>
      <sheetName val="TAB14"/>
      <sheetName val="TAB15"/>
      <sheetName val="table12"/>
      <sheetName val="TAB16"/>
      <sheetName val="TAB17"/>
      <sheetName val="oldtab14"/>
      <sheetName val="TAB18"/>
      <sheetName val="TAB19"/>
      <sheetName val="TAB20"/>
      <sheetName val="TAB21"/>
      <sheetName val="TAB22"/>
      <sheetName val="TAB23"/>
      <sheetName val="TAB24"/>
      <sheetName val="TAB25"/>
      <sheetName val="TAB26"/>
      <sheetName val="TAB27"/>
      <sheetName val="TAB28"/>
      <sheetName val="TAB29"/>
      <sheetName val="TAB30"/>
      <sheetName val="TAB31"/>
      <sheetName val="TAB32"/>
      <sheetName val="TAB33"/>
      <sheetName val="TAB34"/>
      <sheetName val="TAB35"/>
      <sheetName val="TAB36"/>
      <sheetName val="TAB37"/>
      <sheetName val="TAB38"/>
    </sheetNames>
    <sheetDataSet>
      <sheetData sheetId="0"/>
      <sheetData sheetId="1" refreshError="1"/>
      <sheetData sheetId="2" refreshError="1"/>
      <sheetData sheetId="3" refreshError="1"/>
      <sheetData sheetId="4"/>
      <sheetData sheetId="5"/>
      <sheetData sheetId="6"/>
      <sheetData sheetId="7"/>
      <sheetData sheetId="8" refreshError="1"/>
      <sheetData sheetId="9"/>
      <sheetData sheetId="10"/>
      <sheetData sheetId="11" refreshError="1"/>
      <sheetData sheetId="12" refreshError="1"/>
      <sheetData sheetId="13" refreshError="1"/>
      <sheetData sheetId="14"/>
      <sheetData sheetId="15"/>
      <sheetData sheetId="16"/>
      <sheetData sheetId="17"/>
      <sheetData sheetId="18" refreshError="1"/>
      <sheetData sheetId="19"/>
      <sheetData sheetId="20"/>
      <sheetData sheetId="21" refreshError="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table1"/>
      <sheetName val="oldtab3"/>
      <sheetName val="monthly data for table4"/>
      <sheetName val="TAB2"/>
      <sheetName val="TAB3"/>
      <sheetName val="TAB4"/>
      <sheetName val="TAB8"/>
      <sheetName val="TAB9"/>
      <sheetName val="TAB10"/>
      <sheetName val="TAB11"/>
      <sheetName val="table6"/>
      <sheetName val="table7"/>
      <sheetName val="tab6"/>
      <sheetName val="TAB12"/>
      <sheetName val="TAB13"/>
      <sheetName val="TAB14"/>
      <sheetName val="TAB15"/>
      <sheetName val="table12"/>
      <sheetName val="TAB16"/>
      <sheetName val="TAB17"/>
      <sheetName val="oldtab14"/>
      <sheetName val="TAB18"/>
      <sheetName val="TAB19"/>
      <sheetName val="TAB20"/>
      <sheetName val="TAB21"/>
      <sheetName val="TAB22"/>
      <sheetName val="TAB23"/>
      <sheetName val="TAB24"/>
      <sheetName val="TAB25"/>
      <sheetName val="TAB26"/>
      <sheetName val="TAB27"/>
      <sheetName val="TAB28"/>
      <sheetName val="TAB29"/>
      <sheetName val="TAB30"/>
      <sheetName val="TAB31"/>
      <sheetName val="TAB32"/>
      <sheetName val="TAB33"/>
      <sheetName val="TAB34"/>
      <sheetName val="TAB35"/>
      <sheetName val="TAB36"/>
      <sheetName val="TAB37"/>
      <sheetName val="TAB38"/>
    </sheetNames>
    <sheetDataSet>
      <sheetData sheetId="0"/>
      <sheetData sheetId="1" refreshError="1"/>
      <sheetData sheetId="2" refreshError="1"/>
      <sheetData sheetId="3" refreshError="1"/>
      <sheetData sheetId="4"/>
      <sheetData sheetId="5"/>
      <sheetData sheetId="6"/>
      <sheetData sheetId="7"/>
      <sheetData sheetId="8" refreshError="1"/>
      <sheetData sheetId="9"/>
      <sheetData sheetId="10"/>
      <sheetData sheetId="11" refreshError="1"/>
      <sheetData sheetId="12" refreshError="1"/>
      <sheetData sheetId="13" refreshError="1"/>
      <sheetData sheetId="14"/>
      <sheetData sheetId="15"/>
      <sheetData sheetId="16"/>
      <sheetData sheetId="17"/>
      <sheetData sheetId="18" refreshError="1"/>
      <sheetData sheetId="19"/>
      <sheetData sheetId="20"/>
      <sheetData sheetId="21" refreshError="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table1"/>
      <sheetName val="oldtab3"/>
      <sheetName val="monthly data for table4"/>
      <sheetName val="TAB2"/>
      <sheetName val="TAB3"/>
      <sheetName val="TAB4"/>
      <sheetName val="TAB8"/>
      <sheetName val="TAB9"/>
      <sheetName val="TAB10"/>
      <sheetName val="TAB11"/>
      <sheetName val="table6"/>
      <sheetName val="table7"/>
      <sheetName val="tab6"/>
      <sheetName val="TAB12"/>
      <sheetName val="TAB13"/>
      <sheetName val="TAB14"/>
      <sheetName val="TAB15"/>
      <sheetName val="table12"/>
      <sheetName val="TAB16"/>
      <sheetName val="TAB17"/>
      <sheetName val="oldtab14"/>
      <sheetName val="TAB18"/>
      <sheetName val="TAB19"/>
      <sheetName val="TAB20"/>
      <sheetName val="TAB21"/>
      <sheetName val="TAB22"/>
      <sheetName val="TAB23"/>
      <sheetName val="TAB24"/>
      <sheetName val="TAB25"/>
      <sheetName val="TAB26"/>
      <sheetName val="TAB27"/>
      <sheetName val="TAB28"/>
      <sheetName val="TAB29"/>
      <sheetName val="TAB30"/>
      <sheetName val="TAB31"/>
      <sheetName val="TAB32"/>
      <sheetName val="TAB33"/>
      <sheetName val="TAB34"/>
      <sheetName val="TAB35"/>
      <sheetName val="TAB36"/>
      <sheetName val="TAB37"/>
      <sheetName val="TAB38"/>
    </sheetNames>
    <sheetDataSet>
      <sheetData sheetId="0"/>
      <sheetData sheetId="1" refreshError="1"/>
      <sheetData sheetId="2" refreshError="1"/>
      <sheetData sheetId="3" refreshError="1"/>
      <sheetData sheetId="4"/>
      <sheetData sheetId="5"/>
      <sheetData sheetId="6"/>
      <sheetData sheetId="7"/>
      <sheetData sheetId="8" refreshError="1"/>
      <sheetData sheetId="9"/>
      <sheetData sheetId="10"/>
      <sheetData sheetId="11" refreshError="1"/>
      <sheetData sheetId="12" refreshError="1"/>
      <sheetData sheetId="13" refreshError="1"/>
      <sheetData sheetId="14"/>
      <sheetData sheetId="15"/>
      <sheetData sheetId="16"/>
      <sheetData sheetId="17"/>
      <sheetData sheetId="18" refreshError="1"/>
      <sheetData sheetId="19"/>
      <sheetData sheetId="20"/>
      <sheetData sheetId="21" refreshError="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"/>
      <sheetName val="M"/>
      <sheetName val="CA"/>
      <sheetName val="CA-Income"/>
      <sheetName val="CK"/>
    </sheetNames>
    <sheetDataSet>
      <sheetData sheetId="0"/>
      <sheetData sheetId="1"/>
      <sheetData sheetId="2" refreshError="1"/>
      <sheetData sheetId="3" refreshError="1"/>
      <sheetData sheetId="4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"/>
      <sheetName val="M"/>
      <sheetName val="CA"/>
      <sheetName val="CA-Income"/>
      <sheetName val="CK"/>
      <sheetName val="DEBT"/>
      <sheetName val="DIS"/>
      <sheetName val="AMO"/>
      <sheetName val="IN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"/>
      <sheetName val="M"/>
      <sheetName val="CA"/>
      <sheetName val="CA-Income"/>
      <sheetName val="CK"/>
    </sheetNames>
    <sheetDataSet>
      <sheetData sheetId="0"/>
      <sheetData sheetId="1"/>
      <sheetData sheetId="2" refreshError="1"/>
      <sheetData sheetId="3" refreshError="1"/>
      <sheetData sheetId="4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CT-NEER"/>
      <sheetName val="CT-REERCPI"/>
      <sheetName val="CT-REERULC"/>
      <sheetName val="CT-REERPPI"/>
      <sheetName val="ct-neer2"/>
      <sheetName val="CT-reercpi2"/>
      <sheetName val="CT-reerulc2"/>
      <sheetName val="CT-reerppi2"/>
      <sheetName val="ChartVH_temp"/>
      <sheetName val="ControlSheet"/>
      <sheetName val="input_NSA"/>
      <sheetName val="inpu_SA"/>
      <sheetName val="REER ULC rev"/>
      <sheetName val="REER"/>
      <sheetName val="C"/>
      <sheetName val="D"/>
      <sheetName val="E"/>
      <sheetName val="F"/>
      <sheetName val="tables"/>
      <sheetName val="H"/>
      <sheetName val="Chart1"/>
      <sheetName val="Transfer EDDS"/>
      <sheetName val="Chart_reera1"/>
      <sheetName val="Chart_reera2"/>
      <sheetName val="Chart_reera3"/>
      <sheetName val="Panel1"/>
      <sheetName val="Sheet1"/>
      <sheetName val="Panel2"/>
      <sheetName val="CT_NEER"/>
      <sheetName val="Chart2"/>
      <sheetName val="Chart3"/>
      <sheetName val="Fig8"/>
      <sheetName val="CT_reer_INS"/>
      <sheetName val="CT_REER CPI_INS"/>
      <sheetName val="Chart4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/>
      <sheetData sheetId="14" refreshError="1">
        <row r="1">
          <cell r="F1" t="str">
            <v>CPI111</v>
          </cell>
        </row>
        <row r="11">
          <cell r="C11" t="str">
            <v>Mar90</v>
          </cell>
        </row>
        <row r="14">
          <cell r="C14" t="str">
            <v>Jun</v>
          </cell>
        </row>
        <row r="17">
          <cell r="C17" t="str">
            <v>Sep</v>
          </cell>
        </row>
        <row r="20">
          <cell r="C20" t="str">
            <v>Dec</v>
          </cell>
        </row>
        <row r="23">
          <cell r="C23" t="str">
            <v>Mar91</v>
          </cell>
        </row>
        <row r="26">
          <cell r="C26" t="str">
            <v>Jun</v>
          </cell>
        </row>
        <row r="29">
          <cell r="C29" t="str">
            <v>Sep</v>
          </cell>
        </row>
        <row r="32">
          <cell r="C32" t="str">
            <v>Dec</v>
          </cell>
        </row>
        <row r="35">
          <cell r="C35" t="str">
            <v>Mar92</v>
          </cell>
        </row>
        <row r="38">
          <cell r="C38" t="str">
            <v>Jun</v>
          </cell>
        </row>
        <row r="41">
          <cell r="C41" t="str">
            <v>Sep</v>
          </cell>
        </row>
        <row r="44">
          <cell r="C44" t="str">
            <v>Dec</v>
          </cell>
        </row>
        <row r="47">
          <cell r="C47" t="str">
            <v>Mar93</v>
          </cell>
        </row>
        <row r="50">
          <cell r="C50" t="str">
            <v>Jun</v>
          </cell>
        </row>
        <row r="53">
          <cell r="C53" t="str">
            <v>Sep</v>
          </cell>
        </row>
        <row r="56">
          <cell r="C56" t="str">
            <v>Dec</v>
          </cell>
        </row>
        <row r="59">
          <cell r="C59" t="str">
            <v>Mar94</v>
          </cell>
        </row>
        <row r="62">
          <cell r="C62" t="str">
            <v>Jun</v>
          </cell>
        </row>
        <row r="65">
          <cell r="C65" t="str">
            <v>Sep</v>
          </cell>
        </row>
        <row r="68">
          <cell r="C68" t="str">
            <v>Dec</v>
          </cell>
        </row>
        <row r="71">
          <cell r="C71" t="str">
            <v>Mar95</v>
          </cell>
        </row>
        <row r="74">
          <cell r="C74" t="str">
            <v>Jun</v>
          </cell>
        </row>
        <row r="140">
          <cell r="BK140">
            <v>90.145299612313636</v>
          </cell>
          <cell r="BN140">
            <v>112.36460206325194</v>
          </cell>
        </row>
        <row r="146">
          <cell r="BR146" t="str">
            <v>$NULCG6</v>
          </cell>
        </row>
        <row r="147">
          <cell r="BB147" t="str">
            <v>Index, Jan-Sept 1990=100</v>
          </cell>
        </row>
        <row r="149">
          <cell r="AY149" t="str">
            <v>Index, Jan-Sept 1990=100</v>
          </cell>
          <cell r="BR149" t="str">
            <v>$NULCG6</v>
          </cell>
        </row>
        <row r="150">
          <cell r="AY150" t="str">
            <v>NEER</v>
          </cell>
          <cell r="AZ150" t="str">
            <v>REER</v>
          </cell>
          <cell r="BB150" t="str">
            <v>REER</v>
          </cell>
        </row>
        <row r="151">
          <cell r="AY151" t="str">
            <v>(czech/</v>
          </cell>
          <cell r="AZ151" t="str">
            <v>(CPI based)</v>
          </cell>
          <cell r="BB151" t="str">
            <v>(PPI based)</v>
          </cell>
        </row>
        <row r="152">
          <cell r="AY152" t="str">
            <v>$nomxrg6)</v>
          </cell>
        </row>
        <row r="153">
          <cell r="AY153" t="str">
            <v>neer</v>
          </cell>
          <cell r="AZ153" t="str">
            <v>reerc</v>
          </cell>
          <cell r="BB153" t="str">
            <v>reerp</v>
          </cell>
        </row>
        <row r="154">
          <cell r="AY154">
            <v>102.86789797269462</v>
          </cell>
          <cell r="AZ154">
            <v>1.009642963192813</v>
          </cell>
          <cell r="BB154">
            <v>99.628468216542174</v>
          </cell>
          <cell r="BR154">
            <v>95.691962942667203</v>
          </cell>
        </row>
        <row r="155">
          <cell r="AY155">
            <v>99.947925183606046</v>
          </cell>
          <cell r="AZ155">
            <v>0.90584955274081691</v>
          </cell>
          <cell r="BB155">
            <v>95.434709131531818</v>
          </cell>
          <cell r="BR155">
            <v>97.295901743191223</v>
          </cell>
        </row>
        <row r="156">
          <cell r="AY156">
            <v>100.91072848615903</v>
          </cell>
          <cell r="AZ156">
            <v>1.0486060074945365</v>
          </cell>
          <cell r="BB156">
            <v>95.744050870788996</v>
          </cell>
          <cell r="BR156">
            <v>96.411216455223325</v>
          </cell>
        </row>
        <row r="157">
          <cell r="AY157">
            <v>100.37548391924503</v>
          </cell>
          <cell r="AZ157">
            <v>1.0096271689377452</v>
          </cell>
          <cell r="BB157">
            <v>95.834237220419894</v>
          </cell>
          <cell r="BR157">
            <v>98.084662018047695</v>
          </cell>
        </row>
        <row r="158">
          <cell r="AY158">
            <v>100.24539209966674</v>
          </cell>
          <cell r="AZ158">
            <v>1.0162113742847021</v>
          </cell>
          <cell r="BB158">
            <v>96.390366140930439</v>
          </cell>
          <cell r="BR158">
            <v>100.4380590649068</v>
          </cell>
        </row>
        <row r="159">
          <cell r="AY159">
            <v>99.406466786284071</v>
          </cell>
          <cell r="AZ159">
            <v>1.0058013162293933</v>
          </cell>
          <cell r="BB159">
            <v>96.891987257323052</v>
          </cell>
          <cell r="BR159">
            <v>99.255834884469436</v>
          </cell>
        </row>
        <row r="160">
          <cell r="AY160">
            <v>99.043344271983258</v>
          </cell>
          <cell r="AZ160">
            <v>0.99825031296119759</v>
          </cell>
          <cell r="BB160">
            <v>104.75520681254494</v>
          </cell>
          <cell r="BR160">
            <v>101.59603165985909</v>
          </cell>
        </row>
        <row r="161">
          <cell r="AY161">
            <v>98.224383732714244</v>
          </cell>
          <cell r="AZ161">
            <v>0.90352240973764386</v>
          </cell>
          <cell r="BB161">
            <v>106.43162390008962</v>
          </cell>
          <cell r="BR161">
            <v>105.45309736673832</v>
          </cell>
        </row>
        <row r="162">
          <cell r="AY162">
            <v>99.270019289441464</v>
          </cell>
          <cell r="AZ162">
            <v>0.91320229072180292</v>
          </cell>
          <cell r="BB162">
            <v>108.51287026828214</v>
          </cell>
          <cell r="BR162">
            <v>105.77323386489692</v>
          </cell>
        </row>
        <row r="163">
          <cell r="AY163">
            <v>75.108316466956168</v>
          </cell>
          <cell r="AZ163">
            <v>0.74689509092898387</v>
          </cell>
          <cell r="BB163">
            <v>83.098393824811879</v>
          </cell>
          <cell r="BR163">
            <v>109.03270591450871</v>
          </cell>
        </row>
        <row r="164">
          <cell r="AY164">
            <v>62.85120983133713</v>
          </cell>
          <cell r="AZ164">
            <v>0.69176599641183467</v>
          </cell>
          <cell r="BB164">
            <v>70.658774539049006</v>
          </cell>
          <cell r="BR164">
            <v>111.45691523948409</v>
          </cell>
        </row>
        <row r="165">
          <cell r="AY165">
            <v>61.776502297974325</v>
          </cell>
          <cell r="AZ165">
            <v>0.63812772138269314</v>
          </cell>
          <cell r="BB165">
            <v>69.310923367402808</v>
          </cell>
          <cell r="BR165">
            <v>111.18025598994335</v>
          </cell>
        </row>
        <row r="166">
          <cell r="AY166">
            <v>54.558086574227595</v>
          </cell>
          <cell r="AZ166">
            <v>0.52270821897392594</v>
          </cell>
          <cell r="BB166">
            <v>74.876734071685775</v>
          </cell>
          <cell r="BR166">
            <v>110.29792595046035</v>
          </cell>
        </row>
        <row r="167">
          <cell r="AY167">
            <v>54.015349274176515</v>
          </cell>
          <cell r="AZ167">
            <v>0.47988117591450397</v>
          </cell>
          <cell r="BB167">
            <v>77.700151743643303</v>
          </cell>
          <cell r="BR167">
            <v>112.61713711212916</v>
          </cell>
        </row>
        <row r="168">
          <cell r="AY168">
            <v>55.290903978447936</v>
          </cell>
          <cell r="AZ168">
            <v>0.56039049020909004</v>
          </cell>
          <cell r="BB168">
            <v>82.650913539433446</v>
          </cell>
          <cell r="BR168">
            <v>106.1393269872501</v>
          </cell>
        </row>
        <row r="169">
          <cell r="AY169">
            <v>55.912880617050263</v>
          </cell>
          <cell r="AZ169">
            <v>0.54919522992492209</v>
          </cell>
          <cell r="BB169">
            <v>85.696392246293911</v>
          </cell>
          <cell r="BR169">
            <v>102.14514072132152</v>
          </cell>
        </row>
        <row r="170">
          <cell r="AY170">
            <v>56.055952541289635</v>
          </cell>
          <cell r="AZ170">
            <v>0.55724065940892986</v>
          </cell>
          <cell r="BB170">
            <v>88.494629135030536</v>
          </cell>
          <cell r="BR170">
            <v>102.4437403724986</v>
          </cell>
        </row>
        <row r="171">
          <cell r="AY171">
            <v>56.615537036050299</v>
          </cell>
          <cell r="AZ171">
            <v>0.55913778196545905</v>
          </cell>
          <cell r="BB171">
            <v>91.651718075236374</v>
          </cell>
          <cell r="BR171">
            <v>98.610193879527401</v>
          </cell>
        </row>
        <row r="172">
          <cell r="AY172">
            <v>56.49905789331369</v>
          </cell>
          <cell r="AZ172">
            <v>0.55047749176402194</v>
          </cell>
          <cell r="BB172">
            <v>91.357517662392098</v>
          </cell>
          <cell r="BR172">
            <v>97.854489402868367</v>
          </cell>
        </row>
        <row r="173">
          <cell r="AY173">
            <v>56.157780520566568</v>
          </cell>
          <cell r="AZ173">
            <v>0.50339852751922243</v>
          </cell>
          <cell r="BB173">
            <v>91.426603220650108</v>
          </cell>
          <cell r="BR173">
            <v>99.735028326539265</v>
          </cell>
        </row>
        <row r="174">
          <cell r="AY174">
            <v>55.715493594823606</v>
          </cell>
          <cell r="AZ174">
            <v>0.49966963053337499</v>
          </cell>
          <cell r="BB174">
            <v>91.31354856636348</v>
          </cell>
          <cell r="BR174">
            <v>102.7981466749476</v>
          </cell>
        </row>
        <row r="175">
          <cell r="AY175">
            <v>55.752640753576912</v>
          </cell>
          <cell r="AZ175">
            <v>0.53751826927998125</v>
          </cell>
          <cell r="BB175">
            <v>91.889365073420862</v>
          </cell>
          <cell r="BR175">
            <v>104.02007099628467</v>
          </cell>
        </row>
        <row r="176">
          <cell r="AY176">
            <v>55.215393479311601</v>
          </cell>
          <cell r="AZ176">
            <v>0.58819341531803637</v>
          </cell>
          <cell r="BB176">
            <v>91.827677077459356</v>
          </cell>
          <cell r="BR176">
            <v>108.32028665722207</v>
          </cell>
        </row>
        <row r="177">
          <cell r="AY177">
            <v>54.700026761852506</v>
          </cell>
          <cell r="AZ177">
            <v>0.54520374429306806</v>
          </cell>
          <cell r="BB177">
            <v>91.481117726075098</v>
          </cell>
          <cell r="BR177">
            <v>111.37038443362279</v>
          </cell>
        </row>
        <row r="178">
          <cell r="AY178">
            <v>55.259209273165851</v>
          </cell>
          <cell r="AZ178">
            <v>0.50191922404464284</v>
          </cell>
          <cell r="BB178">
            <v>90.926560824615621</v>
          </cell>
          <cell r="BR178">
            <v>110.47021413309579</v>
          </cell>
        </row>
        <row r="179">
          <cell r="AY179">
            <v>55.725338712473693</v>
          </cell>
          <cell r="AZ179">
            <v>0.47289124089802442</v>
          </cell>
          <cell r="BB179">
            <v>91.014189822846134</v>
          </cell>
          <cell r="BR179">
            <v>107.69599003388875</v>
          </cell>
        </row>
        <row r="180">
          <cell r="AY180">
            <v>56.338311050802439</v>
          </cell>
          <cell r="AZ180">
            <v>0.53779372040718754</v>
          </cell>
          <cell r="BB180">
            <v>92.232958779605141</v>
          </cell>
          <cell r="BR180">
            <v>105.59519621476437</v>
          </cell>
        </row>
        <row r="181">
          <cell r="AY181">
            <v>56.12819460661035</v>
          </cell>
          <cell r="AZ181">
            <v>0.52031027090067539</v>
          </cell>
          <cell r="BB181">
            <v>92.772626968143811</v>
          </cell>
          <cell r="BR181">
            <v>106.78641712218815</v>
          </cell>
        </row>
        <row r="182">
          <cell r="AY182">
            <v>55.606727354075247</v>
          </cell>
          <cell r="AZ182">
            <v>0.52875625203352927</v>
          </cell>
          <cell r="BB182">
            <v>93.001698001445021</v>
          </cell>
          <cell r="BR182">
            <v>108.9704112267649</v>
          </cell>
        </row>
        <row r="183">
          <cell r="AY183">
            <v>54.97563313774311</v>
          </cell>
          <cell r="AZ183">
            <v>0.51822981815012714</v>
          </cell>
          <cell r="BB183">
            <v>92.865824432529138</v>
          </cell>
          <cell r="BR183">
            <v>112.47219189814078</v>
          </cell>
        </row>
        <row r="184">
          <cell r="AY184">
            <v>56.029281527488742</v>
          </cell>
          <cell r="AZ184">
            <v>0.52196485425297834</v>
          </cell>
          <cell r="BB184">
            <v>96.507376411799996</v>
          </cell>
          <cell r="BR184">
            <v>118.53657121506585</v>
          </cell>
        </row>
        <row r="185">
          <cell r="AY185">
            <v>53.501955004322753</v>
          </cell>
          <cell r="AZ185">
            <v>0.46212444178161682</v>
          </cell>
          <cell r="BB185">
            <v>93.135226312378833</v>
          </cell>
          <cell r="BR185">
            <v>121.89324328227858</v>
          </cell>
        </row>
        <row r="186">
          <cell r="AY186">
            <v>53.984185077433558</v>
          </cell>
          <cell r="AZ186">
            <v>0.46461534940216043</v>
          </cell>
          <cell r="BB186">
            <v>95.833387244499704</v>
          </cell>
          <cell r="BR186">
            <v>121.40140706967321</v>
          </cell>
        </row>
        <row r="187">
          <cell r="AY187">
            <v>55.479366182888569</v>
          </cell>
          <cell r="AZ187">
            <v>0.51685485848213586</v>
          </cell>
          <cell r="BB187">
            <v>100.72685496254793</v>
          </cell>
          <cell r="BR187">
            <v>117.53701277641271</v>
          </cell>
        </row>
        <row r="188">
          <cell r="AY188">
            <v>56.527811581069173</v>
          </cell>
          <cell r="AZ188">
            <v>0.58733078310468356</v>
          </cell>
          <cell r="BB188">
            <v>104.49852848523471</v>
          </cell>
          <cell r="BR188">
            <v>111.00441158319794</v>
          </cell>
        </row>
        <row r="189">
          <cell r="AY189">
            <v>56.466318920958159</v>
          </cell>
          <cell r="AZ189">
            <v>0.54467255674537707</v>
          </cell>
          <cell r="BB189">
            <v>104.67214134739345</v>
          </cell>
          <cell r="BR189">
            <v>110.92576832344108</v>
          </cell>
        </row>
        <row r="190">
          <cell r="AY190">
            <v>57.115684349787053</v>
          </cell>
          <cell r="AZ190">
            <v>0.49491628187393039</v>
          </cell>
          <cell r="BB190">
            <v>112.23791113848783</v>
          </cell>
          <cell r="BR190">
            <v>108.29879700559285</v>
          </cell>
        </row>
        <row r="191">
          <cell r="AY191">
            <v>57.945082835354</v>
          </cell>
          <cell r="AZ191">
            <v>0.47334006101170639</v>
          </cell>
          <cell r="BB191">
            <v>114.56545813830773</v>
          </cell>
          <cell r="BR191">
            <v>106.39483427575698</v>
          </cell>
        </row>
        <row r="192">
          <cell r="AY192">
            <v>58.149865425301343</v>
          </cell>
          <cell r="AZ192">
            <v>0.52731149208694328</v>
          </cell>
          <cell r="BB192">
            <v>115.57642065439403</v>
          </cell>
          <cell r="BR192">
            <v>106.1576239233615</v>
          </cell>
        </row>
        <row r="193">
          <cell r="AY193">
            <v>57.421529417366635</v>
          </cell>
          <cell r="AZ193">
            <v>0.50876388469734279</v>
          </cell>
          <cell r="BB193">
            <v>115.19325046803561</v>
          </cell>
          <cell r="BR193">
            <v>109.74526011834655</v>
          </cell>
        </row>
        <row r="194">
          <cell r="AY194">
            <v>57.129121222526145</v>
          </cell>
          <cell r="AZ194">
            <v>0.52822287627554354</v>
          </cell>
          <cell r="BB194">
            <v>115.95632307977576</v>
          </cell>
          <cell r="BR194">
            <v>110.06813666962888</v>
          </cell>
        </row>
        <row r="195">
          <cell r="AY195">
            <v>57.489793283476899</v>
          </cell>
          <cell r="AZ195">
            <v>0.52333103896538491</v>
          </cell>
          <cell r="BB195">
            <v>118.01739555428223</v>
          </cell>
          <cell r="BR195">
            <v>107.7680015111452</v>
          </cell>
        </row>
        <row r="196">
          <cell r="AY196">
            <v>57.996384480229487</v>
          </cell>
          <cell r="AZ196">
            <v>0.51958168623795009</v>
          </cell>
          <cell r="BB196">
            <v>120.40677174589869</v>
          </cell>
          <cell r="BR196">
            <v>104.2409149423403</v>
          </cell>
        </row>
        <row r="197">
          <cell r="AY197">
            <v>58.01054950005409</v>
          </cell>
          <cell r="AZ197">
            <v>0.48548465689332138</v>
          </cell>
          <cell r="BB197">
            <v>121.74527216982113</v>
          </cell>
          <cell r="BR197">
            <v>104.91547321491366</v>
          </cell>
        </row>
        <row r="198">
          <cell r="AY198">
            <v>57.6212361845689</v>
          </cell>
          <cell r="AZ198">
            <v>0.47719119328193266</v>
          </cell>
          <cell r="BB198">
            <v>122.59863817796432</v>
          </cell>
          <cell r="BR198">
            <v>108.69752125842918</v>
          </cell>
        </row>
        <row r="199">
          <cell r="AY199">
            <v>58.217291803783475</v>
          </cell>
          <cell r="AZ199">
            <v>0.52092006293441795</v>
          </cell>
          <cell r="BB199">
            <v>125.19071254430838</v>
          </cell>
          <cell r="BR199">
            <v>107.19885986473182</v>
          </cell>
        </row>
        <row r="200">
          <cell r="AY200">
            <v>58.506040312859533</v>
          </cell>
          <cell r="AZ200">
            <v>0.5901055816720554</v>
          </cell>
          <cell r="BB200">
            <v>126.22005615382726</v>
          </cell>
          <cell r="BR200">
            <v>104.02696339393587</v>
          </cell>
        </row>
        <row r="201">
          <cell r="AY201">
            <v>58.539475852722923</v>
          </cell>
          <cell r="AZ201">
            <v>0.54002173907925877</v>
          </cell>
          <cell r="BB201">
            <v>127.78599258269801</v>
          </cell>
          <cell r="BR201">
            <v>104.22766650071105</v>
          </cell>
        </row>
        <row r="202">
          <cell r="AY202">
            <v>58.686797979728709</v>
          </cell>
          <cell r="AZ202">
            <v>0.49219152015457668</v>
          </cell>
          <cell r="BB202">
            <v>127.24782485090257</v>
          </cell>
          <cell r="BR202">
            <v>103.71768974334496</v>
          </cell>
        </row>
        <row r="203">
          <cell r="AY203">
            <v>58.512051153900032</v>
          </cell>
          <cell r="AZ203">
            <v>0.46583880811168621</v>
          </cell>
          <cell r="BB203">
            <v>126.72927078211971</v>
          </cell>
          <cell r="BR203">
            <v>104.93841999759694</v>
          </cell>
        </row>
        <row r="204">
          <cell r="AY204">
            <v>58.256436021626691</v>
          </cell>
          <cell r="AZ204">
            <v>0.50706163561399498</v>
          </cell>
          <cell r="BB204">
            <v>126.75091583400464</v>
          </cell>
          <cell r="BR204">
            <v>106.36789359219681</v>
          </cell>
        </row>
        <row r="205">
          <cell r="AY205">
            <v>58.152780907580237</v>
          </cell>
          <cell r="AZ205">
            <v>0.49976394690650044</v>
          </cell>
          <cell r="BB205">
            <v>127.58613590811495</v>
          </cell>
          <cell r="BR205">
            <v>105.38392749462197</v>
          </cell>
        </row>
        <row r="206">
          <cell r="AY206">
            <v>57.830853856170549</v>
          </cell>
          <cell r="AZ206">
            <v>0.52513312910879206</v>
          </cell>
          <cell r="BB206">
            <v>128.02554913621626</v>
          </cell>
          <cell r="BR206">
            <v>106.81663562281649</v>
          </cell>
        </row>
        <row r="207">
          <cell r="AY207">
            <v>57.637037001166128</v>
          </cell>
          <cell r="AZ207">
            <v>0.51348097145076543</v>
          </cell>
          <cell r="BB207">
            <v>129.04483366657445</v>
          </cell>
          <cell r="BR207">
            <v>108.43120270275897</v>
          </cell>
        </row>
        <row r="208">
          <cell r="AY208">
            <v>57.364944804937565</v>
          </cell>
          <cell r="AZ208">
            <v>0.50145143880579912</v>
          </cell>
          <cell r="BB208">
            <v>129.4242727774234</v>
          </cell>
          <cell r="BR208">
            <v>111.89946758639846</v>
          </cell>
        </row>
        <row r="209">
          <cell r="AY209">
            <v>57.418668150083597</v>
          </cell>
          <cell r="AZ209">
            <v>0.47119476502599783</v>
          </cell>
          <cell r="BB209">
            <v>131.11893325059657</v>
          </cell>
          <cell r="BR209">
            <v>111.98683846709983</v>
          </cell>
        </row>
        <row r="210">
          <cell r="AY210">
            <v>57.217147304037255</v>
          </cell>
          <cell r="AZ210">
            <v>0.46201037289063729</v>
          </cell>
          <cell r="BB210">
            <v>132.03606809057149</v>
          </cell>
          <cell r="BR210">
            <v>113.10657987465447</v>
          </cell>
        </row>
        <row r="211">
          <cell r="BB211">
            <v>132.42813896018779</v>
          </cell>
          <cell r="BR211">
            <v>115.24376319109841</v>
          </cell>
        </row>
        <row r="212">
          <cell r="BB212">
            <v>133.55623384377358</v>
          </cell>
        </row>
      </sheetData>
      <sheetData sheetId="15" refreshError="1"/>
      <sheetData sheetId="16"/>
      <sheetData sheetId="17"/>
      <sheetData sheetId="18"/>
      <sheetData sheetId="19" refreshError="1"/>
      <sheetData sheetId="20" refreshError="1"/>
      <sheetData sheetId="21" refreshError="1"/>
      <sheetData sheetId="22"/>
      <sheetData sheetId="23" refreshError="1"/>
      <sheetData sheetId="24" refreshError="1"/>
      <sheetData sheetId="25" refreshError="1"/>
      <sheetData sheetId="26"/>
      <sheetData sheetId="27"/>
      <sheetData sheetId="28"/>
      <sheetData sheetId="29" refreshError="1"/>
      <sheetData sheetId="30" refreshError="1"/>
      <sheetData sheetId="31" refreshError="1"/>
      <sheetData sheetId="32"/>
      <sheetData sheetId="33" refreshError="1"/>
      <sheetData sheetId="34" refreshError="1"/>
      <sheetData sheetId="35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CT-NEER"/>
      <sheetName val="CT-REERCPI"/>
      <sheetName val="CT-REERULC"/>
      <sheetName val="CT-REERPPI"/>
      <sheetName val="ct-neer2"/>
      <sheetName val="CT-reercpi2"/>
      <sheetName val="CT-reerulc2"/>
      <sheetName val="CT-reerppi2"/>
      <sheetName val="ChartVH_temp"/>
      <sheetName val="ControlSheet"/>
      <sheetName val="input_NSA"/>
      <sheetName val="inpu_SA"/>
      <sheetName val="REER ULC rev"/>
      <sheetName val="REER"/>
      <sheetName val="C"/>
      <sheetName val="D"/>
      <sheetName val="E"/>
      <sheetName val="F"/>
      <sheetName val="tables"/>
      <sheetName val="H"/>
      <sheetName val="Chart1"/>
      <sheetName val="Transfer EDDS"/>
      <sheetName val="Chart_reera1"/>
      <sheetName val="Chart_reera2"/>
      <sheetName val="Chart_reera3"/>
      <sheetName val="Panel1"/>
      <sheetName val="Sheet1"/>
      <sheetName val="Panel2"/>
      <sheetName val="CT_NEER"/>
      <sheetName val="Chart2"/>
      <sheetName val="Chart3"/>
      <sheetName val="Fig8"/>
      <sheetName val="CT_reer_INS"/>
      <sheetName val="CT_REER CPI_INS"/>
      <sheetName val="Chart4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/>
      <sheetData sheetId="14" refreshError="1">
        <row r="1">
          <cell r="F1" t="str">
            <v>CPI111</v>
          </cell>
        </row>
        <row r="11">
          <cell r="C11" t="str">
            <v>Mar90</v>
          </cell>
        </row>
        <row r="14">
          <cell r="C14" t="str">
            <v>Jun</v>
          </cell>
        </row>
        <row r="17">
          <cell r="C17" t="str">
            <v>Sep</v>
          </cell>
        </row>
        <row r="20">
          <cell r="C20" t="str">
            <v>Dec</v>
          </cell>
        </row>
        <row r="23">
          <cell r="C23" t="str">
            <v>Mar91</v>
          </cell>
        </row>
        <row r="26">
          <cell r="C26" t="str">
            <v>Jun</v>
          </cell>
        </row>
        <row r="29">
          <cell r="C29" t="str">
            <v>Sep</v>
          </cell>
        </row>
        <row r="32">
          <cell r="C32" t="str">
            <v>Dec</v>
          </cell>
        </row>
        <row r="35">
          <cell r="C35" t="str">
            <v>Mar92</v>
          </cell>
        </row>
        <row r="38">
          <cell r="C38" t="str">
            <v>Jun</v>
          </cell>
        </row>
        <row r="41">
          <cell r="C41" t="str">
            <v>Sep</v>
          </cell>
        </row>
        <row r="44">
          <cell r="C44" t="str">
            <v>Dec</v>
          </cell>
        </row>
        <row r="47">
          <cell r="C47" t="str">
            <v>Mar93</v>
          </cell>
        </row>
        <row r="50">
          <cell r="C50" t="str">
            <v>Jun</v>
          </cell>
        </row>
        <row r="53">
          <cell r="C53" t="str">
            <v>Sep</v>
          </cell>
        </row>
        <row r="56">
          <cell r="C56" t="str">
            <v>Dec</v>
          </cell>
        </row>
        <row r="59">
          <cell r="C59" t="str">
            <v>Mar94</v>
          </cell>
        </row>
        <row r="62">
          <cell r="C62" t="str">
            <v>Jun</v>
          </cell>
        </row>
        <row r="65">
          <cell r="C65" t="str">
            <v>Sep</v>
          </cell>
        </row>
        <row r="68">
          <cell r="C68" t="str">
            <v>Dec</v>
          </cell>
        </row>
        <row r="71">
          <cell r="C71" t="str">
            <v>Mar95</v>
          </cell>
        </row>
        <row r="74">
          <cell r="C74" t="str">
            <v>Jun</v>
          </cell>
        </row>
        <row r="140">
          <cell r="BK140">
            <v>90.145299612313636</v>
          </cell>
          <cell r="BN140">
            <v>112.36460206325194</v>
          </cell>
        </row>
        <row r="146">
          <cell r="BR146" t="str">
            <v>$NULCG6</v>
          </cell>
        </row>
        <row r="147">
          <cell r="BB147" t="str">
            <v>Index, Jan-Sept 1990=100</v>
          </cell>
        </row>
        <row r="149">
          <cell r="AY149" t="str">
            <v>Index, Jan-Sept 1990=100</v>
          </cell>
          <cell r="BR149" t="str">
            <v>$NULCG6</v>
          </cell>
        </row>
        <row r="150">
          <cell r="AY150" t="str">
            <v>NEER</v>
          </cell>
          <cell r="AZ150" t="str">
            <v>REER</v>
          </cell>
          <cell r="BB150" t="str">
            <v>REER</v>
          </cell>
        </row>
        <row r="151">
          <cell r="AY151" t="str">
            <v>(czech/</v>
          </cell>
          <cell r="AZ151" t="str">
            <v>(CPI based)</v>
          </cell>
          <cell r="BB151" t="str">
            <v>(PPI based)</v>
          </cell>
        </row>
        <row r="152">
          <cell r="AY152" t="str">
            <v>$nomxrg6)</v>
          </cell>
        </row>
        <row r="153">
          <cell r="AY153" t="str">
            <v>neer</v>
          </cell>
          <cell r="AZ153" t="str">
            <v>reerc</v>
          </cell>
          <cell r="BB153" t="str">
            <v>reerp</v>
          </cell>
        </row>
        <row r="154">
          <cell r="AY154">
            <v>102.86789797269462</v>
          </cell>
          <cell r="AZ154">
            <v>1.009642963192813</v>
          </cell>
          <cell r="BB154">
            <v>99.628468216542174</v>
          </cell>
          <cell r="BR154">
            <v>95.691962942667203</v>
          </cell>
        </row>
        <row r="155">
          <cell r="AY155">
            <v>99.947925183606046</v>
          </cell>
          <cell r="AZ155">
            <v>0.90584955274081691</v>
          </cell>
          <cell r="BB155">
            <v>95.434709131531818</v>
          </cell>
          <cell r="BR155">
            <v>97.295901743191223</v>
          </cell>
        </row>
        <row r="156">
          <cell r="AY156">
            <v>100.91072848615903</v>
          </cell>
          <cell r="AZ156">
            <v>1.0486060074945365</v>
          </cell>
          <cell r="BB156">
            <v>95.744050870788996</v>
          </cell>
          <cell r="BR156">
            <v>96.411216455223325</v>
          </cell>
        </row>
        <row r="157">
          <cell r="AY157">
            <v>100.37548391924503</v>
          </cell>
          <cell r="AZ157">
            <v>1.0096271689377452</v>
          </cell>
          <cell r="BB157">
            <v>95.834237220419894</v>
          </cell>
          <cell r="BR157">
            <v>98.084662018047695</v>
          </cell>
        </row>
        <row r="158">
          <cell r="AY158">
            <v>100.24539209966674</v>
          </cell>
          <cell r="AZ158">
            <v>1.0162113742847021</v>
          </cell>
          <cell r="BB158">
            <v>96.390366140930439</v>
          </cell>
          <cell r="BR158">
            <v>100.4380590649068</v>
          </cell>
        </row>
        <row r="159">
          <cell r="AY159">
            <v>99.406466786284071</v>
          </cell>
          <cell r="AZ159">
            <v>1.0058013162293933</v>
          </cell>
          <cell r="BB159">
            <v>96.891987257323052</v>
          </cell>
          <cell r="BR159">
            <v>99.255834884469436</v>
          </cell>
        </row>
        <row r="160">
          <cell r="AY160">
            <v>99.043344271983258</v>
          </cell>
          <cell r="AZ160">
            <v>0.99825031296119759</v>
          </cell>
          <cell r="BB160">
            <v>104.75520681254494</v>
          </cell>
          <cell r="BR160">
            <v>101.59603165985909</v>
          </cell>
        </row>
        <row r="161">
          <cell r="AY161">
            <v>98.224383732714244</v>
          </cell>
          <cell r="AZ161">
            <v>0.90352240973764386</v>
          </cell>
          <cell r="BB161">
            <v>106.43162390008962</v>
          </cell>
          <cell r="BR161">
            <v>105.45309736673832</v>
          </cell>
        </row>
        <row r="162">
          <cell r="AY162">
            <v>99.270019289441464</v>
          </cell>
          <cell r="AZ162">
            <v>0.91320229072180292</v>
          </cell>
          <cell r="BB162">
            <v>108.51287026828214</v>
          </cell>
          <cell r="BR162">
            <v>105.77323386489692</v>
          </cell>
        </row>
        <row r="163">
          <cell r="AY163">
            <v>75.108316466956168</v>
          </cell>
          <cell r="AZ163">
            <v>0.74689509092898387</v>
          </cell>
          <cell r="BB163">
            <v>83.098393824811879</v>
          </cell>
          <cell r="BR163">
            <v>109.03270591450871</v>
          </cell>
        </row>
        <row r="164">
          <cell r="AY164">
            <v>62.85120983133713</v>
          </cell>
          <cell r="AZ164">
            <v>0.69176599641183467</v>
          </cell>
          <cell r="BB164">
            <v>70.658774539049006</v>
          </cell>
          <cell r="BR164">
            <v>111.45691523948409</v>
          </cell>
        </row>
        <row r="165">
          <cell r="AY165">
            <v>61.776502297974325</v>
          </cell>
          <cell r="AZ165">
            <v>0.63812772138269314</v>
          </cell>
          <cell r="BB165">
            <v>69.310923367402808</v>
          </cell>
          <cell r="BR165">
            <v>111.18025598994335</v>
          </cell>
        </row>
        <row r="166">
          <cell r="AY166">
            <v>54.558086574227595</v>
          </cell>
          <cell r="AZ166">
            <v>0.52270821897392594</v>
          </cell>
          <cell r="BB166">
            <v>74.876734071685775</v>
          </cell>
          <cell r="BR166">
            <v>110.29792595046035</v>
          </cell>
        </row>
        <row r="167">
          <cell r="AY167">
            <v>54.015349274176515</v>
          </cell>
          <cell r="AZ167">
            <v>0.47988117591450397</v>
          </cell>
          <cell r="BB167">
            <v>77.700151743643303</v>
          </cell>
          <cell r="BR167">
            <v>112.61713711212916</v>
          </cell>
        </row>
        <row r="168">
          <cell r="AY168">
            <v>55.290903978447936</v>
          </cell>
          <cell r="AZ168">
            <v>0.56039049020909004</v>
          </cell>
          <cell r="BB168">
            <v>82.650913539433446</v>
          </cell>
          <cell r="BR168">
            <v>106.1393269872501</v>
          </cell>
        </row>
        <row r="169">
          <cell r="AY169">
            <v>55.912880617050263</v>
          </cell>
          <cell r="AZ169">
            <v>0.54919522992492209</v>
          </cell>
          <cell r="BB169">
            <v>85.696392246293911</v>
          </cell>
          <cell r="BR169">
            <v>102.14514072132152</v>
          </cell>
        </row>
        <row r="170">
          <cell r="AY170">
            <v>56.055952541289635</v>
          </cell>
          <cell r="AZ170">
            <v>0.55724065940892986</v>
          </cell>
          <cell r="BB170">
            <v>88.494629135030536</v>
          </cell>
          <cell r="BR170">
            <v>102.4437403724986</v>
          </cell>
        </row>
        <row r="171">
          <cell r="AY171">
            <v>56.615537036050299</v>
          </cell>
          <cell r="AZ171">
            <v>0.55913778196545905</v>
          </cell>
          <cell r="BB171">
            <v>91.651718075236374</v>
          </cell>
          <cell r="BR171">
            <v>98.610193879527401</v>
          </cell>
        </row>
        <row r="172">
          <cell r="AY172">
            <v>56.49905789331369</v>
          </cell>
          <cell r="AZ172">
            <v>0.55047749176402194</v>
          </cell>
          <cell r="BB172">
            <v>91.357517662392098</v>
          </cell>
          <cell r="BR172">
            <v>97.854489402868367</v>
          </cell>
        </row>
        <row r="173">
          <cell r="AY173">
            <v>56.157780520566568</v>
          </cell>
          <cell r="AZ173">
            <v>0.50339852751922243</v>
          </cell>
          <cell r="BB173">
            <v>91.426603220650108</v>
          </cell>
          <cell r="BR173">
            <v>99.735028326539265</v>
          </cell>
        </row>
        <row r="174">
          <cell r="AY174">
            <v>55.715493594823606</v>
          </cell>
          <cell r="AZ174">
            <v>0.49966963053337499</v>
          </cell>
          <cell r="BB174">
            <v>91.31354856636348</v>
          </cell>
          <cell r="BR174">
            <v>102.7981466749476</v>
          </cell>
        </row>
        <row r="175">
          <cell r="AY175">
            <v>55.752640753576912</v>
          </cell>
          <cell r="AZ175">
            <v>0.53751826927998125</v>
          </cell>
          <cell r="BB175">
            <v>91.889365073420862</v>
          </cell>
          <cell r="BR175">
            <v>104.02007099628467</v>
          </cell>
        </row>
        <row r="176">
          <cell r="AY176">
            <v>55.215393479311601</v>
          </cell>
          <cell r="AZ176">
            <v>0.58819341531803637</v>
          </cell>
          <cell r="BB176">
            <v>91.827677077459356</v>
          </cell>
          <cell r="BR176">
            <v>108.32028665722207</v>
          </cell>
        </row>
        <row r="177">
          <cell r="AY177">
            <v>54.700026761852506</v>
          </cell>
          <cell r="AZ177">
            <v>0.54520374429306806</v>
          </cell>
          <cell r="BB177">
            <v>91.481117726075098</v>
          </cell>
          <cell r="BR177">
            <v>111.37038443362279</v>
          </cell>
        </row>
        <row r="178">
          <cell r="AY178">
            <v>55.259209273165851</v>
          </cell>
          <cell r="AZ178">
            <v>0.50191922404464284</v>
          </cell>
          <cell r="BB178">
            <v>90.926560824615621</v>
          </cell>
          <cell r="BR178">
            <v>110.47021413309579</v>
          </cell>
        </row>
        <row r="179">
          <cell r="AY179">
            <v>55.725338712473693</v>
          </cell>
          <cell r="AZ179">
            <v>0.47289124089802442</v>
          </cell>
          <cell r="BB179">
            <v>91.014189822846134</v>
          </cell>
          <cell r="BR179">
            <v>107.69599003388875</v>
          </cell>
        </row>
        <row r="180">
          <cell r="AY180">
            <v>56.338311050802439</v>
          </cell>
          <cell r="AZ180">
            <v>0.53779372040718754</v>
          </cell>
          <cell r="BB180">
            <v>92.232958779605141</v>
          </cell>
          <cell r="BR180">
            <v>105.59519621476437</v>
          </cell>
        </row>
        <row r="181">
          <cell r="AY181">
            <v>56.12819460661035</v>
          </cell>
          <cell r="AZ181">
            <v>0.52031027090067539</v>
          </cell>
          <cell r="BB181">
            <v>92.772626968143811</v>
          </cell>
          <cell r="BR181">
            <v>106.78641712218815</v>
          </cell>
        </row>
        <row r="182">
          <cell r="AY182">
            <v>55.606727354075247</v>
          </cell>
          <cell r="AZ182">
            <v>0.52875625203352927</v>
          </cell>
          <cell r="BB182">
            <v>93.001698001445021</v>
          </cell>
          <cell r="BR182">
            <v>108.9704112267649</v>
          </cell>
        </row>
        <row r="183">
          <cell r="AY183">
            <v>54.97563313774311</v>
          </cell>
          <cell r="AZ183">
            <v>0.51822981815012714</v>
          </cell>
          <cell r="BB183">
            <v>92.865824432529138</v>
          </cell>
          <cell r="BR183">
            <v>112.47219189814078</v>
          </cell>
        </row>
        <row r="184">
          <cell r="AY184">
            <v>56.029281527488742</v>
          </cell>
          <cell r="AZ184">
            <v>0.52196485425297834</v>
          </cell>
          <cell r="BB184">
            <v>96.507376411799996</v>
          </cell>
          <cell r="BR184">
            <v>118.53657121506585</v>
          </cell>
        </row>
        <row r="185">
          <cell r="AY185">
            <v>53.501955004322753</v>
          </cell>
          <cell r="AZ185">
            <v>0.46212444178161682</v>
          </cell>
          <cell r="BB185">
            <v>93.135226312378833</v>
          </cell>
          <cell r="BR185">
            <v>121.89324328227858</v>
          </cell>
        </row>
        <row r="186">
          <cell r="AY186">
            <v>53.984185077433558</v>
          </cell>
          <cell r="AZ186">
            <v>0.46461534940216043</v>
          </cell>
          <cell r="BB186">
            <v>95.833387244499704</v>
          </cell>
          <cell r="BR186">
            <v>121.40140706967321</v>
          </cell>
        </row>
        <row r="187">
          <cell r="AY187">
            <v>55.479366182888569</v>
          </cell>
          <cell r="AZ187">
            <v>0.51685485848213586</v>
          </cell>
          <cell r="BB187">
            <v>100.72685496254793</v>
          </cell>
          <cell r="BR187">
            <v>117.53701277641271</v>
          </cell>
        </row>
        <row r="188">
          <cell r="AY188">
            <v>56.527811581069173</v>
          </cell>
          <cell r="AZ188">
            <v>0.58733078310468356</v>
          </cell>
          <cell r="BB188">
            <v>104.49852848523471</v>
          </cell>
          <cell r="BR188">
            <v>111.00441158319794</v>
          </cell>
        </row>
        <row r="189">
          <cell r="AY189">
            <v>56.466318920958159</v>
          </cell>
          <cell r="AZ189">
            <v>0.54467255674537707</v>
          </cell>
          <cell r="BB189">
            <v>104.67214134739345</v>
          </cell>
          <cell r="BR189">
            <v>110.92576832344108</v>
          </cell>
        </row>
        <row r="190">
          <cell r="AY190">
            <v>57.115684349787053</v>
          </cell>
          <cell r="AZ190">
            <v>0.49491628187393039</v>
          </cell>
          <cell r="BB190">
            <v>112.23791113848783</v>
          </cell>
          <cell r="BR190">
            <v>108.29879700559285</v>
          </cell>
        </row>
        <row r="191">
          <cell r="AY191">
            <v>57.945082835354</v>
          </cell>
          <cell r="AZ191">
            <v>0.47334006101170639</v>
          </cell>
          <cell r="BB191">
            <v>114.56545813830773</v>
          </cell>
          <cell r="BR191">
            <v>106.39483427575698</v>
          </cell>
        </row>
        <row r="192">
          <cell r="AY192">
            <v>58.149865425301343</v>
          </cell>
          <cell r="AZ192">
            <v>0.52731149208694328</v>
          </cell>
          <cell r="BB192">
            <v>115.57642065439403</v>
          </cell>
          <cell r="BR192">
            <v>106.1576239233615</v>
          </cell>
        </row>
        <row r="193">
          <cell r="AY193">
            <v>57.421529417366635</v>
          </cell>
          <cell r="AZ193">
            <v>0.50876388469734279</v>
          </cell>
          <cell r="BB193">
            <v>115.19325046803561</v>
          </cell>
          <cell r="BR193">
            <v>109.74526011834655</v>
          </cell>
        </row>
        <row r="194">
          <cell r="AY194">
            <v>57.129121222526145</v>
          </cell>
          <cell r="AZ194">
            <v>0.52822287627554354</v>
          </cell>
          <cell r="BB194">
            <v>115.95632307977576</v>
          </cell>
          <cell r="BR194">
            <v>110.06813666962888</v>
          </cell>
        </row>
        <row r="195">
          <cell r="AY195">
            <v>57.489793283476899</v>
          </cell>
          <cell r="AZ195">
            <v>0.52333103896538491</v>
          </cell>
          <cell r="BB195">
            <v>118.01739555428223</v>
          </cell>
          <cell r="BR195">
            <v>107.7680015111452</v>
          </cell>
        </row>
        <row r="196">
          <cell r="AY196">
            <v>57.996384480229487</v>
          </cell>
          <cell r="AZ196">
            <v>0.51958168623795009</v>
          </cell>
          <cell r="BB196">
            <v>120.40677174589869</v>
          </cell>
          <cell r="BR196">
            <v>104.2409149423403</v>
          </cell>
        </row>
        <row r="197">
          <cell r="AY197">
            <v>58.01054950005409</v>
          </cell>
          <cell r="AZ197">
            <v>0.48548465689332138</v>
          </cell>
          <cell r="BB197">
            <v>121.74527216982113</v>
          </cell>
          <cell r="BR197">
            <v>104.91547321491366</v>
          </cell>
        </row>
        <row r="198">
          <cell r="AY198">
            <v>57.6212361845689</v>
          </cell>
          <cell r="AZ198">
            <v>0.47719119328193266</v>
          </cell>
          <cell r="BB198">
            <v>122.59863817796432</v>
          </cell>
          <cell r="BR198">
            <v>108.69752125842918</v>
          </cell>
        </row>
        <row r="199">
          <cell r="AY199">
            <v>58.217291803783475</v>
          </cell>
          <cell r="AZ199">
            <v>0.52092006293441795</v>
          </cell>
          <cell r="BB199">
            <v>125.19071254430838</v>
          </cell>
          <cell r="BR199">
            <v>107.19885986473182</v>
          </cell>
        </row>
        <row r="200">
          <cell r="AY200">
            <v>58.506040312859533</v>
          </cell>
          <cell r="AZ200">
            <v>0.5901055816720554</v>
          </cell>
          <cell r="BB200">
            <v>126.22005615382726</v>
          </cell>
          <cell r="BR200">
            <v>104.02696339393587</v>
          </cell>
        </row>
        <row r="201">
          <cell r="AY201">
            <v>58.539475852722923</v>
          </cell>
          <cell r="AZ201">
            <v>0.54002173907925877</v>
          </cell>
          <cell r="BB201">
            <v>127.78599258269801</v>
          </cell>
          <cell r="BR201">
            <v>104.22766650071105</v>
          </cell>
        </row>
        <row r="202">
          <cell r="AY202">
            <v>58.686797979728709</v>
          </cell>
          <cell r="AZ202">
            <v>0.49219152015457668</v>
          </cell>
          <cell r="BB202">
            <v>127.24782485090257</v>
          </cell>
          <cell r="BR202">
            <v>103.71768974334496</v>
          </cell>
        </row>
        <row r="203">
          <cell r="AY203">
            <v>58.512051153900032</v>
          </cell>
          <cell r="AZ203">
            <v>0.46583880811168621</v>
          </cell>
          <cell r="BB203">
            <v>126.72927078211971</v>
          </cell>
          <cell r="BR203">
            <v>104.93841999759694</v>
          </cell>
        </row>
        <row r="204">
          <cell r="AY204">
            <v>58.256436021626691</v>
          </cell>
          <cell r="AZ204">
            <v>0.50706163561399498</v>
          </cell>
          <cell r="BB204">
            <v>126.75091583400464</v>
          </cell>
          <cell r="BR204">
            <v>106.36789359219681</v>
          </cell>
        </row>
        <row r="205">
          <cell r="AY205">
            <v>58.152780907580237</v>
          </cell>
          <cell r="AZ205">
            <v>0.49976394690650044</v>
          </cell>
          <cell r="BB205">
            <v>127.58613590811495</v>
          </cell>
          <cell r="BR205">
            <v>105.38392749462197</v>
          </cell>
        </row>
        <row r="206">
          <cell r="AY206">
            <v>57.830853856170549</v>
          </cell>
          <cell r="AZ206">
            <v>0.52513312910879206</v>
          </cell>
          <cell r="BB206">
            <v>128.02554913621626</v>
          </cell>
          <cell r="BR206">
            <v>106.81663562281649</v>
          </cell>
        </row>
        <row r="207">
          <cell r="AY207">
            <v>57.637037001166128</v>
          </cell>
          <cell r="AZ207">
            <v>0.51348097145076543</v>
          </cell>
          <cell r="BB207">
            <v>129.04483366657445</v>
          </cell>
          <cell r="BR207">
            <v>108.43120270275897</v>
          </cell>
        </row>
        <row r="208">
          <cell r="AY208">
            <v>57.364944804937565</v>
          </cell>
          <cell r="AZ208">
            <v>0.50145143880579912</v>
          </cell>
          <cell r="BB208">
            <v>129.4242727774234</v>
          </cell>
          <cell r="BR208">
            <v>111.89946758639846</v>
          </cell>
        </row>
        <row r="209">
          <cell r="AY209">
            <v>57.418668150083597</v>
          </cell>
          <cell r="AZ209">
            <v>0.47119476502599783</v>
          </cell>
          <cell r="BB209">
            <v>131.11893325059657</v>
          </cell>
          <cell r="BR209">
            <v>111.98683846709983</v>
          </cell>
        </row>
        <row r="210">
          <cell r="AY210">
            <v>57.217147304037255</v>
          </cell>
          <cell r="AZ210">
            <v>0.46201037289063729</v>
          </cell>
          <cell r="BB210">
            <v>132.03606809057149</v>
          </cell>
          <cell r="BR210">
            <v>113.10657987465447</v>
          </cell>
        </row>
        <row r="211">
          <cell r="BB211">
            <v>132.42813896018779</v>
          </cell>
          <cell r="BR211">
            <v>115.24376319109841</v>
          </cell>
        </row>
        <row r="212">
          <cell r="BB212">
            <v>133.55623384377358</v>
          </cell>
        </row>
      </sheetData>
      <sheetData sheetId="15" refreshError="1"/>
      <sheetData sheetId="16"/>
      <sheetData sheetId="17"/>
      <sheetData sheetId="18"/>
      <sheetData sheetId="19" refreshError="1"/>
      <sheetData sheetId="20" refreshError="1"/>
      <sheetData sheetId="21" refreshError="1"/>
      <sheetData sheetId="22"/>
      <sheetData sheetId="23" refreshError="1"/>
      <sheetData sheetId="24" refreshError="1"/>
      <sheetData sheetId="25" refreshError="1"/>
      <sheetData sheetId="26"/>
      <sheetData sheetId="27"/>
      <sheetData sheetId="28"/>
      <sheetData sheetId="29" refreshError="1"/>
      <sheetData sheetId="30" refreshError="1"/>
      <sheetData sheetId="31" refreshError="1"/>
      <sheetData sheetId="32"/>
      <sheetData sheetId="33" refreshError="1"/>
      <sheetData sheetId="34" refreshError="1"/>
      <sheetData sheetId="35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of Contents"/>
      <sheetName val="Medium Term Table"/>
      <sheetName val="Assumptions"/>
      <sheetName val="Quarterly Program"/>
      <sheetName val="NBM Balance Sheet"/>
      <sheetName val="Monetary Survey"/>
      <sheetName val="CPI"/>
      <sheetName val="Monetary Program"/>
      <sheetName val="Wages"/>
      <sheetName val="National Accounts"/>
      <sheetName val="Program Model Inpu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Notes"/>
      <sheetName val="X-Ranges"/>
      <sheetName val="M-Ranges"/>
      <sheetName val="WEO Ass"/>
      <sheetName val="SR-Tab5-bop"/>
      <sheetName val="SR-Tabs7&amp;8-mt"/>
      <sheetName val="vul-ind SRversion"/>
      <sheetName val="vul-ind PDRversion"/>
      <sheetName val="Indicators"/>
      <sheetName val="BOP Stress "/>
      <sheetName val="BOPdetail"/>
      <sheetName val="Trade"/>
      <sheetName val="Debt"/>
      <sheetName val="G"/>
      <sheetName val="Profits"/>
      <sheetName val="Inv. Income"/>
      <sheetName val="NIR"/>
      <sheetName val="SA-Tab 27"/>
      <sheetName val="SA-Tab 28"/>
      <sheetName val="SA Tab 29"/>
      <sheetName val="SA Tab 30"/>
      <sheetName val="Oper.Budg."/>
      <sheetName val="OilShock"/>
      <sheetName val="K"/>
      <sheetName val="J"/>
      <sheetName val="cobra"/>
      <sheetName val="OldTab28"/>
      <sheetName val="OldTab35"/>
      <sheetName val="OldTab36"/>
      <sheetName val="Old Summ BoP"/>
      <sheetName val="Old Brf-Tbl"/>
      <sheetName val="OldSR-Tbl"/>
      <sheetName val="WE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of Contents"/>
      <sheetName val="Medium Term Table"/>
      <sheetName val="Assumptions"/>
      <sheetName val="Quarterly Program"/>
      <sheetName val="NBM Balance Sheet"/>
      <sheetName val="Monetary Survey"/>
      <sheetName val="CPI"/>
      <sheetName val="Monetary Program"/>
      <sheetName val="Wages"/>
      <sheetName val="National Accounts"/>
      <sheetName val="Program Model Inpu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of Contents"/>
      <sheetName val="Medium Term Table"/>
      <sheetName val="Assumptions"/>
      <sheetName val="Quarterly Program"/>
      <sheetName val="NBM Balance Sheet"/>
      <sheetName val="Monetary Survey"/>
      <sheetName val="CPI"/>
      <sheetName val="Monetary Program"/>
      <sheetName val="Wages"/>
      <sheetName val="National Accounts"/>
      <sheetName val="Program Model Inpu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theme/theme1.xml><?xml version="1.0" encoding="utf-8"?>
<a:theme xmlns:a="http://schemas.openxmlformats.org/drawingml/2006/main" name="Motív balíka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1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7.xml"/><Relationship Id="rId1" Type="http://schemas.openxmlformats.org/officeDocument/2006/relationships/printerSettings" Target="../printerSettings/printerSettings77.bin"/></Relationships>
</file>

<file path=xl/worksheets/_rels/sheet1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78.bin"/></Relationships>
</file>

<file path=xl/worksheets/_rels/sheet10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29.xml"/><Relationship Id="rId1" Type="http://schemas.openxmlformats.org/officeDocument/2006/relationships/printerSettings" Target="../printerSettings/printerSettings79.bin"/><Relationship Id="rId4" Type="http://schemas.openxmlformats.org/officeDocument/2006/relationships/comments" Target="../comments1.xml"/></Relationships>
</file>

<file path=xl/worksheets/_rels/sheet1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80.bin"/></Relationships>
</file>

<file path=xl/worksheets/_rels/sheet1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1.xml"/><Relationship Id="rId1" Type="http://schemas.openxmlformats.org/officeDocument/2006/relationships/printerSettings" Target="../printerSettings/printerSettings81.bin"/></Relationships>
</file>

<file path=xl/worksheets/_rels/sheet1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2.xml"/><Relationship Id="rId1" Type="http://schemas.openxmlformats.org/officeDocument/2006/relationships/printerSettings" Target="../printerSettings/printerSettings82.bin"/></Relationships>
</file>

<file path=xl/worksheets/_rels/sheet1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3.xml"/><Relationship Id="rId1" Type="http://schemas.openxmlformats.org/officeDocument/2006/relationships/printerSettings" Target="../printerSettings/printerSettings83.bin"/></Relationships>
</file>

<file path=xl/worksheets/_rels/sheet1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84.bin"/></Relationships>
</file>

<file path=xl/worksheets/_rels/sheet10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5.xml"/><Relationship Id="rId1" Type="http://schemas.openxmlformats.org/officeDocument/2006/relationships/printerSettings" Target="../printerSettings/printerSettings85.bin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6.xml"/><Relationship Id="rId1" Type="http://schemas.openxmlformats.org/officeDocument/2006/relationships/printerSettings" Target="../printerSettings/printerSettings86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8.xml"/></Relationships>
</file>

<file path=xl/worksheets/_rels/sheet1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9.xml"/><Relationship Id="rId1" Type="http://schemas.openxmlformats.org/officeDocument/2006/relationships/printerSettings" Target="../printerSettings/printerSettings87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0.xml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1.xml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2.xml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3.xml"/></Relationships>
</file>

<file path=xl/worksheets/_rels/sheet1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4.xml"/><Relationship Id="rId1" Type="http://schemas.openxmlformats.org/officeDocument/2006/relationships/printerSettings" Target="../printerSettings/printerSettings88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5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7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8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9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0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1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2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23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2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2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2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2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2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2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3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3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3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3.xml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3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5.xml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6.xml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7.xml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8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35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36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37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38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39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40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41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42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43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4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45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46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47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48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49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50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51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1.xml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2.xml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3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4.xml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52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53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54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55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56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57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58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59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60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61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62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63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64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65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9.xml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6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3.xml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67.bin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6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69.bin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0.xml"/><Relationship Id="rId1" Type="http://schemas.openxmlformats.org/officeDocument/2006/relationships/printerSettings" Target="../printerSettings/printerSettings70.bin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71.bin"/></Relationships>
</file>

<file path=xl/worksheets/_rels/sheet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72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3.xml"/></Relationships>
</file>

<file path=xl/worksheets/_rels/sheet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73.bin"/></Relationships>
</file>

<file path=xl/worksheets/_rels/sheet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2.xml"/><Relationship Id="rId1" Type="http://schemas.openxmlformats.org/officeDocument/2006/relationships/printerSettings" Target="../printerSettings/printerSettings74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4.xml"/></Relationships>
</file>

<file path=xl/worksheets/_rels/sheet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5.xml"/><Relationship Id="rId1" Type="http://schemas.openxmlformats.org/officeDocument/2006/relationships/printerSettings" Target="../printerSettings/printerSettings75.bin"/></Relationships>
</file>

<file path=xl/worksheets/_rels/sheet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6.xml"/><Relationship Id="rId1" Type="http://schemas.openxmlformats.org/officeDocument/2006/relationships/printerSettings" Target="../printerSettings/printerSettings7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37"/>
  <sheetViews>
    <sheetView showGridLines="0" topLeftCell="A34" workbookViewId="0">
      <selection activeCell="A53" sqref="A53"/>
    </sheetView>
  </sheetViews>
  <sheetFormatPr defaultRowHeight="12.75"/>
  <cols>
    <col min="1" max="1" width="124" customWidth="1"/>
  </cols>
  <sheetData>
    <row r="1" spans="1:1" ht="21">
      <c r="A1" s="418" t="s">
        <v>424</v>
      </c>
    </row>
    <row r="2" spans="1:1">
      <c r="A2" s="419" t="s">
        <v>423</v>
      </c>
    </row>
    <row r="3" spans="1:1" ht="10.5" customHeight="1">
      <c r="A3" s="7"/>
    </row>
    <row r="4" spans="1:1" s="7" customFormat="1" ht="9.75" customHeight="1"/>
    <row r="5" spans="1:1" s="420" customFormat="1" ht="13.5" customHeight="1">
      <c r="A5" s="1647" t="s">
        <v>298</v>
      </c>
    </row>
    <row r="6" spans="1:1" s="420" customFormat="1" ht="13.5" customHeight="1">
      <c r="A6" s="1647" t="s">
        <v>299</v>
      </c>
    </row>
    <row r="7" spans="1:1" s="420" customFormat="1" ht="13.5" customHeight="1">
      <c r="A7" s="1647" t="s">
        <v>300</v>
      </c>
    </row>
    <row r="8" spans="1:1" s="420" customFormat="1" ht="13.5" customHeight="1">
      <c r="A8" s="1647" t="s">
        <v>301</v>
      </c>
    </row>
    <row r="9" spans="1:1" s="420" customFormat="1" ht="13.5" customHeight="1">
      <c r="A9" s="1647" t="s">
        <v>302</v>
      </c>
    </row>
    <row r="10" spans="1:1" s="420" customFormat="1" ht="13.5" customHeight="1">
      <c r="A10" s="1647" t="s">
        <v>303</v>
      </c>
    </row>
    <row r="11" spans="1:1" s="420" customFormat="1" ht="13.5" customHeight="1">
      <c r="A11" s="1647" t="s">
        <v>304</v>
      </c>
    </row>
    <row r="12" spans="1:1" s="420" customFormat="1" ht="13.5" customHeight="1">
      <c r="A12" s="1647" t="s">
        <v>305</v>
      </c>
    </row>
    <row r="13" spans="1:1" s="420" customFormat="1" ht="13.5" customHeight="1">
      <c r="A13" s="1647" t="s">
        <v>306</v>
      </c>
    </row>
    <row r="14" spans="1:1" s="420" customFormat="1" ht="13.5" customHeight="1">
      <c r="A14" s="1647" t="s">
        <v>307</v>
      </c>
    </row>
    <row r="15" spans="1:1" s="420" customFormat="1" ht="13.5" customHeight="1">
      <c r="A15" s="1647" t="s">
        <v>308</v>
      </c>
    </row>
    <row r="16" spans="1:1" s="420" customFormat="1" ht="13.5" customHeight="1">
      <c r="A16" s="1647" t="s">
        <v>309</v>
      </c>
    </row>
    <row r="17" spans="1:1" s="420" customFormat="1" ht="13.5" customHeight="1">
      <c r="A17" s="1647" t="s">
        <v>310</v>
      </c>
    </row>
    <row r="18" spans="1:1" s="420" customFormat="1" ht="13.5" customHeight="1">
      <c r="A18" s="1647" t="s">
        <v>311</v>
      </c>
    </row>
    <row r="19" spans="1:1" s="420" customFormat="1" ht="13.5" customHeight="1">
      <c r="A19" s="1647" t="s">
        <v>312</v>
      </c>
    </row>
    <row r="20" spans="1:1" s="420" customFormat="1" ht="13.5" customHeight="1">
      <c r="A20" s="1647" t="s">
        <v>313</v>
      </c>
    </row>
    <row r="21" spans="1:1" s="420" customFormat="1" ht="13.5" customHeight="1">
      <c r="A21" s="1647" t="s">
        <v>314</v>
      </c>
    </row>
    <row r="22" spans="1:1" s="420" customFormat="1" ht="13.5" customHeight="1">
      <c r="A22" s="1647" t="s">
        <v>315</v>
      </c>
    </row>
    <row r="23" spans="1:1" s="420" customFormat="1" ht="13.5" customHeight="1">
      <c r="A23" s="1647" t="s">
        <v>316</v>
      </c>
    </row>
    <row r="24" spans="1:1" s="420" customFormat="1" ht="13.5" customHeight="1">
      <c r="A24" s="1647" t="s">
        <v>317</v>
      </c>
    </row>
    <row r="25" spans="1:1" s="420" customFormat="1" ht="13.5" customHeight="1">
      <c r="A25" s="1647" t="s">
        <v>318</v>
      </c>
    </row>
    <row r="26" spans="1:1" s="420" customFormat="1" ht="13.5" customHeight="1">
      <c r="A26" s="1647" t="s">
        <v>319</v>
      </c>
    </row>
    <row r="27" spans="1:1" s="420" customFormat="1" ht="13.5" customHeight="1">
      <c r="A27" s="1647" t="s">
        <v>320</v>
      </c>
    </row>
    <row r="28" spans="1:1" s="420" customFormat="1" ht="13.5" customHeight="1">
      <c r="A28" s="1647" t="s">
        <v>321</v>
      </c>
    </row>
    <row r="29" spans="1:1" s="420" customFormat="1" ht="13.5" customHeight="1">
      <c r="A29" s="1647" t="s">
        <v>322</v>
      </c>
    </row>
    <row r="30" spans="1:1" s="420" customFormat="1" ht="13.5" customHeight="1">
      <c r="A30" s="1647" t="s">
        <v>323</v>
      </c>
    </row>
    <row r="31" spans="1:1" s="420" customFormat="1" ht="13.5" customHeight="1">
      <c r="A31" s="1647" t="s">
        <v>324</v>
      </c>
    </row>
    <row r="32" spans="1:1" s="420" customFormat="1" ht="13.5" customHeight="1">
      <c r="A32" s="1647" t="s">
        <v>325</v>
      </c>
    </row>
    <row r="33" spans="1:1" s="420" customFormat="1" ht="13.5" customHeight="1">
      <c r="A33" s="1647" t="s">
        <v>326</v>
      </c>
    </row>
    <row r="34" spans="1:1" s="420" customFormat="1" ht="13.5" customHeight="1">
      <c r="A34" s="1647" t="s">
        <v>327</v>
      </c>
    </row>
    <row r="35" spans="1:1" s="420" customFormat="1" ht="13.5" customHeight="1">
      <c r="A35" s="1647" t="s">
        <v>328</v>
      </c>
    </row>
    <row r="36" spans="1:1" s="420" customFormat="1" ht="13.5" customHeight="1">
      <c r="A36" s="1647" t="s">
        <v>329</v>
      </c>
    </row>
    <row r="37" spans="1:1" s="420" customFormat="1" ht="13.5" customHeight="1">
      <c r="A37" s="1647" t="s">
        <v>330</v>
      </c>
    </row>
    <row r="38" spans="1:1" s="420" customFormat="1" ht="13.5" customHeight="1">
      <c r="A38" s="1647" t="s">
        <v>331</v>
      </c>
    </row>
    <row r="39" spans="1:1" s="420" customFormat="1" ht="13.5" customHeight="1">
      <c r="A39" s="1647" t="s">
        <v>332</v>
      </c>
    </row>
    <row r="40" spans="1:1" s="420" customFormat="1" ht="13.5" customHeight="1">
      <c r="A40" s="1647" t="s">
        <v>333</v>
      </c>
    </row>
    <row r="41" spans="1:1" s="420" customFormat="1" ht="13.5" customHeight="1">
      <c r="A41" s="1647" t="s">
        <v>334</v>
      </c>
    </row>
    <row r="42" spans="1:1" s="420" customFormat="1" ht="13.5" customHeight="1">
      <c r="A42" s="1647" t="s">
        <v>335</v>
      </c>
    </row>
    <row r="43" spans="1:1" s="420" customFormat="1" ht="13.5" customHeight="1">
      <c r="A43" s="1647" t="s">
        <v>336</v>
      </c>
    </row>
    <row r="44" spans="1:1" s="420" customFormat="1" ht="13.5" customHeight="1">
      <c r="A44" s="1647" t="s">
        <v>337</v>
      </c>
    </row>
    <row r="45" spans="1:1" s="420" customFormat="1" ht="13.5" customHeight="1">
      <c r="A45" s="1647" t="s">
        <v>338</v>
      </c>
    </row>
    <row r="46" spans="1:1" s="420" customFormat="1" ht="13.5" customHeight="1">
      <c r="A46" s="1647" t="s">
        <v>339</v>
      </c>
    </row>
    <row r="47" spans="1:1" s="420" customFormat="1" ht="13.5" customHeight="1">
      <c r="A47" s="1647" t="s">
        <v>340</v>
      </c>
    </row>
    <row r="48" spans="1:1" s="420" customFormat="1" ht="13.5" customHeight="1">
      <c r="A48" s="1647" t="s">
        <v>295</v>
      </c>
    </row>
    <row r="49" spans="1:1" s="420" customFormat="1" ht="13.5" customHeight="1">
      <c r="A49" s="1647" t="s">
        <v>341</v>
      </c>
    </row>
    <row r="50" spans="1:1" s="420" customFormat="1" ht="13.5" customHeight="1">
      <c r="A50" s="1647" t="s">
        <v>342</v>
      </c>
    </row>
    <row r="51" spans="1:1" s="420" customFormat="1" ht="13.5" customHeight="1">
      <c r="A51" s="1647" t="s">
        <v>343</v>
      </c>
    </row>
    <row r="52" spans="1:1" s="420" customFormat="1" ht="13.5" customHeight="1">
      <c r="A52" s="1674"/>
    </row>
    <row r="53" spans="1:1" s="420" customFormat="1" ht="13.5" customHeight="1">
      <c r="A53" s="1647" t="s">
        <v>344</v>
      </c>
    </row>
    <row r="54" spans="1:1" s="420" customFormat="1" ht="13.5" customHeight="1">
      <c r="A54" s="1647" t="s">
        <v>345</v>
      </c>
    </row>
    <row r="55" spans="1:1" s="420" customFormat="1" ht="13.5" customHeight="1">
      <c r="A55" s="1647" t="s">
        <v>157</v>
      </c>
    </row>
    <row r="56" spans="1:1" s="420" customFormat="1" ht="13.5" customHeight="1">
      <c r="A56" s="1647" t="s">
        <v>346</v>
      </c>
    </row>
    <row r="57" spans="1:1" s="420" customFormat="1" ht="13.5" customHeight="1">
      <c r="A57" s="1647" t="s">
        <v>347</v>
      </c>
    </row>
    <row r="58" spans="1:1" s="420" customFormat="1" ht="13.5" customHeight="1">
      <c r="A58" s="1647" t="s">
        <v>348</v>
      </c>
    </row>
    <row r="59" spans="1:1" s="420" customFormat="1" ht="13.5" customHeight="1">
      <c r="A59" s="1647" t="s">
        <v>349</v>
      </c>
    </row>
    <row r="60" spans="1:1" s="420" customFormat="1" ht="13.5" customHeight="1">
      <c r="A60" s="1647" t="s">
        <v>350</v>
      </c>
    </row>
    <row r="61" spans="1:1" s="420" customFormat="1" ht="13.5" customHeight="1">
      <c r="A61" s="1647" t="s">
        <v>351</v>
      </c>
    </row>
    <row r="62" spans="1:1" s="420" customFormat="1" ht="13.5" customHeight="1">
      <c r="A62" s="1647" t="s">
        <v>352</v>
      </c>
    </row>
    <row r="63" spans="1:1" s="420" customFormat="1" ht="13.5" customHeight="1">
      <c r="A63" s="1647" t="s">
        <v>353</v>
      </c>
    </row>
    <row r="64" spans="1:1" s="420" customFormat="1" ht="13.5" customHeight="1">
      <c r="A64" s="1647" t="s">
        <v>354</v>
      </c>
    </row>
    <row r="65" spans="1:1" s="420" customFormat="1" ht="13.5" customHeight="1">
      <c r="A65" s="1647" t="s">
        <v>355</v>
      </c>
    </row>
    <row r="66" spans="1:1" s="420" customFormat="1" ht="13.5" customHeight="1">
      <c r="A66" s="1647" t="s">
        <v>356</v>
      </c>
    </row>
    <row r="67" spans="1:1" s="420" customFormat="1" ht="13.5" customHeight="1">
      <c r="A67" s="1647" t="s">
        <v>357</v>
      </c>
    </row>
    <row r="68" spans="1:1" s="420" customFormat="1" ht="13.5" customHeight="1">
      <c r="A68" s="18" t="s">
        <v>358</v>
      </c>
    </row>
    <row r="69" spans="1:1" s="420" customFormat="1" ht="13.5" customHeight="1">
      <c r="A69" s="18" t="s">
        <v>359</v>
      </c>
    </row>
    <row r="70" spans="1:1" s="420" customFormat="1" ht="13.5" customHeight="1">
      <c r="A70" s="18" t="s">
        <v>360</v>
      </c>
    </row>
    <row r="71" spans="1:1" s="420" customFormat="1" ht="13.5" customHeight="1">
      <c r="A71" s="18" t="s">
        <v>361</v>
      </c>
    </row>
    <row r="72" spans="1:1" s="420" customFormat="1" ht="13.5" customHeight="1">
      <c r="A72" s="18" t="s">
        <v>362</v>
      </c>
    </row>
    <row r="73" spans="1:1" s="420" customFormat="1" ht="13.5" customHeight="1">
      <c r="A73" s="18" t="s">
        <v>363</v>
      </c>
    </row>
    <row r="74" spans="1:1" s="420" customFormat="1" ht="13.5" customHeight="1">
      <c r="A74" s="18" t="s">
        <v>364</v>
      </c>
    </row>
    <row r="75" spans="1:1" s="420" customFormat="1" ht="13.5" customHeight="1">
      <c r="A75" s="1647" t="s">
        <v>365</v>
      </c>
    </row>
    <row r="76" spans="1:1" s="420" customFormat="1" ht="13.5" customHeight="1">
      <c r="A76" s="1647" t="s">
        <v>366</v>
      </c>
    </row>
    <row r="77" spans="1:1" s="420" customFormat="1" ht="13.5" customHeight="1">
      <c r="A77" s="1647" t="s">
        <v>367</v>
      </c>
    </row>
    <row r="78" spans="1:1" s="420" customFormat="1" ht="13.5" customHeight="1">
      <c r="A78" s="1647" t="s">
        <v>368</v>
      </c>
    </row>
    <row r="79" spans="1:1" s="420" customFormat="1" ht="13.5" customHeight="1">
      <c r="A79" s="1647" t="s">
        <v>369</v>
      </c>
    </row>
    <row r="80" spans="1:1" s="420" customFormat="1" ht="13.5" customHeight="1">
      <c r="A80" s="1647" t="s">
        <v>370</v>
      </c>
    </row>
    <row r="81" spans="1:1" s="420" customFormat="1" ht="13.5" customHeight="1">
      <c r="A81" s="1647" t="s">
        <v>371</v>
      </c>
    </row>
    <row r="82" spans="1:1" s="420" customFormat="1" ht="13.5" customHeight="1">
      <c r="A82" s="1647" t="s">
        <v>372</v>
      </c>
    </row>
    <row r="83" spans="1:1" s="420" customFormat="1" ht="13.5" customHeight="1">
      <c r="A83" s="1647" t="s">
        <v>373</v>
      </c>
    </row>
    <row r="84" spans="1:1" s="420" customFormat="1" ht="13.5" customHeight="1">
      <c r="A84" s="1647" t="s">
        <v>374</v>
      </c>
    </row>
    <row r="85" spans="1:1" s="420" customFormat="1" ht="13.5" customHeight="1">
      <c r="A85" s="1647" t="s">
        <v>375</v>
      </c>
    </row>
    <row r="86" spans="1:1" s="420" customFormat="1" ht="13.5" customHeight="1">
      <c r="A86" s="1647" t="s">
        <v>376</v>
      </c>
    </row>
    <row r="87" spans="1:1" s="420" customFormat="1" ht="13.5" customHeight="1">
      <c r="A87" s="1647" t="s">
        <v>377</v>
      </c>
    </row>
    <row r="88" spans="1:1" s="420" customFormat="1" ht="13.5" customHeight="1">
      <c r="A88" s="1647" t="s">
        <v>378</v>
      </c>
    </row>
    <row r="89" spans="1:1" s="420" customFormat="1" ht="13.5" customHeight="1">
      <c r="A89" s="1647" t="s">
        <v>379</v>
      </c>
    </row>
    <row r="90" spans="1:1" s="420" customFormat="1" ht="13.5" customHeight="1">
      <c r="A90" s="1647" t="s">
        <v>380</v>
      </c>
    </row>
    <row r="91" spans="1:1" s="420" customFormat="1" ht="13.5" customHeight="1">
      <c r="A91" s="1647" t="s">
        <v>381</v>
      </c>
    </row>
    <row r="92" spans="1:1" s="420" customFormat="1" ht="13.5" customHeight="1">
      <c r="A92" s="1647" t="s">
        <v>1448</v>
      </c>
    </row>
    <row r="93" spans="1:1" s="420" customFormat="1" ht="13.5" customHeight="1">
      <c r="A93" s="1647" t="s">
        <v>382</v>
      </c>
    </row>
    <row r="94" spans="1:1" s="420" customFormat="1" ht="13.5" customHeight="1">
      <c r="A94" s="1647" t="s">
        <v>383</v>
      </c>
    </row>
    <row r="95" spans="1:1" s="420" customFormat="1" ht="13.5" customHeight="1">
      <c r="A95" s="1647" t="s">
        <v>384</v>
      </c>
    </row>
    <row r="96" spans="1:1" s="420" customFormat="1" ht="13.5" customHeight="1">
      <c r="A96" s="1647" t="s">
        <v>385</v>
      </c>
    </row>
    <row r="97" spans="1:1" s="420" customFormat="1" ht="13.5" customHeight="1">
      <c r="A97" s="1647" t="s">
        <v>386</v>
      </c>
    </row>
    <row r="98" spans="1:1" s="420" customFormat="1" ht="13.5" customHeight="1">
      <c r="A98" s="1647" t="s">
        <v>387</v>
      </c>
    </row>
    <row r="99" spans="1:1" s="420" customFormat="1" ht="13.5" customHeight="1">
      <c r="A99" s="1647" t="s">
        <v>388</v>
      </c>
    </row>
    <row r="100" spans="1:1" s="420" customFormat="1" ht="13.5" customHeight="1">
      <c r="A100" s="1647" t="s">
        <v>389</v>
      </c>
    </row>
    <row r="101" spans="1:1" s="420" customFormat="1" ht="13.5" customHeight="1">
      <c r="A101" s="1647" t="s">
        <v>390</v>
      </c>
    </row>
    <row r="102" spans="1:1" s="420" customFormat="1" ht="13.5" customHeight="1">
      <c r="A102" s="1647" t="s">
        <v>391</v>
      </c>
    </row>
    <row r="103" spans="1:1" s="420" customFormat="1" ht="13.5" customHeight="1">
      <c r="A103" s="1647" t="s">
        <v>392</v>
      </c>
    </row>
    <row r="104" spans="1:1" s="420" customFormat="1" ht="13.5" customHeight="1">
      <c r="A104" s="1647" t="s">
        <v>1476</v>
      </c>
    </row>
    <row r="105" spans="1:1" s="420" customFormat="1" ht="13.5" customHeight="1">
      <c r="A105" s="1647" t="s">
        <v>393</v>
      </c>
    </row>
    <row r="106" spans="1:1" s="420" customFormat="1" ht="13.5" customHeight="1">
      <c r="A106" s="1647" t="s">
        <v>394</v>
      </c>
    </row>
    <row r="107" spans="1:1" s="420" customFormat="1" ht="13.5" customHeight="1">
      <c r="A107" s="1647" t="s">
        <v>395</v>
      </c>
    </row>
    <row r="108" spans="1:1" s="420" customFormat="1" ht="13.5" customHeight="1">
      <c r="A108" s="1647" t="s">
        <v>396</v>
      </c>
    </row>
    <row r="109" spans="1:1" s="420" customFormat="1" ht="13.5" customHeight="1">
      <c r="A109" s="1647" t="s">
        <v>397</v>
      </c>
    </row>
    <row r="110" spans="1:1" s="420" customFormat="1" ht="13.5" customHeight="1">
      <c r="A110" s="1647" t="s">
        <v>398</v>
      </c>
    </row>
    <row r="111" spans="1:1" s="420" customFormat="1" ht="13.5" customHeight="1">
      <c r="A111" s="1647" t="s">
        <v>399</v>
      </c>
    </row>
    <row r="112" spans="1:1" s="420" customFormat="1" ht="13.5" customHeight="1">
      <c r="A112" s="1647" t="s">
        <v>400</v>
      </c>
    </row>
    <row r="113" spans="1:1" s="420" customFormat="1" ht="13.5" customHeight="1">
      <c r="A113" s="1647" t="s">
        <v>401</v>
      </c>
    </row>
    <row r="114" spans="1:1" s="420" customFormat="1" ht="13.5" customHeight="1">
      <c r="A114" s="1647" t="s">
        <v>402</v>
      </c>
    </row>
    <row r="115" spans="1:1" s="420" customFormat="1" ht="13.5" customHeight="1">
      <c r="A115" s="1647" t="s">
        <v>403</v>
      </c>
    </row>
    <row r="116" spans="1:1" s="420" customFormat="1" ht="13.5" customHeight="1">
      <c r="A116" s="1647" t="s">
        <v>404</v>
      </c>
    </row>
    <row r="117" spans="1:1" s="420" customFormat="1" ht="13.5" customHeight="1">
      <c r="A117" s="1647" t="s">
        <v>405</v>
      </c>
    </row>
    <row r="118" spans="1:1" s="420" customFormat="1" ht="13.5" customHeight="1">
      <c r="A118" s="1647" t="s">
        <v>406</v>
      </c>
    </row>
    <row r="119" spans="1:1" s="420" customFormat="1" ht="13.5" customHeight="1">
      <c r="A119" s="1647" t="s">
        <v>407</v>
      </c>
    </row>
    <row r="120" spans="1:1" s="420" customFormat="1" ht="13.5" customHeight="1">
      <c r="A120" s="1647" t="s">
        <v>408</v>
      </c>
    </row>
    <row r="121" spans="1:1" s="420" customFormat="1" ht="13.5" customHeight="1">
      <c r="A121" s="1647" t="s">
        <v>409</v>
      </c>
    </row>
    <row r="122" spans="1:1" s="420" customFormat="1" ht="13.5" customHeight="1">
      <c r="A122" s="1647" t="s">
        <v>410</v>
      </c>
    </row>
    <row r="123" spans="1:1" s="420" customFormat="1" ht="13.5" customHeight="1">
      <c r="A123" s="1647" t="s">
        <v>411</v>
      </c>
    </row>
    <row r="124" spans="1:1" s="420" customFormat="1" ht="13.5" customHeight="1">
      <c r="A124" s="1647" t="s">
        <v>412</v>
      </c>
    </row>
    <row r="125" spans="1:1" s="420" customFormat="1" ht="13.5" customHeight="1">
      <c r="A125" s="1647" t="s">
        <v>413</v>
      </c>
    </row>
    <row r="126" spans="1:1" s="420" customFormat="1" ht="13.5" customHeight="1">
      <c r="A126" s="1647" t="s">
        <v>414</v>
      </c>
    </row>
    <row r="127" spans="1:1" s="420" customFormat="1" ht="13.5" customHeight="1">
      <c r="A127" s="1647" t="s">
        <v>415</v>
      </c>
    </row>
    <row r="128" spans="1:1" s="420" customFormat="1" ht="13.5" customHeight="1">
      <c r="A128" s="1647" t="s">
        <v>416</v>
      </c>
    </row>
    <row r="129" spans="1:1" s="420" customFormat="1" ht="13.5" customHeight="1">
      <c r="A129" s="1647" t="s">
        <v>417</v>
      </c>
    </row>
    <row r="130" spans="1:1" s="420" customFormat="1" ht="13.5" customHeight="1">
      <c r="A130" s="1647" t="s">
        <v>418</v>
      </c>
    </row>
    <row r="131" spans="1:1" s="420" customFormat="1" ht="13.5" customHeight="1">
      <c r="A131" s="1647" t="s">
        <v>419</v>
      </c>
    </row>
    <row r="132" spans="1:1" s="420" customFormat="1" ht="13.5" customHeight="1">
      <c r="A132" s="1647" t="s">
        <v>420</v>
      </c>
    </row>
    <row r="133" spans="1:1" s="420" customFormat="1" ht="13.5" customHeight="1">
      <c r="A133" s="1647" t="s">
        <v>421</v>
      </c>
    </row>
    <row r="134" spans="1:1" s="420" customFormat="1" ht="13.5" customHeight="1">
      <c r="A134" s="1647" t="s">
        <v>422</v>
      </c>
    </row>
    <row r="135" spans="1:1" s="420" customFormat="1" ht="13.5" customHeight="1">
      <c r="A135" s="1648" t="s">
        <v>1449</v>
      </c>
    </row>
    <row r="136" spans="1:1" s="7" customFormat="1"/>
    <row r="137" spans="1:1" s="7" customFormat="1"/>
  </sheetData>
  <hyperlinks>
    <hyperlink ref="A5" location="'T01'!A1" display="Tab 1: Ciele v oblasti salda a dlhu verejnej správy"/>
    <hyperlink ref="A6" location="'T02'!A1" display="Tab 2: Štrukturálne saldo podľa MF SR"/>
    <hyperlink ref="A7" location="'T03'!A1" display="Tab 3: Opatrenia na splnenie cieľa"/>
    <hyperlink ref="A15" location="'T11'!A1" display="Tab 11: Zmena štrukturálneho salda VS v rokoch 2015 až 2019 podľa RRZ"/>
    <hyperlink ref="A30" location="'T26'!A1" display="Tab 26: Odhad rizík v samosprávach"/>
    <hyperlink ref="A46" location="'T42'!A1" display="Tab 42: Jednorazové vplyvy v rokoch 2015-2019"/>
    <hyperlink ref="A48" location="'T44'!A1" display="Tab 44: Výdavkové pravidlo (ESA2010, mil. eur)"/>
    <hyperlink ref="A49" location="'T45,T46'!A1" display="Tab 45: Bilancia príjmov a výdavkov verejnej správy (mil. eur, ESA2010)"/>
    <hyperlink ref="A50" location="'T45,T46'!A1" display="Tab 46: Bilancia príjmov a výdavkov verejnej správy (% HDP, ESA2010)"/>
    <hyperlink ref="A51" location="'T47'!A1" display="Tab 47: Hospodárenie subjektov verejnej správy"/>
    <hyperlink ref="A53" location="'G01'!A1" display="Graf 1: Porovnanie rozpočtových cieľov – saldo rozpočtu"/>
    <hyperlink ref="A54" location="'G02'!A1" display="Graf 2: Zmeny v prognóze hrubého dlhu"/>
    <hyperlink ref="A55" location="'G03'!A1" display="Graf 3: Vplyv revízie HDP na saldo VS (% HDP)"/>
    <hyperlink ref="A56" location="'G04'!A1" display="Graf 4 : Vplyv revízie HDP na dlh VS (% HDP)"/>
    <hyperlink ref="A57" location="'G05'!A1" display="Graf 5: Porovnanie rozpočtových cieľov voči NPC scenáru"/>
    <hyperlink ref="A58" location="'G06'!A1" display="Graf 6: Opatrenia na splnenie rozpočtových cieľov"/>
    <hyperlink ref="A59" location="'G07'!A1" display="Graf 7: Opatrenia na dosiahnutie rozpočtových cieľov - porovnanie voči NPC MFSR"/>
    <hyperlink ref="A80" location="'G28'!A1" display="Graf 28: Saldo rozpočtu v rokoch 1995 až 2019"/>
    <hyperlink ref="A81" location="'G29'!A1" display="Graf 29: Revízia rozpočtových cieľov trojročného rozpočtu"/>
    <hyperlink ref="A85" location="'G33'!A1" display="Graf 33: Rozpočet na rok 2016 – príspevky k zmene deficitu v porovnaní s RVS 2015 až 2017"/>
    <hyperlink ref="A90" location="'G38'!A1" display="Graf 38: Štrukturálne saldo v rokoch 1999 až 2019 podľa RRZ (ESA2010, % HDP)"/>
    <hyperlink ref="A111" location="'G59'!A1" display="Graf 59: Fiškálny impulz v rokoch 2015-2019"/>
    <hyperlink ref="A112" location="'G60'!A1" display="Graf 60: Predpokladané čerpanie EÚ príjmov v návrhu RVS 2016-2019"/>
    <hyperlink ref="A68" location="'G16'!A1" display="Graf 16: Daňové príjmy s vplyvom nových legislatívnych opatrení (ESA2010, % HDP)"/>
    <hyperlink ref="A69" location="'G17'!A1" display="Graf 17: Vplyvy legislatívnych opatrení zahrnutých v rozpočte (ESA2010, mil. eur)"/>
    <hyperlink ref="A70" location="'G18'!A1" display="Graf 18: Počet noviel* daňových zákonov v rokoch 2004 až 2015"/>
    <hyperlink ref="A71" location="'G19'!A1" display="Graf 19: Rozdelenie daňovníkov - reálne výdavky vs. paušálne"/>
    <hyperlink ref="A72" location="'G20'!A1" display="Graf 20: Rozdelenie daňovníkov - vplyv zvýšenia paušálnych výdavkov na 60%"/>
    <hyperlink ref="A73" location="'G21'!A1" display="Graf 21: Rozdelenie daňovníkov podľa príjmov v roku 2014"/>
    <hyperlink ref="A74" location="'G22'!A1" display="Graf 22: Rozdelenie daňovníkov podľa zaplatených odvodov v roku 2014"/>
    <hyperlink ref="A60" location="'G08'!A1" display="Graf 8: Príspevky jednotlivých krajín k rastu ekonomiky EÚ od roku 2010"/>
    <hyperlink ref="A61" location="'G09'!A1" display="Graf 9: Zmena rizík v priebehu roka"/>
    <hyperlink ref="A62" location="'G10,G11'!A1" display="Graf 10: Fiškálne scenáre NRVS a vplyv na rast HDP (v %)"/>
    <hyperlink ref="A63" location="'G10,G11'!A1" display="Graf 11: Fiškálne scenáre RRZ a vplyv na rast HDP (rast v %)"/>
    <hyperlink ref="A64" location="'G12'!A1" display="Graf 12: Zmena štruktúry HDP podľa revízie ŠÚ SR (bežné ceny)"/>
    <hyperlink ref="A65" location="'G13'!A1" display="Graf 13: Riziko revízie HDP – minulosť verzus rok 2016"/>
    <hyperlink ref="A66" location="'G14'!A1" display="Graf 14: Neočakávaný vývoj zahraničia a vplyv na chybu prognózy VpMP"/>
    <hyperlink ref="A67" location="'G15'!A1" display="Graf 15: Riziká prognózy rastu HDP podľa VpMP na základe chýb minulých prognóz VpMP"/>
    <hyperlink ref="A75" location="'G23'!A1" display="Graf 23: Scenáre vývoja hrubého dlhu"/>
    <hyperlink ref="A76" location="'G24'!A1" display="Graf 24: Príspevky k medziročnej zmene salda v NPC scenári"/>
    <hyperlink ref="A77" location="'G25'!A1" display="Graf 25: Vplyvy opatrení zapracovaných v návrhu rozpočtu v roku 2017"/>
    <hyperlink ref="A78" location="'G26'!A1" display="Graf 26: Porovnanie prognózy dlhu MF SR s NPC scenárom RRZ"/>
    <hyperlink ref="A79" location="'G27'!A1" display="Graf 27: Príspevky k zmene dlhu v prognóze MF SR"/>
    <hyperlink ref="A82" location="'G30'!A1" display="Graf 30: Zmena rozpočtového cieľa na rok 2017"/>
    <hyperlink ref="A83" location="'G31, G32'!A1" display="Graf 31: Vplyv neočakávaných vplyvov a ostatných položiek na saldo rozpočtu"/>
    <hyperlink ref="A84" location="'G31, G32'!A1" display="Graf 32: Potenciálne saldo rozpočtu po zohľadnení nerozpočtovaných vplyvov"/>
    <hyperlink ref="A86" location="'G34'!A1" display="Graf 34: Vývoj hrubého dlhu VS"/>
    <hyperlink ref="A87" location="'G35'!A1" display="Graf 35: Medziročná zmena dlhu"/>
    <hyperlink ref="A88" location="'G36, G37'!A1" display="Graf 36: Saldo VS v rokoch 2015 až 2019*  (ESA2010, % HDP)"/>
    <hyperlink ref="A89" location="'G36, G37'!A1" display="Graf 37: Štrukturálne saldo VS v rokoch 2015 až 2019* (ESA2010, % HDP)"/>
    <hyperlink ref="A91" location="'G39, G40'!A1" display="Graf 39: Príspevky zmeny príjmov a výdavkov k zmene salda v jednotlivých rokoch"/>
    <hyperlink ref="A92" location="'G39, G40'!A1" display="Graf 40: Kumulatívne príspevky zmeny príjmov a výdavkov k zmene salda)"/>
    <hyperlink ref="A93" location="'G41'!A1" display="Graf 41: Štruktúra príjmov v roku 2017 – odhad RRZ (ESA 2010, % HDP)"/>
    <hyperlink ref="A94" location="'G42'!A1" display="Graf 42: Zmeny v príjmoch v období 2009 až 2019 (ESA 2010, % HDP)"/>
    <hyperlink ref="A95" location="'G43, G44'!A1" display="Graf 43: Vplyv príjmov na zmenu salda v jednotlivých rokoch – podľa typu príjmu"/>
    <hyperlink ref="A96" location="'G43, G44'!A1" display="Graf 44: Kumulatívny vplyv príjmov na zmenu salda – podľa typu príjmu"/>
    <hyperlink ref="A97" location="'G45'!A1" display="Graf 45: Vývoj skutočného ŽM a teoretického ŽM indexovaného rastom mediánovej mzdy"/>
    <hyperlink ref="A98" location="'G46'!A1" display="Graf 46: Vplyv tichého zdaňovania na priemernú sadzbu DPFO"/>
    <hyperlink ref="A99" location="'G47,G48'!A1" display="Graf 47: Efektívna daňová sadzba na úrovni domácností (v %)"/>
    <hyperlink ref="A100" location="'G47,G48'!A1" display="Graf 48: Daňový klin na úrovni domácností (v %)"/>
    <hyperlink ref="A101" location="'G49,G50'!A1" display="Graf 49: Daňový klin na úrovni jednotlivcov podľa príjmových skupín (v %)"/>
    <hyperlink ref="A102" location="'G49,G50'!A1" display="Graf 50: Daňový klin na úrovni domácností podľa príjmových skupín (v %)"/>
    <hyperlink ref="A103" location="'G51'!A1" display="Graf 51: Štruktúra výdavkov verejnej správy v roku 2017 – odhad RRZ (ESA 2010)"/>
    <hyperlink ref="A104" location="'G52'!A1" display="Graf 52: Vývoj výdavkov verejnej správy v rokoch 2009 až 2019 (ESA 2010, %)"/>
    <hyperlink ref="A105" location="'G53, G54, G55, G56, G57, G58'!A1" display="Graf 53: Vplyv celkových výdavkov na zmenu salda v jednotlivých rokoch"/>
    <hyperlink ref="A106" location="'G53, G54, G55, G56, G57, G58'!A1" display="Graf 54: Kumulatívny vplyv výdavkov na zmenu salda"/>
    <hyperlink ref="A107" location="'G53, G54, G55, G56, G57, G58'!A1" display="Graf 55: Vplyv fakultatívnych výdavkov na zmenu salda v jednotlivých rokoch"/>
    <hyperlink ref="A108" location="'G53, G54, G55, G56, G57, G58'!A1" display="Graf 56: Kumulatívny vplyv fakultatívnych výdavkov na zmenu salda"/>
    <hyperlink ref="A109" location="'G53, G54, G55, G56, G57, G58'!A1" display="Graf 57: Vplyv povinných výdavkov na zmenu salda v jednotlivých rokoch"/>
    <hyperlink ref="A110" location="'G53, G54, G55, G56, G57, G58'!A1" display="Graf 58: Kumulatívny vplyv povinných výdavkov na zmenu salda"/>
    <hyperlink ref="A113" location="'G61'!A1" display="Graf 61: Makroekonomické riziko vplývajúce na saldo verejnej správy"/>
    <hyperlink ref="A114" location="'G62'!A1" display="Graf 62: Makroekonomické riziko vplývajúce na dlh verejnej správy"/>
    <hyperlink ref="A115" location="'G63'!A1" display="Graf 63: Daňové základne"/>
    <hyperlink ref="A116" location="'G64'!A1" display="Graf 64: Daňové príjmy"/>
    <hyperlink ref="A117" location="'G65, G66'!A1" display="Graf 65: Medziročná zmena mzdových výdavkov"/>
    <hyperlink ref="A118" location="'G65, G66'!A1" display="Graf 66: Rast miezd v súkromnom sektore a štátnom rozpočte (2009 = 100)"/>
    <hyperlink ref="A119" location="'G67'!A1" display="Graf 67: Priebežné plnenia na titule Tovary a služby - Materiál"/>
    <hyperlink ref="A120" location="'G68'!A1" display="Graf 68: Priebežné plnenia na titule Tovary a služby - Rutinná a štandardná údržba"/>
    <hyperlink ref="A121" location="'G69'!A1" display="Graf 69: Priebežné plnenia na titule Tovary a služby - Služby"/>
    <hyperlink ref="A122" location="'G70'!A1" display="Graf 70: Priebežné plnenia na titule Kapitálové výdavky - Nákup strojov, prístrojov, ..."/>
    <hyperlink ref="A123" location="'G71'!A1" display="Graf 71: Priebežné plnenia na titule Kapitálové výdavky - Nákup dopravných prostriedkov"/>
    <hyperlink ref="A124" location="'G72'!A1" display="Graf 72: Priebežné plnenia na titule Kapitálové výdavky - Realizácia stavieb"/>
    <hyperlink ref="A125" location="'G73'!A1" display="Graf 73: Riziká v kapitálových výdavkoch"/>
    <hyperlink ref="A126" location="'G74'!A1" display="Graf 74: Počet poberateľov dávky v hmotnej núdzi v rokoch 2008 až 2016"/>
    <hyperlink ref="A127" location="'G75'!A1" display="Graf 75: Výdavky na dávku v hmotnej núdzi v rokoch 2013 až 2019"/>
    <hyperlink ref="A128" location="'G76,G77'!A1" display="Graf 76: Efektívna daňová sadzba na úrovni domácností (v %)"/>
    <hyperlink ref="A129" location="'G76,G77'!A1" display="Graf 77: Efektívny daňový klin na úrovni domácností (v %)"/>
    <hyperlink ref="A130" location="'G78,G79'!A1" display="Graf 78: Efektívna daňová sadzba na úrovni jednotlivcov podľa typu príjmu (v %)"/>
    <hyperlink ref="A131" location="'G78,G79'!A1" display="Graf 79: Efektívny daňový klin na úrovni jednotlivcov podľa typu príjmu (v %)"/>
    <hyperlink ref="A132" location="'G80,G81'!A1" display="Graf 80: Efektívna daňová sadzba podľa typu domácností (v %)"/>
    <hyperlink ref="A133" location="'G80,G81'!A1" display="Graf 81: Efektívny daňový klin podľa typu domácností (v %)"/>
    <hyperlink ref="A135" location="NPC!A1" display="NPC"/>
    <hyperlink ref="A134" location="'G82'!A1" display="Graf 82: Predlžovanie dôchodkového veku"/>
    <hyperlink ref="A8" location="'T04'!A1" display="Tab 4: Prognóza VpMP a medzinárodných inštitúcií"/>
    <hyperlink ref="A9" location="'T05'!A1" display="Tab 5: Prognóza rastu HDP a fiškálne scenáre rozpočtu"/>
    <hyperlink ref="A10" location="'T06'!A1" display="Tab 6: Revízia HDP a prognóza VpMP"/>
    <hyperlink ref="A11" location="'T07'!A1" display="Tab 7: Riziká a zdroje ich krytia v rokoch 2016 až 2019"/>
    <hyperlink ref="A12" location="'T08'!A1" display="Tab 8: Riziká spojené s dosiahnutím rozpočtových cieľov"/>
    <hyperlink ref="A13" location="'T09'!A1" display="Tab 9: Predpoklady vývoja hrubého dlhu verejnej správy"/>
    <hyperlink ref="A14" location="'T10'!A1" display="Tab 10: Veľkosť opatrení v návrhu rozpočtu"/>
    <hyperlink ref="A16" location="'T12'!A1" display="Tab 12: Rozpočtové ciele ovplyvňujúce dlhodobú udržateľnosť (% HDP, ESA2010)"/>
    <hyperlink ref="A17" location="'T13'!A1" display="Tab 13: Vypracovanie makroekonomických a daňových prognóz výbormi v roku 2016"/>
    <hyperlink ref="A18" location="'T14'!A1" display="Tab 14: Prognózy Výboru pre makroekonomické prognózy"/>
    <hyperlink ref="A19" location="'T15'!A1" display="Tab 15: Veľkosť a transmisné kanály príjmových opatrení (% HDP)"/>
    <hyperlink ref="A20" location="'T16'!A1" display="Tab 16: Vyčíslenie vplyvov fiškálnych opatrení na makroekonomické ukazovatele"/>
    <hyperlink ref="A21" location="'T17'!A1" display="Tab 17: Makroekonomický scenár po zohľadnení fiškálnych opatrení podľa RRZ"/>
    <hyperlink ref="A22" location="'T18'!A1" display="Tab 18: Riziká prognózy rastu základní rozhodujúcich pre rozpočtové príjmy"/>
    <hyperlink ref="A23" location="'T19'!A1" display="Tab 19: Prehľad rizík a rezerv rozpočtu na rok 2016 (mil. eur)"/>
    <hyperlink ref="A24" location="'T20'!A1" display="Tab 20: Dividendy v rokoch 2016 až 2019"/>
    <hyperlink ref="A47" location="'T43'!A1" display="Tab 43: Započítavanie pracovných období kratších ako rok"/>
    <hyperlink ref="A45" location="'T41'!A1" display="Tab 41: Porovnanie skutočného vývoja položiek voči rozpočtu"/>
    <hyperlink ref="A44" location="'T40'!A1" display="Tab 40: Prehľad vývoja dlhu do roku 2019"/>
    <hyperlink ref="A43" location="'T39'!A1" display="Tab 39: Zmeny v hotovosti bez vplyvu na čisté bohatstvo"/>
    <hyperlink ref="A42" location="'T38'!A1" display="Tab 38: Príspevky k medziročnej zmene salda v NPC scenári"/>
    <hyperlink ref="A41" location="'T37'!A1" display="Tab 37: Porovnanie NPC scenára vývoja verejných financií RRZ"/>
    <hyperlink ref="A40" location="'T36'!A1" display="Tab 36: Predpoklady čerpania fondov EÚ v NPC scenári RRZ"/>
    <hyperlink ref="A39" location="'T35'!A1" display="Tab 35: Zoznam jednorazových a dočasných vplyvov v NPC scenári"/>
    <hyperlink ref="A38" location="'T34'!A1" display="Tab 34: Prehľad zmien v porovnaní s odhadom MF SR na rok 2016"/>
    <hyperlink ref="A37" location="'T33'!A1" display="Tab 33: Odhad rizika pri kapitálových výdavkoch štátneho rozpočtu"/>
    <hyperlink ref="A36" location="'T32'!A1" display="Tab 32: Prehľad najvýznamnejších položiek rozdielov medzi RVS a RRZ"/>
    <hyperlink ref="A35" location="'T31'!A1" display="Tab 31: Porovnanie odhadnutých vplyvov na saldo verejnej správy v roku 2016"/>
    <hyperlink ref="A34" location="'T30'!A1" display="Tab 30: Riziká vo výdavkoch štátneho rozpočtu na tovary a služby"/>
    <hyperlink ref="A33" location="'T29'!A1" display="Tab 29: Prehľad najdôležitejších položiek rozdielov medzi RVS a RRZ odhadom"/>
    <hyperlink ref="A32" location="'T28'!A1" display="Tab 28: Porovnanie odhadnutých vplyvov na saldo verejnej správy v roku 2016"/>
    <hyperlink ref="A31" location="'T27'!A1" display="Tab 27: Riziká v mzdových výdavkoch štátneho rozpočtu"/>
    <hyperlink ref="A29" location="'T25'!A1" display="Tab 25: Odhad rizika voči návrhu rozpočtu"/>
    <hyperlink ref="A28" location="'T24'!A1" display="Tab 24: Vývoj nerozdelených ziskov súkromných zdravotných poisťovní"/>
    <hyperlink ref="A27" location="'T23'!A1" display="Tab 23: Vývoj výdavkov na zdravotnú starostlivosť a hospodárenie nemocníc"/>
    <hyperlink ref="A26" location="'T22'!A1" display="Tab 22: Odhad rizika z príjmov z emisných kvót v porovnaní s programom stability"/>
    <hyperlink ref="A25" location="'T21'!A1" display="Tab 21: Odhad príjmov z emisných kvót v rokoch 2016 až 2019"/>
  </hyperlinks>
  <pageMargins left="0.7" right="0.7" top="0.75" bottom="0.75" header="0.3" footer="0.3"/>
  <pageSetup paperSize="9" orientation="portrait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15"/>
  <sheetViews>
    <sheetView showGridLines="0" workbookViewId="0">
      <selection activeCell="D5" sqref="D5:G5"/>
    </sheetView>
  </sheetViews>
  <sheetFormatPr defaultRowHeight="15"/>
  <cols>
    <col min="1" max="1" width="46.7109375" style="758" customWidth="1"/>
    <col min="2" max="16384" width="9.140625" style="758"/>
  </cols>
  <sheetData>
    <row r="1" spans="1:11">
      <c r="A1" s="1701" t="s">
        <v>812</v>
      </c>
      <c r="B1" s="1701"/>
      <c r="C1" s="1701"/>
      <c r="D1" s="1701"/>
      <c r="E1" s="1701"/>
      <c r="F1" s="1701"/>
      <c r="G1" s="1701"/>
    </row>
    <row r="2" spans="1:11">
      <c r="A2" s="884"/>
      <c r="B2" s="884">
        <v>2014</v>
      </c>
      <c r="C2" s="884">
        <v>2015</v>
      </c>
      <c r="D2" s="884">
        <v>2016</v>
      </c>
      <c r="E2" s="884">
        <v>2017</v>
      </c>
      <c r="F2" s="884">
        <v>2018</v>
      </c>
      <c r="G2" s="884">
        <v>2019</v>
      </c>
      <c r="J2" s="109"/>
      <c r="K2" s="109"/>
    </row>
    <row r="3" spans="1:11">
      <c r="A3" s="764" t="s">
        <v>811</v>
      </c>
      <c r="B3" s="895">
        <v>40725</v>
      </c>
      <c r="C3" s="895">
        <v>41293</v>
      </c>
      <c r="D3" s="895">
        <v>43089</v>
      </c>
      <c r="E3" s="895">
        <v>44284</v>
      </c>
      <c r="F3" s="895">
        <v>45502</v>
      </c>
      <c r="G3" s="895">
        <v>46223</v>
      </c>
      <c r="J3" s="109"/>
      <c r="K3" s="109"/>
    </row>
    <row r="4" spans="1:11">
      <c r="A4" s="889" t="s">
        <v>185</v>
      </c>
      <c r="B4" s="888">
        <v>53.897238869267298</v>
      </c>
      <c r="C4" s="888">
        <v>52.891725362204191</v>
      </c>
      <c r="D4" s="888">
        <v>53.494940800548285</v>
      </c>
      <c r="E4" s="888">
        <v>52.724454687922815</v>
      </c>
      <c r="F4" s="888">
        <v>51.40232554356453</v>
      </c>
      <c r="G4" s="888">
        <v>49.061389249467865</v>
      </c>
      <c r="J4" s="109"/>
      <c r="K4" s="109"/>
    </row>
    <row r="5" spans="1:11">
      <c r="A5" s="880" t="s">
        <v>810</v>
      </c>
      <c r="B5" s="893"/>
      <c r="C5" s="893"/>
      <c r="D5" s="893">
        <f>SUM(D6:D8)</f>
        <v>326.93227733846277</v>
      </c>
      <c r="E5" s="893">
        <f t="shared" ref="E5:G5" si="0">SUM(E6:E8)</f>
        <v>68.831104988676557</v>
      </c>
      <c r="F5" s="893">
        <f t="shared" si="0"/>
        <v>179.02785171592004</v>
      </c>
      <c r="G5" s="893">
        <f t="shared" si="0"/>
        <v>-3.5329595520080019</v>
      </c>
      <c r="J5" s="595"/>
      <c r="K5" s="595"/>
    </row>
    <row r="6" spans="1:11">
      <c r="A6" s="894" t="s">
        <v>809</v>
      </c>
      <c r="B6" s="893"/>
      <c r="C6" s="893"/>
      <c r="D6" s="893">
        <v>513.93227733846277</v>
      </c>
      <c r="E6" s="893">
        <v>182.26914020907918</v>
      </c>
      <c r="F6" s="893">
        <v>296.39832235022322</v>
      </c>
      <c r="G6" s="893">
        <v>118.63385215325746</v>
      </c>
      <c r="J6" s="595"/>
      <c r="K6" s="595"/>
    </row>
    <row r="7" spans="1:11">
      <c r="A7" s="894" t="s">
        <v>808</v>
      </c>
      <c r="B7" s="893"/>
      <c r="C7" s="893"/>
      <c r="D7" s="893">
        <v>-187</v>
      </c>
      <c r="E7" s="893">
        <v>-115</v>
      </c>
      <c r="F7" s="893">
        <v>-117</v>
      </c>
      <c r="G7" s="893">
        <v>-123</v>
      </c>
    </row>
    <row r="8" spans="1:11">
      <c r="A8" s="894" t="s">
        <v>807</v>
      </c>
      <c r="B8" s="893"/>
      <c r="C8" s="893"/>
      <c r="D8" s="893">
        <v>0</v>
      </c>
      <c r="E8" s="893">
        <v>1.5619647795973761</v>
      </c>
      <c r="F8" s="893">
        <v>-0.37047063430317828</v>
      </c>
      <c r="G8" s="893">
        <v>0.83318829473453349</v>
      </c>
    </row>
    <row r="9" spans="1:11">
      <c r="A9" s="880" t="s">
        <v>806</v>
      </c>
      <c r="B9" s="893">
        <v>40725</v>
      </c>
      <c r="C9" s="893">
        <v>41293</v>
      </c>
      <c r="D9" s="893">
        <v>43415.932277338463</v>
      </c>
      <c r="E9" s="893">
        <v>44679.763382327139</v>
      </c>
      <c r="F9" s="893">
        <v>46076.791234043056</v>
      </c>
      <c r="G9" s="893">
        <v>46794.258274491047</v>
      </c>
    </row>
    <row r="10" spans="1:11">
      <c r="A10" s="891" t="s">
        <v>185</v>
      </c>
      <c r="B10" s="892">
        <v>53.897208197404737</v>
      </c>
      <c r="C10" s="892">
        <v>52.891725362204191</v>
      </c>
      <c r="D10" s="892">
        <v>53.900826823013638</v>
      </c>
      <c r="E10" s="892">
        <v>53.195649894287335</v>
      </c>
      <c r="F10" s="892">
        <v>52.051650982707173</v>
      </c>
      <c r="G10" s="892">
        <v>49.667726453171319</v>
      </c>
    </row>
    <row r="11" spans="1:11">
      <c r="A11" s="891" t="s">
        <v>805</v>
      </c>
      <c r="B11" s="890"/>
      <c r="C11" s="890">
        <v>-0.41325941453049797</v>
      </c>
      <c r="D11" s="890">
        <v>-0.42114383645169839</v>
      </c>
      <c r="E11" s="890">
        <v>-0.41563407093146987</v>
      </c>
      <c r="F11" s="890">
        <v>-0.40669565349121806</v>
      </c>
      <c r="G11" s="890">
        <v>-0.38806931357482366</v>
      </c>
    </row>
    <row r="12" spans="1:11">
      <c r="A12" s="889" t="s">
        <v>804</v>
      </c>
      <c r="B12" s="888"/>
      <c r="C12" s="888">
        <f>C10+C11</f>
        <v>52.478465947673691</v>
      </c>
      <c r="D12" s="888">
        <v>53.47968298656194</v>
      </c>
      <c r="E12" s="888">
        <v>52.780015823355868</v>
      </c>
      <c r="F12" s="888">
        <v>51.644955329215954</v>
      </c>
      <c r="G12" s="888">
        <v>49.279657139596495</v>
      </c>
    </row>
    <row r="13" spans="1:11">
      <c r="A13" s="887" t="s">
        <v>803</v>
      </c>
      <c r="B13" s="885"/>
      <c r="C13" s="885">
        <v>0.8186607691825083</v>
      </c>
      <c r="D13" s="885">
        <v>0.47776401654594752</v>
      </c>
      <c r="E13" s="886">
        <v>0.74871237364302312</v>
      </c>
      <c r="F13" s="885">
        <v>1.0922817277146859</v>
      </c>
      <c r="G13" s="885">
        <v>1.3497002703625673</v>
      </c>
    </row>
    <row r="14" spans="1:11" ht="33.75" customHeight="1">
      <c r="A14" s="1702" t="s">
        <v>802</v>
      </c>
      <c r="B14" s="1702"/>
      <c r="C14" s="1702"/>
      <c r="D14" s="1702"/>
      <c r="E14" s="1700" t="s">
        <v>801</v>
      </c>
      <c r="F14" s="1703"/>
      <c r="G14" s="1703"/>
    </row>
    <row r="15" spans="1:11">
      <c r="A15" s="880"/>
      <c r="B15" s="880"/>
      <c r="C15" s="880"/>
      <c r="D15" s="880"/>
      <c r="E15" s="880"/>
      <c r="F15" s="880"/>
      <c r="G15" s="880"/>
    </row>
  </sheetData>
  <mergeCells count="3">
    <mergeCell ref="A1:G1"/>
    <mergeCell ref="A14:D14"/>
    <mergeCell ref="E14:G14"/>
  </mergeCells>
  <pageMargins left="0.7" right="0.7" top="0.75" bottom="0.75" header="0.3" footer="0.3"/>
  <pageSetup paperSize="9" scale="88" orientation="portrait" r:id="rId1"/>
  <drawing r:id="rId2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J11"/>
  <sheetViews>
    <sheetView showGridLines="0" workbookViewId="0">
      <selection activeCell="B11" sqref="B11"/>
    </sheetView>
  </sheetViews>
  <sheetFormatPr defaultRowHeight="15"/>
  <cols>
    <col min="1" max="8" width="9.140625" style="739"/>
    <col min="9" max="9" width="17.28515625" style="739" customWidth="1"/>
    <col min="10" max="238" width="9.140625" style="739"/>
    <col min="239" max="239" width="14.85546875" style="739" bestFit="1" customWidth="1"/>
    <col min="240" max="244" width="9.140625" style="739"/>
    <col min="245" max="245" width="29.28515625" style="739" bestFit="1" customWidth="1"/>
    <col min="246" max="494" width="9.140625" style="739"/>
    <col min="495" max="495" width="14.85546875" style="739" bestFit="1" customWidth="1"/>
    <col min="496" max="500" width="9.140625" style="739"/>
    <col min="501" max="501" width="29.28515625" style="739" bestFit="1" customWidth="1"/>
    <col min="502" max="750" width="9.140625" style="739"/>
    <col min="751" max="751" width="14.85546875" style="739" bestFit="1" customWidth="1"/>
    <col min="752" max="756" width="9.140625" style="739"/>
    <col min="757" max="757" width="29.28515625" style="739" bestFit="1" customWidth="1"/>
    <col min="758" max="1006" width="9.140625" style="739"/>
    <col min="1007" max="1007" width="14.85546875" style="739" bestFit="1" customWidth="1"/>
    <col min="1008" max="1012" width="9.140625" style="739"/>
    <col min="1013" max="1013" width="29.28515625" style="739" bestFit="1" customWidth="1"/>
    <col min="1014" max="1262" width="9.140625" style="739"/>
    <col min="1263" max="1263" width="14.85546875" style="739" bestFit="1" customWidth="1"/>
    <col min="1264" max="1268" width="9.140625" style="739"/>
    <col min="1269" max="1269" width="29.28515625" style="739" bestFit="1" customWidth="1"/>
    <col min="1270" max="1518" width="9.140625" style="739"/>
    <col min="1519" max="1519" width="14.85546875" style="739" bestFit="1" customWidth="1"/>
    <col min="1520" max="1524" width="9.140625" style="739"/>
    <col min="1525" max="1525" width="29.28515625" style="739" bestFit="1" customWidth="1"/>
    <col min="1526" max="1774" width="9.140625" style="739"/>
    <col min="1775" max="1775" width="14.85546875" style="739" bestFit="1" customWidth="1"/>
    <col min="1776" max="1780" width="9.140625" style="739"/>
    <col min="1781" max="1781" width="29.28515625" style="739" bestFit="1" customWidth="1"/>
    <col min="1782" max="2030" width="9.140625" style="739"/>
    <col min="2031" max="2031" width="14.85546875" style="739" bestFit="1" customWidth="1"/>
    <col min="2032" max="2036" width="9.140625" style="739"/>
    <col min="2037" max="2037" width="29.28515625" style="739" bestFit="1" customWidth="1"/>
    <col min="2038" max="2286" width="9.140625" style="739"/>
    <col min="2287" max="2287" width="14.85546875" style="739" bestFit="1" customWidth="1"/>
    <col min="2288" max="2292" width="9.140625" style="739"/>
    <col min="2293" max="2293" width="29.28515625" style="739" bestFit="1" customWidth="1"/>
    <col min="2294" max="2542" width="9.140625" style="739"/>
    <col min="2543" max="2543" width="14.85546875" style="739" bestFit="1" customWidth="1"/>
    <col min="2544" max="2548" width="9.140625" style="739"/>
    <col min="2549" max="2549" width="29.28515625" style="739" bestFit="1" customWidth="1"/>
    <col min="2550" max="2798" width="9.140625" style="739"/>
    <col min="2799" max="2799" width="14.85546875" style="739" bestFit="1" customWidth="1"/>
    <col min="2800" max="2804" width="9.140625" style="739"/>
    <col min="2805" max="2805" width="29.28515625" style="739" bestFit="1" customWidth="1"/>
    <col min="2806" max="3054" width="9.140625" style="739"/>
    <col min="3055" max="3055" width="14.85546875" style="739" bestFit="1" customWidth="1"/>
    <col min="3056" max="3060" width="9.140625" style="739"/>
    <col min="3061" max="3061" width="29.28515625" style="739" bestFit="1" customWidth="1"/>
    <col min="3062" max="3310" width="9.140625" style="739"/>
    <col min="3311" max="3311" width="14.85546875" style="739" bestFit="1" customWidth="1"/>
    <col min="3312" max="3316" width="9.140625" style="739"/>
    <col min="3317" max="3317" width="29.28515625" style="739" bestFit="1" customWidth="1"/>
    <col min="3318" max="3566" width="9.140625" style="739"/>
    <col min="3567" max="3567" width="14.85546875" style="739" bestFit="1" customWidth="1"/>
    <col min="3568" max="3572" width="9.140625" style="739"/>
    <col min="3573" max="3573" width="29.28515625" style="739" bestFit="1" customWidth="1"/>
    <col min="3574" max="3822" width="9.140625" style="739"/>
    <col min="3823" max="3823" width="14.85546875" style="739" bestFit="1" customWidth="1"/>
    <col min="3824" max="3828" width="9.140625" style="739"/>
    <col min="3829" max="3829" width="29.28515625" style="739" bestFit="1" customWidth="1"/>
    <col min="3830" max="4078" width="9.140625" style="739"/>
    <col min="4079" max="4079" width="14.85546875" style="739" bestFit="1" customWidth="1"/>
    <col min="4080" max="4084" width="9.140625" style="739"/>
    <col min="4085" max="4085" width="29.28515625" style="739" bestFit="1" customWidth="1"/>
    <col min="4086" max="4334" width="9.140625" style="739"/>
    <col min="4335" max="4335" width="14.85546875" style="739" bestFit="1" customWidth="1"/>
    <col min="4336" max="4340" width="9.140625" style="739"/>
    <col min="4341" max="4341" width="29.28515625" style="739" bestFit="1" customWidth="1"/>
    <col min="4342" max="4590" width="9.140625" style="739"/>
    <col min="4591" max="4591" width="14.85546875" style="739" bestFit="1" customWidth="1"/>
    <col min="4592" max="4596" width="9.140625" style="739"/>
    <col min="4597" max="4597" width="29.28515625" style="739" bestFit="1" customWidth="1"/>
    <col min="4598" max="4846" width="9.140625" style="739"/>
    <col min="4847" max="4847" width="14.85546875" style="739" bestFit="1" customWidth="1"/>
    <col min="4848" max="4852" width="9.140625" style="739"/>
    <col min="4853" max="4853" width="29.28515625" style="739" bestFit="1" customWidth="1"/>
    <col min="4854" max="5102" width="9.140625" style="739"/>
    <col min="5103" max="5103" width="14.85546875" style="739" bestFit="1" customWidth="1"/>
    <col min="5104" max="5108" width="9.140625" style="739"/>
    <col min="5109" max="5109" width="29.28515625" style="739" bestFit="1" customWidth="1"/>
    <col min="5110" max="5358" width="9.140625" style="739"/>
    <col min="5359" max="5359" width="14.85546875" style="739" bestFit="1" customWidth="1"/>
    <col min="5360" max="5364" width="9.140625" style="739"/>
    <col min="5365" max="5365" width="29.28515625" style="739" bestFit="1" customWidth="1"/>
    <col min="5366" max="5614" width="9.140625" style="739"/>
    <col min="5615" max="5615" width="14.85546875" style="739" bestFit="1" customWidth="1"/>
    <col min="5616" max="5620" width="9.140625" style="739"/>
    <col min="5621" max="5621" width="29.28515625" style="739" bestFit="1" customWidth="1"/>
    <col min="5622" max="5870" width="9.140625" style="739"/>
    <col min="5871" max="5871" width="14.85546875" style="739" bestFit="1" customWidth="1"/>
    <col min="5872" max="5876" width="9.140625" style="739"/>
    <col min="5877" max="5877" width="29.28515625" style="739" bestFit="1" customWidth="1"/>
    <col min="5878" max="6126" width="9.140625" style="739"/>
    <col min="6127" max="6127" width="14.85546875" style="739" bestFit="1" customWidth="1"/>
    <col min="6128" max="6132" width="9.140625" style="739"/>
    <col min="6133" max="6133" width="29.28515625" style="739" bestFit="1" customWidth="1"/>
    <col min="6134" max="6382" width="9.140625" style="739"/>
    <col min="6383" max="6383" width="14.85546875" style="739" bestFit="1" customWidth="1"/>
    <col min="6384" max="6388" width="9.140625" style="739"/>
    <col min="6389" max="6389" width="29.28515625" style="739" bestFit="1" customWidth="1"/>
    <col min="6390" max="6638" width="9.140625" style="739"/>
    <col min="6639" max="6639" width="14.85546875" style="739" bestFit="1" customWidth="1"/>
    <col min="6640" max="6644" width="9.140625" style="739"/>
    <col min="6645" max="6645" width="29.28515625" style="739" bestFit="1" customWidth="1"/>
    <col min="6646" max="6894" width="9.140625" style="739"/>
    <col min="6895" max="6895" width="14.85546875" style="739" bestFit="1" customWidth="1"/>
    <col min="6896" max="6900" width="9.140625" style="739"/>
    <col min="6901" max="6901" width="29.28515625" style="739" bestFit="1" customWidth="1"/>
    <col min="6902" max="7150" width="9.140625" style="739"/>
    <col min="7151" max="7151" width="14.85546875" style="739" bestFit="1" customWidth="1"/>
    <col min="7152" max="7156" width="9.140625" style="739"/>
    <col min="7157" max="7157" width="29.28515625" style="739" bestFit="1" customWidth="1"/>
    <col min="7158" max="7406" width="9.140625" style="739"/>
    <col min="7407" max="7407" width="14.85546875" style="739" bestFit="1" customWidth="1"/>
    <col min="7408" max="7412" width="9.140625" style="739"/>
    <col min="7413" max="7413" width="29.28515625" style="739" bestFit="1" customWidth="1"/>
    <col min="7414" max="7662" width="9.140625" style="739"/>
    <col min="7663" max="7663" width="14.85546875" style="739" bestFit="1" customWidth="1"/>
    <col min="7664" max="7668" width="9.140625" style="739"/>
    <col min="7669" max="7669" width="29.28515625" style="739" bestFit="1" customWidth="1"/>
    <col min="7670" max="7918" width="9.140625" style="739"/>
    <col min="7919" max="7919" width="14.85546875" style="739" bestFit="1" customWidth="1"/>
    <col min="7920" max="7924" width="9.140625" style="739"/>
    <col min="7925" max="7925" width="29.28515625" style="739" bestFit="1" customWidth="1"/>
    <col min="7926" max="8174" width="9.140625" style="739"/>
    <col min="8175" max="8175" width="14.85546875" style="739" bestFit="1" customWidth="1"/>
    <col min="8176" max="8180" width="9.140625" style="739"/>
    <col min="8181" max="8181" width="29.28515625" style="739" bestFit="1" customWidth="1"/>
    <col min="8182" max="8430" width="9.140625" style="739"/>
    <col min="8431" max="8431" width="14.85546875" style="739" bestFit="1" customWidth="1"/>
    <col min="8432" max="8436" width="9.140625" style="739"/>
    <col min="8437" max="8437" width="29.28515625" style="739" bestFit="1" customWidth="1"/>
    <col min="8438" max="8686" width="9.140625" style="739"/>
    <col min="8687" max="8687" width="14.85546875" style="739" bestFit="1" customWidth="1"/>
    <col min="8688" max="8692" width="9.140625" style="739"/>
    <col min="8693" max="8693" width="29.28515625" style="739" bestFit="1" customWidth="1"/>
    <col min="8694" max="8942" width="9.140625" style="739"/>
    <col min="8943" max="8943" width="14.85546875" style="739" bestFit="1" customWidth="1"/>
    <col min="8944" max="8948" width="9.140625" style="739"/>
    <col min="8949" max="8949" width="29.28515625" style="739" bestFit="1" customWidth="1"/>
    <col min="8950" max="9198" width="9.140625" style="739"/>
    <col min="9199" max="9199" width="14.85546875" style="739" bestFit="1" customWidth="1"/>
    <col min="9200" max="9204" width="9.140625" style="739"/>
    <col min="9205" max="9205" width="29.28515625" style="739" bestFit="1" customWidth="1"/>
    <col min="9206" max="9454" width="9.140625" style="739"/>
    <col min="9455" max="9455" width="14.85546875" style="739" bestFit="1" customWidth="1"/>
    <col min="9456" max="9460" width="9.140625" style="739"/>
    <col min="9461" max="9461" width="29.28515625" style="739" bestFit="1" customWidth="1"/>
    <col min="9462" max="9710" width="9.140625" style="739"/>
    <col min="9711" max="9711" width="14.85546875" style="739" bestFit="1" customWidth="1"/>
    <col min="9712" max="9716" width="9.140625" style="739"/>
    <col min="9717" max="9717" width="29.28515625" style="739" bestFit="1" customWidth="1"/>
    <col min="9718" max="9966" width="9.140625" style="739"/>
    <col min="9967" max="9967" width="14.85546875" style="739" bestFit="1" customWidth="1"/>
    <col min="9968" max="9972" width="9.140625" style="739"/>
    <col min="9973" max="9973" width="29.28515625" style="739" bestFit="1" customWidth="1"/>
    <col min="9974" max="10222" width="9.140625" style="739"/>
    <col min="10223" max="10223" width="14.85546875" style="739" bestFit="1" customWidth="1"/>
    <col min="10224" max="10228" width="9.140625" style="739"/>
    <col min="10229" max="10229" width="29.28515625" style="739" bestFit="1" customWidth="1"/>
    <col min="10230" max="10478" width="9.140625" style="739"/>
    <col min="10479" max="10479" width="14.85546875" style="739" bestFit="1" customWidth="1"/>
    <col min="10480" max="10484" width="9.140625" style="739"/>
    <col min="10485" max="10485" width="29.28515625" style="739" bestFit="1" customWidth="1"/>
    <col min="10486" max="10734" width="9.140625" style="739"/>
    <col min="10735" max="10735" width="14.85546875" style="739" bestFit="1" customWidth="1"/>
    <col min="10736" max="10740" width="9.140625" style="739"/>
    <col min="10741" max="10741" width="29.28515625" style="739" bestFit="1" customWidth="1"/>
    <col min="10742" max="10990" width="9.140625" style="739"/>
    <col min="10991" max="10991" width="14.85546875" style="739" bestFit="1" customWidth="1"/>
    <col min="10992" max="10996" width="9.140625" style="739"/>
    <col min="10997" max="10997" width="29.28515625" style="739" bestFit="1" customWidth="1"/>
    <col min="10998" max="11246" width="9.140625" style="739"/>
    <col min="11247" max="11247" width="14.85546875" style="739" bestFit="1" customWidth="1"/>
    <col min="11248" max="11252" width="9.140625" style="739"/>
    <col min="11253" max="11253" width="29.28515625" style="739" bestFit="1" customWidth="1"/>
    <col min="11254" max="11502" width="9.140625" style="739"/>
    <col min="11503" max="11503" width="14.85546875" style="739" bestFit="1" customWidth="1"/>
    <col min="11504" max="11508" width="9.140625" style="739"/>
    <col min="11509" max="11509" width="29.28515625" style="739" bestFit="1" customWidth="1"/>
    <col min="11510" max="11758" width="9.140625" style="739"/>
    <col min="11759" max="11759" width="14.85546875" style="739" bestFit="1" customWidth="1"/>
    <col min="11760" max="11764" width="9.140625" style="739"/>
    <col min="11765" max="11765" width="29.28515625" style="739" bestFit="1" customWidth="1"/>
    <col min="11766" max="12014" width="9.140625" style="739"/>
    <col min="12015" max="12015" width="14.85546875" style="739" bestFit="1" customWidth="1"/>
    <col min="12016" max="12020" width="9.140625" style="739"/>
    <col min="12021" max="12021" width="29.28515625" style="739" bestFit="1" customWidth="1"/>
    <col min="12022" max="12270" width="9.140625" style="739"/>
    <col min="12271" max="12271" width="14.85546875" style="739" bestFit="1" customWidth="1"/>
    <col min="12272" max="12276" width="9.140625" style="739"/>
    <col min="12277" max="12277" width="29.28515625" style="739" bestFit="1" customWidth="1"/>
    <col min="12278" max="12526" width="9.140625" style="739"/>
    <col min="12527" max="12527" width="14.85546875" style="739" bestFit="1" customWidth="1"/>
    <col min="12528" max="12532" width="9.140625" style="739"/>
    <col min="12533" max="12533" width="29.28515625" style="739" bestFit="1" customWidth="1"/>
    <col min="12534" max="12782" width="9.140625" style="739"/>
    <col min="12783" max="12783" width="14.85546875" style="739" bestFit="1" customWidth="1"/>
    <col min="12784" max="12788" width="9.140625" style="739"/>
    <col min="12789" max="12789" width="29.28515625" style="739" bestFit="1" customWidth="1"/>
    <col min="12790" max="13038" width="9.140625" style="739"/>
    <col min="13039" max="13039" width="14.85546875" style="739" bestFit="1" customWidth="1"/>
    <col min="13040" max="13044" width="9.140625" style="739"/>
    <col min="13045" max="13045" width="29.28515625" style="739" bestFit="1" customWidth="1"/>
    <col min="13046" max="13294" width="9.140625" style="739"/>
    <col min="13295" max="13295" width="14.85546875" style="739" bestFit="1" customWidth="1"/>
    <col min="13296" max="13300" width="9.140625" style="739"/>
    <col min="13301" max="13301" width="29.28515625" style="739" bestFit="1" customWidth="1"/>
    <col min="13302" max="13550" width="9.140625" style="739"/>
    <col min="13551" max="13551" width="14.85546875" style="739" bestFit="1" customWidth="1"/>
    <col min="13552" max="13556" width="9.140625" style="739"/>
    <col min="13557" max="13557" width="29.28515625" style="739" bestFit="1" customWidth="1"/>
    <col min="13558" max="13806" width="9.140625" style="739"/>
    <col min="13807" max="13807" width="14.85546875" style="739" bestFit="1" customWidth="1"/>
    <col min="13808" max="13812" width="9.140625" style="739"/>
    <col min="13813" max="13813" width="29.28515625" style="739" bestFit="1" customWidth="1"/>
    <col min="13814" max="14062" width="9.140625" style="739"/>
    <col min="14063" max="14063" width="14.85546875" style="739" bestFit="1" customWidth="1"/>
    <col min="14064" max="14068" width="9.140625" style="739"/>
    <col min="14069" max="14069" width="29.28515625" style="739" bestFit="1" customWidth="1"/>
    <col min="14070" max="14318" width="9.140625" style="739"/>
    <col min="14319" max="14319" width="14.85546875" style="739" bestFit="1" customWidth="1"/>
    <col min="14320" max="14324" width="9.140625" style="739"/>
    <col min="14325" max="14325" width="29.28515625" style="739" bestFit="1" customWidth="1"/>
    <col min="14326" max="14574" width="9.140625" style="739"/>
    <col min="14575" max="14575" width="14.85546875" style="739" bestFit="1" customWidth="1"/>
    <col min="14576" max="14580" width="9.140625" style="739"/>
    <col min="14581" max="14581" width="29.28515625" style="739" bestFit="1" customWidth="1"/>
    <col min="14582" max="14830" width="9.140625" style="739"/>
    <col min="14831" max="14831" width="14.85546875" style="739" bestFit="1" customWidth="1"/>
    <col min="14832" max="14836" width="9.140625" style="739"/>
    <col min="14837" max="14837" width="29.28515625" style="739" bestFit="1" customWidth="1"/>
    <col min="14838" max="15086" width="9.140625" style="739"/>
    <col min="15087" max="15087" width="14.85546875" style="739" bestFit="1" customWidth="1"/>
    <col min="15088" max="15092" width="9.140625" style="739"/>
    <col min="15093" max="15093" width="29.28515625" style="739" bestFit="1" customWidth="1"/>
    <col min="15094" max="15342" width="9.140625" style="739"/>
    <col min="15343" max="15343" width="14.85546875" style="739" bestFit="1" customWidth="1"/>
    <col min="15344" max="15348" width="9.140625" style="739"/>
    <col min="15349" max="15349" width="29.28515625" style="739" bestFit="1" customWidth="1"/>
    <col min="15350" max="15598" width="9.140625" style="739"/>
    <col min="15599" max="15599" width="14.85546875" style="739" bestFit="1" customWidth="1"/>
    <col min="15600" max="15604" width="9.140625" style="739"/>
    <col min="15605" max="15605" width="29.28515625" style="739" bestFit="1" customWidth="1"/>
    <col min="15606" max="15854" width="9.140625" style="739"/>
    <col min="15855" max="15855" width="14.85546875" style="739" bestFit="1" customWidth="1"/>
    <col min="15856" max="15860" width="9.140625" style="739"/>
    <col min="15861" max="15861" width="29.28515625" style="739" bestFit="1" customWidth="1"/>
    <col min="15862" max="16110" width="9.140625" style="739"/>
    <col min="16111" max="16111" width="14.85546875" style="739" bestFit="1" customWidth="1"/>
    <col min="16112" max="16116" width="9.140625" style="739"/>
    <col min="16117" max="16117" width="29.28515625" style="739" bestFit="1" customWidth="1"/>
    <col min="16118" max="16384" width="9.140625" style="739"/>
  </cols>
  <sheetData>
    <row r="2" spans="1:10">
      <c r="A2" s="596"/>
      <c r="B2" s="731" t="s">
        <v>724</v>
      </c>
      <c r="C2" s="731" t="s">
        <v>725</v>
      </c>
      <c r="D2" s="731" t="s">
        <v>726</v>
      </c>
      <c r="E2" s="731" t="s">
        <v>747</v>
      </c>
      <c r="F2" s="731" t="s">
        <v>731</v>
      </c>
      <c r="G2" s="731" t="s">
        <v>748</v>
      </c>
      <c r="H2" s="731" t="s">
        <v>732</v>
      </c>
      <c r="I2" s="732" t="s">
        <v>749</v>
      </c>
    </row>
    <row r="3" spans="1:10">
      <c r="A3" s="735">
        <v>2015</v>
      </c>
      <c r="B3" s="755">
        <v>1</v>
      </c>
      <c r="C3" s="755"/>
      <c r="D3" s="755"/>
      <c r="E3" s="755"/>
      <c r="F3" s="755"/>
      <c r="G3" s="755"/>
      <c r="H3" s="755">
        <v>1</v>
      </c>
      <c r="I3" s="755">
        <v>1</v>
      </c>
      <c r="J3" s="752"/>
    </row>
    <row r="4" spans="1:10">
      <c r="A4" s="735">
        <v>2016</v>
      </c>
      <c r="B4" s="755">
        <v>1.0330247286163665</v>
      </c>
      <c r="C4" s="755">
        <v>2.104816166100365E-3</v>
      </c>
      <c r="D4" s="755">
        <v>1.5177205411271988E-3</v>
      </c>
      <c r="E4" s="755">
        <v>5.0179157764018711E-3</v>
      </c>
      <c r="F4" s="755">
        <v>1.5177205411274208E-3</v>
      </c>
      <c r="G4" s="755">
        <v>2.104816166100143E-3</v>
      </c>
      <c r="H4" s="755">
        <v>1.039156223211795</v>
      </c>
      <c r="I4" s="755">
        <v>1.039156223211795</v>
      </c>
    </row>
    <row r="5" spans="1:10">
      <c r="A5" s="735">
        <v>2017</v>
      </c>
      <c r="B5" s="755">
        <v>1.0595269620848076</v>
      </c>
      <c r="C5" s="755">
        <v>8.1600052750059326E-3</v>
      </c>
      <c r="D5" s="755">
        <v>5.8990816433854842E-3</v>
      </c>
      <c r="E5" s="755">
        <v>1.9593984649609819E-2</v>
      </c>
      <c r="F5" s="755">
        <v>5.9537251036305694E-3</v>
      </c>
      <c r="G5" s="755">
        <v>8.2777898122576854E-3</v>
      </c>
      <c r="H5" s="755">
        <v>1.0833657026791366</v>
      </c>
      <c r="I5" s="755">
        <v>1.0833657026791366</v>
      </c>
    </row>
    <row r="6" spans="1:10">
      <c r="A6" s="735">
        <v>2018</v>
      </c>
      <c r="B6" s="755">
        <v>1.0688024450970817</v>
      </c>
      <c r="C6" s="755">
        <v>2.2712817138477392E-2</v>
      </c>
      <c r="D6" s="755">
        <v>1.6530520192439724E-2</v>
      </c>
      <c r="E6" s="755">
        <v>5.5571065749988602E-2</v>
      </c>
      <c r="F6" s="755">
        <v>1.7086985209931793E-2</v>
      </c>
      <c r="G6" s="755">
        <v>2.3912283173179727E-2</v>
      </c>
      <c r="H6" s="755">
        <v>1.1356547461124236</v>
      </c>
      <c r="I6" s="755">
        <v>1.1356547461124236</v>
      </c>
    </row>
    <row r="7" spans="1:10">
      <c r="A7" s="753">
        <v>2019</v>
      </c>
      <c r="B7" s="757">
        <v>1.0629259266325086</v>
      </c>
      <c r="C7" s="757">
        <v>4.4510848881212928E-2</v>
      </c>
      <c r="D7" s="757">
        <v>3.2819011111677954E-2</v>
      </c>
      <c r="E7" s="757">
        <v>0.11290345940349988</v>
      </c>
      <c r="F7" s="757">
        <v>3.5501502221772618E-2</v>
      </c>
      <c r="G7" s="757">
        <v>5.02932125916149E-2</v>
      </c>
      <c r="H7" s="757">
        <v>1.1958563654917489</v>
      </c>
      <c r="I7" s="757">
        <v>1.1958563654917489</v>
      </c>
    </row>
    <row r="8" spans="1:10">
      <c r="I8" s="723" t="s">
        <v>5</v>
      </c>
    </row>
    <row r="11" spans="1:10">
      <c r="B11" s="744" t="s">
        <v>403</v>
      </c>
      <c r="C11" s="744"/>
      <c r="D11" s="744"/>
      <c r="E11" s="744"/>
      <c r="F11" s="744"/>
      <c r="G11" s="744"/>
      <c r="H11" s="744"/>
      <c r="I11" s="744"/>
      <c r="J11" s="744"/>
    </row>
  </sheetData>
  <pageMargins left="0.25" right="0.25" top="0.75" bottom="0.75" header="0.3" footer="0.3"/>
  <pageSetup fitToHeight="0" orientation="portrait" horizontalDpi="4294967294" verticalDpi="0" r:id="rId1"/>
  <drawing r:id="rId2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J10"/>
  <sheetViews>
    <sheetView showGridLines="0" workbookViewId="0">
      <selection activeCell="B10" sqref="B10"/>
    </sheetView>
  </sheetViews>
  <sheetFormatPr defaultRowHeight="15"/>
  <cols>
    <col min="1" max="8" width="9.140625" style="739"/>
    <col min="9" max="9" width="17.28515625" style="739" customWidth="1"/>
    <col min="10" max="238" width="9.140625" style="739"/>
    <col min="239" max="239" width="14.85546875" style="739" bestFit="1" customWidth="1"/>
    <col min="240" max="244" width="9.140625" style="739"/>
    <col min="245" max="245" width="29.28515625" style="739" bestFit="1" customWidth="1"/>
    <col min="246" max="494" width="9.140625" style="739"/>
    <col min="495" max="495" width="14.85546875" style="739" bestFit="1" customWidth="1"/>
    <col min="496" max="500" width="9.140625" style="739"/>
    <col min="501" max="501" width="29.28515625" style="739" bestFit="1" customWidth="1"/>
    <col min="502" max="750" width="9.140625" style="739"/>
    <col min="751" max="751" width="14.85546875" style="739" bestFit="1" customWidth="1"/>
    <col min="752" max="756" width="9.140625" style="739"/>
    <col min="757" max="757" width="29.28515625" style="739" bestFit="1" customWidth="1"/>
    <col min="758" max="1006" width="9.140625" style="739"/>
    <col min="1007" max="1007" width="14.85546875" style="739" bestFit="1" customWidth="1"/>
    <col min="1008" max="1012" width="9.140625" style="739"/>
    <col min="1013" max="1013" width="29.28515625" style="739" bestFit="1" customWidth="1"/>
    <col min="1014" max="1262" width="9.140625" style="739"/>
    <col min="1263" max="1263" width="14.85546875" style="739" bestFit="1" customWidth="1"/>
    <col min="1264" max="1268" width="9.140625" style="739"/>
    <col min="1269" max="1269" width="29.28515625" style="739" bestFit="1" customWidth="1"/>
    <col min="1270" max="1518" width="9.140625" style="739"/>
    <col min="1519" max="1519" width="14.85546875" style="739" bestFit="1" customWidth="1"/>
    <col min="1520" max="1524" width="9.140625" style="739"/>
    <col min="1525" max="1525" width="29.28515625" style="739" bestFit="1" customWidth="1"/>
    <col min="1526" max="1774" width="9.140625" style="739"/>
    <col min="1775" max="1775" width="14.85546875" style="739" bestFit="1" customWidth="1"/>
    <col min="1776" max="1780" width="9.140625" style="739"/>
    <col min="1781" max="1781" width="29.28515625" style="739" bestFit="1" customWidth="1"/>
    <col min="1782" max="2030" width="9.140625" style="739"/>
    <col min="2031" max="2031" width="14.85546875" style="739" bestFit="1" customWidth="1"/>
    <col min="2032" max="2036" width="9.140625" style="739"/>
    <col min="2037" max="2037" width="29.28515625" style="739" bestFit="1" customWidth="1"/>
    <col min="2038" max="2286" width="9.140625" style="739"/>
    <col min="2287" max="2287" width="14.85546875" style="739" bestFit="1" customWidth="1"/>
    <col min="2288" max="2292" width="9.140625" style="739"/>
    <col min="2293" max="2293" width="29.28515625" style="739" bestFit="1" customWidth="1"/>
    <col min="2294" max="2542" width="9.140625" style="739"/>
    <col min="2543" max="2543" width="14.85546875" style="739" bestFit="1" customWidth="1"/>
    <col min="2544" max="2548" width="9.140625" style="739"/>
    <col min="2549" max="2549" width="29.28515625" style="739" bestFit="1" customWidth="1"/>
    <col min="2550" max="2798" width="9.140625" style="739"/>
    <col min="2799" max="2799" width="14.85546875" style="739" bestFit="1" customWidth="1"/>
    <col min="2800" max="2804" width="9.140625" style="739"/>
    <col min="2805" max="2805" width="29.28515625" style="739" bestFit="1" customWidth="1"/>
    <col min="2806" max="3054" width="9.140625" style="739"/>
    <col min="3055" max="3055" width="14.85546875" style="739" bestFit="1" customWidth="1"/>
    <col min="3056" max="3060" width="9.140625" style="739"/>
    <col min="3061" max="3061" width="29.28515625" style="739" bestFit="1" customWidth="1"/>
    <col min="3062" max="3310" width="9.140625" style="739"/>
    <col min="3311" max="3311" width="14.85546875" style="739" bestFit="1" customWidth="1"/>
    <col min="3312" max="3316" width="9.140625" style="739"/>
    <col min="3317" max="3317" width="29.28515625" style="739" bestFit="1" customWidth="1"/>
    <col min="3318" max="3566" width="9.140625" style="739"/>
    <col min="3567" max="3567" width="14.85546875" style="739" bestFit="1" customWidth="1"/>
    <col min="3568" max="3572" width="9.140625" style="739"/>
    <col min="3573" max="3573" width="29.28515625" style="739" bestFit="1" customWidth="1"/>
    <col min="3574" max="3822" width="9.140625" style="739"/>
    <col min="3823" max="3823" width="14.85546875" style="739" bestFit="1" customWidth="1"/>
    <col min="3824" max="3828" width="9.140625" style="739"/>
    <col min="3829" max="3829" width="29.28515625" style="739" bestFit="1" customWidth="1"/>
    <col min="3830" max="4078" width="9.140625" style="739"/>
    <col min="4079" max="4079" width="14.85546875" style="739" bestFit="1" customWidth="1"/>
    <col min="4080" max="4084" width="9.140625" style="739"/>
    <col min="4085" max="4085" width="29.28515625" style="739" bestFit="1" customWidth="1"/>
    <col min="4086" max="4334" width="9.140625" style="739"/>
    <col min="4335" max="4335" width="14.85546875" style="739" bestFit="1" customWidth="1"/>
    <col min="4336" max="4340" width="9.140625" style="739"/>
    <col min="4341" max="4341" width="29.28515625" style="739" bestFit="1" customWidth="1"/>
    <col min="4342" max="4590" width="9.140625" style="739"/>
    <col min="4591" max="4591" width="14.85546875" style="739" bestFit="1" customWidth="1"/>
    <col min="4592" max="4596" width="9.140625" style="739"/>
    <col min="4597" max="4597" width="29.28515625" style="739" bestFit="1" customWidth="1"/>
    <col min="4598" max="4846" width="9.140625" style="739"/>
    <col min="4847" max="4847" width="14.85546875" style="739" bestFit="1" customWidth="1"/>
    <col min="4848" max="4852" width="9.140625" style="739"/>
    <col min="4853" max="4853" width="29.28515625" style="739" bestFit="1" customWidth="1"/>
    <col min="4854" max="5102" width="9.140625" style="739"/>
    <col min="5103" max="5103" width="14.85546875" style="739" bestFit="1" customWidth="1"/>
    <col min="5104" max="5108" width="9.140625" style="739"/>
    <col min="5109" max="5109" width="29.28515625" style="739" bestFit="1" customWidth="1"/>
    <col min="5110" max="5358" width="9.140625" style="739"/>
    <col min="5359" max="5359" width="14.85546875" style="739" bestFit="1" customWidth="1"/>
    <col min="5360" max="5364" width="9.140625" style="739"/>
    <col min="5365" max="5365" width="29.28515625" style="739" bestFit="1" customWidth="1"/>
    <col min="5366" max="5614" width="9.140625" style="739"/>
    <col min="5615" max="5615" width="14.85546875" style="739" bestFit="1" customWidth="1"/>
    <col min="5616" max="5620" width="9.140625" style="739"/>
    <col min="5621" max="5621" width="29.28515625" style="739" bestFit="1" customWidth="1"/>
    <col min="5622" max="5870" width="9.140625" style="739"/>
    <col min="5871" max="5871" width="14.85546875" style="739" bestFit="1" customWidth="1"/>
    <col min="5872" max="5876" width="9.140625" style="739"/>
    <col min="5877" max="5877" width="29.28515625" style="739" bestFit="1" customWidth="1"/>
    <col min="5878" max="6126" width="9.140625" style="739"/>
    <col min="6127" max="6127" width="14.85546875" style="739" bestFit="1" customWidth="1"/>
    <col min="6128" max="6132" width="9.140625" style="739"/>
    <col min="6133" max="6133" width="29.28515625" style="739" bestFit="1" customWidth="1"/>
    <col min="6134" max="6382" width="9.140625" style="739"/>
    <col min="6383" max="6383" width="14.85546875" style="739" bestFit="1" customWidth="1"/>
    <col min="6384" max="6388" width="9.140625" style="739"/>
    <col min="6389" max="6389" width="29.28515625" style="739" bestFit="1" customWidth="1"/>
    <col min="6390" max="6638" width="9.140625" style="739"/>
    <col min="6639" max="6639" width="14.85546875" style="739" bestFit="1" customWidth="1"/>
    <col min="6640" max="6644" width="9.140625" style="739"/>
    <col min="6645" max="6645" width="29.28515625" style="739" bestFit="1" customWidth="1"/>
    <col min="6646" max="6894" width="9.140625" style="739"/>
    <col min="6895" max="6895" width="14.85546875" style="739" bestFit="1" customWidth="1"/>
    <col min="6896" max="6900" width="9.140625" style="739"/>
    <col min="6901" max="6901" width="29.28515625" style="739" bestFit="1" customWidth="1"/>
    <col min="6902" max="7150" width="9.140625" style="739"/>
    <col min="7151" max="7151" width="14.85546875" style="739" bestFit="1" customWidth="1"/>
    <col min="7152" max="7156" width="9.140625" style="739"/>
    <col min="7157" max="7157" width="29.28515625" style="739" bestFit="1" customWidth="1"/>
    <col min="7158" max="7406" width="9.140625" style="739"/>
    <col min="7407" max="7407" width="14.85546875" style="739" bestFit="1" customWidth="1"/>
    <col min="7408" max="7412" width="9.140625" style="739"/>
    <col min="7413" max="7413" width="29.28515625" style="739" bestFit="1" customWidth="1"/>
    <col min="7414" max="7662" width="9.140625" style="739"/>
    <col min="7663" max="7663" width="14.85546875" style="739" bestFit="1" customWidth="1"/>
    <col min="7664" max="7668" width="9.140625" style="739"/>
    <col min="7669" max="7669" width="29.28515625" style="739" bestFit="1" customWidth="1"/>
    <col min="7670" max="7918" width="9.140625" style="739"/>
    <col min="7919" max="7919" width="14.85546875" style="739" bestFit="1" customWidth="1"/>
    <col min="7920" max="7924" width="9.140625" style="739"/>
    <col min="7925" max="7925" width="29.28515625" style="739" bestFit="1" customWidth="1"/>
    <col min="7926" max="8174" width="9.140625" style="739"/>
    <col min="8175" max="8175" width="14.85546875" style="739" bestFit="1" customWidth="1"/>
    <col min="8176" max="8180" width="9.140625" style="739"/>
    <col min="8181" max="8181" width="29.28515625" style="739" bestFit="1" customWidth="1"/>
    <col min="8182" max="8430" width="9.140625" style="739"/>
    <col min="8431" max="8431" width="14.85546875" style="739" bestFit="1" customWidth="1"/>
    <col min="8432" max="8436" width="9.140625" style="739"/>
    <col min="8437" max="8437" width="29.28515625" style="739" bestFit="1" customWidth="1"/>
    <col min="8438" max="8686" width="9.140625" style="739"/>
    <col min="8687" max="8687" width="14.85546875" style="739" bestFit="1" customWidth="1"/>
    <col min="8688" max="8692" width="9.140625" style="739"/>
    <col min="8693" max="8693" width="29.28515625" style="739" bestFit="1" customWidth="1"/>
    <col min="8694" max="8942" width="9.140625" style="739"/>
    <col min="8943" max="8943" width="14.85546875" style="739" bestFit="1" customWidth="1"/>
    <col min="8944" max="8948" width="9.140625" style="739"/>
    <col min="8949" max="8949" width="29.28515625" style="739" bestFit="1" customWidth="1"/>
    <col min="8950" max="9198" width="9.140625" style="739"/>
    <col min="9199" max="9199" width="14.85546875" style="739" bestFit="1" customWidth="1"/>
    <col min="9200" max="9204" width="9.140625" style="739"/>
    <col min="9205" max="9205" width="29.28515625" style="739" bestFit="1" customWidth="1"/>
    <col min="9206" max="9454" width="9.140625" style="739"/>
    <col min="9455" max="9455" width="14.85546875" style="739" bestFit="1" customWidth="1"/>
    <col min="9456" max="9460" width="9.140625" style="739"/>
    <col min="9461" max="9461" width="29.28515625" style="739" bestFit="1" customWidth="1"/>
    <col min="9462" max="9710" width="9.140625" style="739"/>
    <col min="9711" max="9711" width="14.85546875" style="739" bestFit="1" customWidth="1"/>
    <col min="9712" max="9716" width="9.140625" style="739"/>
    <col min="9717" max="9717" width="29.28515625" style="739" bestFit="1" customWidth="1"/>
    <col min="9718" max="9966" width="9.140625" style="739"/>
    <col min="9967" max="9967" width="14.85546875" style="739" bestFit="1" customWidth="1"/>
    <col min="9968" max="9972" width="9.140625" style="739"/>
    <col min="9973" max="9973" width="29.28515625" style="739" bestFit="1" customWidth="1"/>
    <col min="9974" max="10222" width="9.140625" style="739"/>
    <col min="10223" max="10223" width="14.85546875" style="739" bestFit="1" customWidth="1"/>
    <col min="10224" max="10228" width="9.140625" style="739"/>
    <col min="10229" max="10229" width="29.28515625" style="739" bestFit="1" customWidth="1"/>
    <col min="10230" max="10478" width="9.140625" style="739"/>
    <col min="10479" max="10479" width="14.85546875" style="739" bestFit="1" customWidth="1"/>
    <col min="10480" max="10484" width="9.140625" style="739"/>
    <col min="10485" max="10485" width="29.28515625" style="739" bestFit="1" customWidth="1"/>
    <col min="10486" max="10734" width="9.140625" style="739"/>
    <col min="10735" max="10735" width="14.85546875" style="739" bestFit="1" customWidth="1"/>
    <col min="10736" max="10740" width="9.140625" style="739"/>
    <col min="10741" max="10741" width="29.28515625" style="739" bestFit="1" customWidth="1"/>
    <col min="10742" max="10990" width="9.140625" style="739"/>
    <col min="10991" max="10991" width="14.85546875" style="739" bestFit="1" customWidth="1"/>
    <col min="10992" max="10996" width="9.140625" style="739"/>
    <col min="10997" max="10997" width="29.28515625" style="739" bestFit="1" customWidth="1"/>
    <col min="10998" max="11246" width="9.140625" style="739"/>
    <col min="11247" max="11247" width="14.85546875" style="739" bestFit="1" customWidth="1"/>
    <col min="11248" max="11252" width="9.140625" style="739"/>
    <col min="11253" max="11253" width="29.28515625" style="739" bestFit="1" customWidth="1"/>
    <col min="11254" max="11502" width="9.140625" style="739"/>
    <col min="11503" max="11503" width="14.85546875" style="739" bestFit="1" customWidth="1"/>
    <col min="11504" max="11508" width="9.140625" style="739"/>
    <col min="11509" max="11509" width="29.28515625" style="739" bestFit="1" customWidth="1"/>
    <col min="11510" max="11758" width="9.140625" style="739"/>
    <col min="11759" max="11759" width="14.85546875" style="739" bestFit="1" customWidth="1"/>
    <col min="11760" max="11764" width="9.140625" style="739"/>
    <col min="11765" max="11765" width="29.28515625" style="739" bestFit="1" customWidth="1"/>
    <col min="11766" max="12014" width="9.140625" style="739"/>
    <col min="12015" max="12015" width="14.85546875" style="739" bestFit="1" customWidth="1"/>
    <col min="12016" max="12020" width="9.140625" style="739"/>
    <col min="12021" max="12021" width="29.28515625" style="739" bestFit="1" customWidth="1"/>
    <col min="12022" max="12270" width="9.140625" style="739"/>
    <col min="12271" max="12271" width="14.85546875" style="739" bestFit="1" customWidth="1"/>
    <col min="12272" max="12276" width="9.140625" style="739"/>
    <col min="12277" max="12277" width="29.28515625" style="739" bestFit="1" customWidth="1"/>
    <col min="12278" max="12526" width="9.140625" style="739"/>
    <col min="12527" max="12527" width="14.85546875" style="739" bestFit="1" customWidth="1"/>
    <col min="12528" max="12532" width="9.140625" style="739"/>
    <col min="12533" max="12533" width="29.28515625" style="739" bestFit="1" customWidth="1"/>
    <col min="12534" max="12782" width="9.140625" style="739"/>
    <col min="12783" max="12783" width="14.85546875" style="739" bestFit="1" customWidth="1"/>
    <col min="12784" max="12788" width="9.140625" style="739"/>
    <col min="12789" max="12789" width="29.28515625" style="739" bestFit="1" customWidth="1"/>
    <col min="12790" max="13038" width="9.140625" style="739"/>
    <col min="13039" max="13039" width="14.85546875" style="739" bestFit="1" customWidth="1"/>
    <col min="13040" max="13044" width="9.140625" style="739"/>
    <col min="13045" max="13045" width="29.28515625" style="739" bestFit="1" customWidth="1"/>
    <col min="13046" max="13294" width="9.140625" style="739"/>
    <col min="13295" max="13295" width="14.85546875" style="739" bestFit="1" customWidth="1"/>
    <col min="13296" max="13300" width="9.140625" style="739"/>
    <col min="13301" max="13301" width="29.28515625" style="739" bestFit="1" customWidth="1"/>
    <col min="13302" max="13550" width="9.140625" style="739"/>
    <col min="13551" max="13551" width="14.85546875" style="739" bestFit="1" customWidth="1"/>
    <col min="13552" max="13556" width="9.140625" style="739"/>
    <col min="13557" max="13557" width="29.28515625" style="739" bestFit="1" customWidth="1"/>
    <col min="13558" max="13806" width="9.140625" style="739"/>
    <col min="13807" max="13807" width="14.85546875" style="739" bestFit="1" customWidth="1"/>
    <col min="13808" max="13812" width="9.140625" style="739"/>
    <col min="13813" max="13813" width="29.28515625" style="739" bestFit="1" customWidth="1"/>
    <col min="13814" max="14062" width="9.140625" style="739"/>
    <col min="14063" max="14063" width="14.85546875" style="739" bestFit="1" customWidth="1"/>
    <col min="14064" max="14068" width="9.140625" style="739"/>
    <col min="14069" max="14069" width="29.28515625" style="739" bestFit="1" customWidth="1"/>
    <col min="14070" max="14318" width="9.140625" style="739"/>
    <col min="14319" max="14319" width="14.85546875" style="739" bestFit="1" customWidth="1"/>
    <col min="14320" max="14324" width="9.140625" style="739"/>
    <col min="14325" max="14325" width="29.28515625" style="739" bestFit="1" customWidth="1"/>
    <col min="14326" max="14574" width="9.140625" style="739"/>
    <col min="14575" max="14575" width="14.85546875" style="739" bestFit="1" customWidth="1"/>
    <col min="14576" max="14580" width="9.140625" style="739"/>
    <col min="14581" max="14581" width="29.28515625" style="739" bestFit="1" customWidth="1"/>
    <col min="14582" max="14830" width="9.140625" style="739"/>
    <col min="14831" max="14831" width="14.85546875" style="739" bestFit="1" customWidth="1"/>
    <col min="14832" max="14836" width="9.140625" style="739"/>
    <col min="14837" max="14837" width="29.28515625" style="739" bestFit="1" customWidth="1"/>
    <col min="14838" max="15086" width="9.140625" style="739"/>
    <col min="15087" max="15087" width="14.85546875" style="739" bestFit="1" customWidth="1"/>
    <col min="15088" max="15092" width="9.140625" style="739"/>
    <col min="15093" max="15093" width="29.28515625" style="739" bestFit="1" customWidth="1"/>
    <col min="15094" max="15342" width="9.140625" style="739"/>
    <col min="15343" max="15343" width="14.85546875" style="739" bestFit="1" customWidth="1"/>
    <col min="15344" max="15348" width="9.140625" style="739"/>
    <col min="15349" max="15349" width="29.28515625" style="739" bestFit="1" customWidth="1"/>
    <col min="15350" max="15598" width="9.140625" style="739"/>
    <col min="15599" max="15599" width="14.85546875" style="739" bestFit="1" customWidth="1"/>
    <col min="15600" max="15604" width="9.140625" style="739"/>
    <col min="15605" max="15605" width="29.28515625" style="739" bestFit="1" customWidth="1"/>
    <col min="15606" max="15854" width="9.140625" style="739"/>
    <col min="15855" max="15855" width="14.85546875" style="739" bestFit="1" customWidth="1"/>
    <col min="15856" max="15860" width="9.140625" style="739"/>
    <col min="15861" max="15861" width="29.28515625" style="739" bestFit="1" customWidth="1"/>
    <col min="15862" max="16110" width="9.140625" style="739"/>
    <col min="16111" max="16111" width="14.85546875" style="739" bestFit="1" customWidth="1"/>
    <col min="16112" max="16116" width="9.140625" style="739"/>
    <col min="16117" max="16117" width="29.28515625" style="739" bestFit="1" customWidth="1"/>
    <col min="16118" max="16384" width="9.140625" style="739"/>
  </cols>
  <sheetData>
    <row r="2" spans="1:10">
      <c r="A2" s="596"/>
      <c r="B2" s="731" t="s">
        <v>724</v>
      </c>
      <c r="C2" s="731" t="s">
        <v>725</v>
      </c>
      <c r="D2" s="731" t="s">
        <v>726</v>
      </c>
      <c r="E2" s="731" t="s">
        <v>747</v>
      </c>
      <c r="F2" s="731" t="s">
        <v>731</v>
      </c>
      <c r="G2" s="731" t="s">
        <v>748</v>
      </c>
      <c r="H2" s="731" t="s">
        <v>732</v>
      </c>
      <c r="I2" s="732" t="s">
        <v>750</v>
      </c>
    </row>
    <row r="3" spans="1:10">
      <c r="A3" s="735">
        <v>2015</v>
      </c>
      <c r="B3" s="755">
        <v>23024.666893522688</v>
      </c>
      <c r="C3" s="755"/>
      <c r="D3" s="755"/>
      <c r="E3" s="755"/>
      <c r="F3" s="755"/>
      <c r="G3" s="755"/>
      <c r="H3" s="755"/>
      <c r="I3" s="755">
        <v>23024.666893522688</v>
      </c>
      <c r="J3" s="752"/>
    </row>
    <row r="4" spans="1:10">
      <c r="A4" s="735">
        <v>2016</v>
      </c>
      <c r="B4" s="755">
        <v>23937.172461594928</v>
      </c>
      <c r="C4" s="755">
        <v>48.772644228356512</v>
      </c>
      <c r="D4" s="755">
        <v>35.168507911832421</v>
      </c>
      <c r="E4" s="755">
        <v>116.27477252976678</v>
      </c>
      <c r="F4" s="755">
        <v>35.168507911843335</v>
      </c>
      <c r="G4" s="755">
        <v>48.772644228345598</v>
      </c>
      <c r="H4" s="755">
        <v>2.2169682750206032E-3</v>
      </c>
      <c r="I4" s="755">
        <v>24079.251000000004</v>
      </c>
    </row>
    <row r="5" spans="1:10">
      <c r="A5" s="735">
        <v>2017</v>
      </c>
      <c r="B5" s="755">
        <v>24581.101508522272</v>
      </c>
      <c r="C5" s="755">
        <v>189.31270760709594</v>
      </c>
      <c r="D5" s="755">
        <v>136.85911720244985</v>
      </c>
      <c r="E5" s="755">
        <v>454.5818491308346</v>
      </c>
      <c r="F5" s="755">
        <v>138.12684939910469</v>
      </c>
      <c r="G5" s="755">
        <v>192.04531731872339</v>
      </c>
      <c r="H5" s="755">
        <v>5.3764156189863854E-3</v>
      </c>
      <c r="I5" s="755">
        <v>25134.162000000004</v>
      </c>
    </row>
    <row r="6" spans="1:10">
      <c r="A6" s="735">
        <v>2018</v>
      </c>
      <c r="B6" s="755">
        <v>24856.199750765823</v>
      </c>
      <c r="C6" s="755">
        <v>528.2120398268089</v>
      </c>
      <c r="D6" s="755">
        <v>384.43578958132639</v>
      </c>
      <c r="E6" s="755">
        <v>1292.3674688255342</v>
      </c>
      <c r="F6" s="755">
        <v>397.37700775737903</v>
      </c>
      <c r="G6" s="755">
        <v>556.10696792094313</v>
      </c>
      <c r="H6" s="755">
        <v>1.3529257279302542E-2</v>
      </c>
      <c r="I6" s="755">
        <v>26410.925000000003</v>
      </c>
    </row>
    <row r="7" spans="1:10">
      <c r="A7" s="753">
        <v>2019</v>
      </c>
      <c r="B7" s="757">
        <v>24767.61017643147</v>
      </c>
      <c r="C7" s="757">
        <v>1037.1629161446544</v>
      </c>
      <c r="D7" s="757">
        <v>764.72729963904931</v>
      </c>
      <c r="E7" s="757">
        <v>2630.8031444257322</v>
      </c>
      <c r="F7" s="757">
        <v>827.23296673389268</v>
      </c>
      <c r="G7" s="757">
        <v>1171.8998029673385</v>
      </c>
      <c r="H7" s="757">
        <v>2.2658137944870593E-2</v>
      </c>
      <c r="I7" s="757">
        <v>27865.069000000003</v>
      </c>
    </row>
    <row r="8" spans="1:10">
      <c r="I8" s="723" t="s">
        <v>5</v>
      </c>
    </row>
    <row r="10" spans="1:10">
      <c r="B10" s="744" t="s">
        <v>404</v>
      </c>
      <c r="C10" s="744"/>
      <c r="D10" s="744"/>
      <c r="E10" s="744"/>
      <c r="F10" s="744"/>
      <c r="G10" s="744"/>
      <c r="H10" s="744"/>
      <c r="I10" s="744"/>
      <c r="J10" s="744"/>
    </row>
  </sheetData>
  <pageMargins left="0.25" right="0.25" top="0.75" bottom="0.75" header="0.3" footer="0.3"/>
  <pageSetup fitToHeight="0" orientation="portrait" horizontalDpi="4294967294" verticalDpi="0" r:id="rId1"/>
  <drawing r:id="rId2"/>
</worksheet>
</file>

<file path=xl/worksheets/sheet10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V34"/>
  <sheetViews>
    <sheetView showGridLines="0" topLeftCell="F1" workbookViewId="0">
      <selection activeCell="N1" sqref="N1"/>
    </sheetView>
  </sheetViews>
  <sheetFormatPr defaultRowHeight="15"/>
  <cols>
    <col min="1" max="1" width="51.28515625" style="758" customWidth="1"/>
    <col min="2" max="5" width="9.140625" style="758"/>
    <col min="6" max="6" width="9.140625" style="758" customWidth="1"/>
    <col min="7" max="16384" width="9.140625" style="758"/>
  </cols>
  <sheetData>
    <row r="1" spans="1:22">
      <c r="A1" s="792" t="s">
        <v>1062</v>
      </c>
      <c r="N1" s="792" t="s">
        <v>1062</v>
      </c>
      <c r="V1" s="792" t="s">
        <v>1050</v>
      </c>
    </row>
    <row r="2" spans="1:22">
      <c r="A2" s="1176"/>
      <c r="B2" s="1157">
        <v>2009</v>
      </c>
      <c r="C2" s="1157">
        <v>2010</v>
      </c>
      <c r="D2" s="1157">
        <v>2011</v>
      </c>
      <c r="E2" s="1157">
        <v>2012</v>
      </c>
      <c r="F2" s="1157">
        <v>2013</v>
      </c>
      <c r="G2" s="1157">
        <v>2014</v>
      </c>
      <c r="H2" s="1157">
        <v>2015</v>
      </c>
      <c r="I2" s="1157">
        <v>2016</v>
      </c>
      <c r="J2" s="1157">
        <v>2017</v>
      </c>
      <c r="K2" s="1157">
        <v>2018</v>
      </c>
      <c r="L2" s="1157">
        <v>2019</v>
      </c>
      <c r="M2" s="759"/>
      <c r="N2" s="759"/>
      <c r="O2" s="759"/>
      <c r="P2" s="759"/>
      <c r="Q2" s="759"/>
      <c r="R2" s="759"/>
      <c r="S2" s="759"/>
      <c r="T2" s="759"/>
      <c r="U2" s="759"/>
      <c r="V2" s="759"/>
    </row>
    <row r="3" spans="1:22">
      <c r="A3" s="917" t="s">
        <v>1061</v>
      </c>
      <c r="B3" s="778"/>
      <c r="C3" s="778"/>
      <c r="D3" s="778"/>
      <c r="E3" s="778"/>
      <c r="F3" s="778"/>
      <c r="G3" s="778"/>
      <c r="H3" s="778"/>
      <c r="I3" s="1160"/>
      <c r="J3" s="1160"/>
      <c r="K3" s="1160"/>
      <c r="L3" s="1160"/>
      <c r="M3" s="759"/>
      <c r="N3" s="759"/>
      <c r="O3" s="759"/>
      <c r="P3" s="759"/>
      <c r="Q3" s="759"/>
      <c r="R3" s="759"/>
      <c r="S3" s="759"/>
      <c r="T3" s="759"/>
      <c r="U3" s="759"/>
      <c r="V3" s="759"/>
    </row>
    <row r="4" spans="1:22">
      <c r="A4" s="759" t="s">
        <v>1060</v>
      </c>
      <c r="B4" s="778">
        <f>1589.184+523.936</f>
        <v>2113.12</v>
      </c>
      <c r="C4" s="778">
        <f>1555.178+513.134</f>
        <v>2068.3119999999999</v>
      </c>
      <c r="D4" s="778">
        <v>1953.9680000000001</v>
      </c>
      <c r="E4" s="778">
        <v>1983.653</v>
      </c>
      <c r="F4" s="1160">
        <v>1980.0350000000001</v>
      </c>
      <c r="G4" s="1160">
        <v>2064.5479999999998</v>
      </c>
      <c r="H4" s="778">
        <v>2086.3090000000002</v>
      </c>
      <c r="I4" s="1160">
        <v>2353.02</v>
      </c>
      <c r="J4" s="1160">
        <v>2357.5700000000002</v>
      </c>
      <c r="K4" s="1160">
        <v>2385.5030000000002</v>
      </c>
      <c r="L4" s="1160">
        <v>2394.8580000000002</v>
      </c>
      <c r="M4" s="759"/>
      <c r="N4" s="759"/>
      <c r="O4" s="759"/>
      <c r="P4" s="759"/>
      <c r="Q4" s="759"/>
      <c r="R4" s="759"/>
      <c r="S4" s="759"/>
      <c r="T4" s="759"/>
      <c r="U4" s="759"/>
      <c r="V4" s="759"/>
    </row>
    <row r="5" spans="1:22">
      <c r="A5" s="938" t="s">
        <v>1059</v>
      </c>
      <c r="B5" s="1175">
        <v>2015.2919999999999</v>
      </c>
      <c r="C5" s="1175">
        <v>2060.0230000000001</v>
      </c>
      <c r="D5" s="1175">
        <v>1962.9970000000001</v>
      </c>
      <c r="E5" s="1175">
        <v>1978.6859999999999</v>
      </c>
      <c r="F5" s="1175">
        <v>2033.7159999999999</v>
      </c>
      <c r="G5" s="1175">
        <v>2134.9899999999998</v>
      </c>
      <c r="H5" s="1156">
        <v>2197.1030000000001</v>
      </c>
      <c r="I5" s="1175">
        <v>2316.2710000000002</v>
      </c>
      <c r="J5" s="1174"/>
      <c r="K5" s="1174"/>
      <c r="L5" s="1174"/>
      <c r="M5" s="759"/>
      <c r="N5" s="759"/>
      <c r="O5" s="759"/>
      <c r="P5" s="759"/>
      <c r="Q5" s="759"/>
      <c r="R5" s="759"/>
      <c r="S5" s="759"/>
      <c r="T5" s="759"/>
      <c r="U5" s="759"/>
      <c r="V5" s="759"/>
    </row>
    <row r="6" spans="1:22">
      <c r="A6" s="762" t="s">
        <v>1058</v>
      </c>
      <c r="B6" s="1155">
        <f t="shared" ref="B6:H6" si="0">B5</f>
        <v>2015.2919999999999</v>
      </c>
      <c r="C6" s="1155">
        <f t="shared" si="0"/>
        <v>2060.0230000000001</v>
      </c>
      <c r="D6" s="1155">
        <f t="shared" si="0"/>
        <v>1962.9970000000001</v>
      </c>
      <c r="E6" s="1155">
        <f t="shared" si="0"/>
        <v>1978.6859999999999</v>
      </c>
      <c r="F6" s="1155">
        <f t="shared" si="0"/>
        <v>2033.7159999999999</v>
      </c>
      <c r="G6" s="1155">
        <f t="shared" si="0"/>
        <v>2134.9899999999998</v>
      </c>
      <c r="H6" s="1155">
        <f t="shared" si="0"/>
        <v>2197.1030000000001</v>
      </c>
      <c r="I6" s="1170">
        <v>2316.2710000000002</v>
      </c>
      <c r="J6" s="1173">
        <v>2457.9171367917515</v>
      </c>
      <c r="K6" s="1173">
        <v>2562.0663242478481</v>
      </c>
      <c r="L6" s="1173">
        <v>2674.8180468862779</v>
      </c>
      <c r="M6" s="759"/>
      <c r="N6" s="759"/>
      <c r="O6" s="759"/>
      <c r="P6" s="759"/>
      <c r="Q6" s="759"/>
      <c r="R6" s="759"/>
      <c r="S6" s="759"/>
      <c r="T6" s="759"/>
      <c r="U6" s="759"/>
      <c r="V6" s="759"/>
    </row>
    <row r="7" spans="1:22">
      <c r="A7" s="1172" t="s">
        <v>1057</v>
      </c>
      <c r="B7" s="1171"/>
      <c r="C7" s="1171"/>
      <c r="D7" s="1171"/>
      <c r="E7" s="1171"/>
      <c r="F7" s="1171"/>
      <c r="G7" s="1155">
        <v>123703</v>
      </c>
      <c r="H7" s="1170">
        <v>124198</v>
      </c>
      <c r="I7" s="778">
        <v>127531</v>
      </c>
      <c r="J7" s="778">
        <v>128523</v>
      </c>
      <c r="K7" s="778">
        <v>128569</v>
      </c>
      <c r="L7" s="778">
        <v>128570</v>
      </c>
      <c r="M7" s="759"/>
      <c r="N7" s="759"/>
      <c r="O7" s="759"/>
      <c r="P7" s="759"/>
      <c r="Q7" s="759"/>
      <c r="R7" s="759"/>
      <c r="S7" s="759"/>
      <c r="T7" s="759"/>
      <c r="U7" s="759"/>
      <c r="V7" s="759"/>
    </row>
    <row r="8" spans="1:22">
      <c r="A8" s="762" t="s">
        <v>1056</v>
      </c>
      <c r="B8" s="1155">
        <v>127759</v>
      </c>
      <c r="C8" s="1155">
        <v>127380</v>
      </c>
      <c r="D8" s="1155">
        <v>122171</v>
      </c>
      <c r="E8" s="1155">
        <v>121133</v>
      </c>
      <c r="F8" s="1155">
        <v>122188</v>
      </c>
      <c r="G8" s="1155">
        <v>123703</v>
      </c>
      <c r="H8" s="1170">
        <v>124198</v>
      </c>
      <c r="I8" s="1170">
        <v>122938</v>
      </c>
      <c r="J8" s="1170">
        <f>0.976*J7</f>
        <v>125438.448</v>
      </c>
      <c r="K8" s="1170">
        <f>0.976*K7</f>
        <v>125483.344</v>
      </c>
      <c r="L8" s="1170">
        <f>0.976*L7</f>
        <v>125484.31999999999</v>
      </c>
      <c r="M8" s="759"/>
      <c r="N8" s="759"/>
      <c r="O8" s="759"/>
      <c r="P8" s="759"/>
      <c r="Q8" s="759"/>
      <c r="R8" s="759"/>
      <c r="S8" s="759"/>
      <c r="T8" s="759"/>
      <c r="U8" s="759"/>
      <c r="V8" s="759"/>
    </row>
    <row r="9" spans="1:22">
      <c r="A9" s="762" t="s">
        <v>1055</v>
      </c>
      <c r="B9" s="1165" t="s">
        <v>1</v>
      </c>
      <c r="C9" s="1169">
        <v>1</v>
      </c>
      <c r="D9" s="1169">
        <v>0</v>
      </c>
      <c r="E9" s="1169">
        <v>0</v>
      </c>
      <c r="F9" s="1169">
        <v>0</v>
      </c>
      <c r="G9" s="1169">
        <v>2</v>
      </c>
      <c r="H9" s="1169">
        <v>1.758</v>
      </c>
      <c r="I9" s="1168">
        <v>4.774</v>
      </c>
      <c r="J9" s="1168">
        <v>0</v>
      </c>
      <c r="K9" s="1168">
        <v>0</v>
      </c>
      <c r="L9" s="1168">
        <v>0</v>
      </c>
      <c r="M9" s="759"/>
      <c r="N9" s="759"/>
      <c r="O9" s="759"/>
      <c r="P9" s="759"/>
      <c r="Q9" s="759"/>
      <c r="R9" s="759"/>
      <c r="S9" s="759"/>
      <c r="T9" s="759"/>
      <c r="U9" s="759"/>
      <c r="V9" s="759"/>
    </row>
    <row r="10" spans="1:22">
      <c r="A10" s="938" t="s">
        <v>1054</v>
      </c>
      <c r="B10" s="1167" t="s">
        <v>1</v>
      </c>
      <c r="C10" s="937">
        <f t="shared" ref="C10:I10" si="1">(C5/B5-1)*100</f>
        <v>2.2195790982150632</v>
      </c>
      <c r="D10" s="937">
        <f t="shared" si="1"/>
        <v>-4.7099474132084929</v>
      </c>
      <c r="E10" s="937">
        <f t="shared" si="1"/>
        <v>0.79923708492677381</v>
      </c>
      <c r="F10" s="937">
        <f t="shared" si="1"/>
        <v>2.7811385939962241</v>
      </c>
      <c r="G10" s="937">
        <f t="shared" si="1"/>
        <v>4.9797513517128245</v>
      </c>
      <c r="H10" s="937">
        <f t="shared" si="1"/>
        <v>2.9092876313238092</v>
      </c>
      <c r="I10" s="1166">
        <f t="shared" si="1"/>
        <v>5.4238695227306177</v>
      </c>
      <c r="J10" s="1166">
        <f>(J4/I5-1)*100</f>
        <v>1.7829951676638922</v>
      </c>
      <c r="K10" s="1166">
        <f>(K4/J4-1)*100</f>
        <v>1.1848216595901739</v>
      </c>
      <c r="L10" s="1166">
        <f>(L4/K4-1)*100</f>
        <v>0.39216047936221354</v>
      </c>
      <c r="M10" s="759"/>
      <c r="N10" s="759"/>
      <c r="O10" s="759"/>
      <c r="P10" s="759"/>
      <c r="Q10" s="759"/>
      <c r="R10" s="759"/>
      <c r="S10" s="759"/>
      <c r="T10" s="759"/>
      <c r="U10" s="759"/>
      <c r="V10" s="759"/>
    </row>
    <row r="11" spans="1:22">
      <c r="A11" s="938" t="s">
        <v>1053</v>
      </c>
      <c r="B11" s="1167" t="s">
        <v>1</v>
      </c>
      <c r="C11" s="937">
        <f t="shared" ref="C11:I11" si="2">(((C5/B5)/(C8/B8))-1)*100</f>
        <v>2.5237180562793116</v>
      </c>
      <c r="D11" s="937">
        <f t="shared" si="2"/>
        <v>-0.64706928399127506</v>
      </c>
      <c r="E11" s="937">
        <f t="shared" si="2"/>
        <v>1.6629951697934464</v>
      </c>
      <c r="F11" s="937">
        <f t="shared" si="2"/>
        <v>1.8937020108893199</v>
      </c>
      <c r="G11" s="937">
        <f t="shared" si="2"/>
        <v>3.6940563944535487</v>
      </c>
      <c r="H11" s="937">
        <f t="shared" si="2"/>
        <v>2.4991353150425111</v>
      </c>
      <c r="I11" s="1166">
        <f t="shared" si="2"/>
        <v>6.5043659973653023</v>
      </c>
      <c r="J11" s="1166">
        <f>(((J4/I5)/(J8/I8))-1)*100</f>
        <v>-0.24591296025709974</v>
      </c>
      <c r="K11" s="1166">
        <f>(((K4/J4)/(K8/J8))-1)*100</f>
        <v>1.1486192951295271</v>
      </c>
      <c r="L11" s="1166">
        <f>(((L4/K4)/(L8/K8))-1)*100</f>
        <v>0.39137964277142778</v>
      </c>
      <c r="M11" s="759"/>
      <c r="N11" s="759"/>
      <c r="O11" s="759"/>
      <c r="P11" s="759"/>
      <c r="Q11" s="759"/>
      <c r="R11" s="759"/>
      <c r="S11" s="759"/>
      <c r="T11" s="759"/>
      <c r="U11" s="759"/>
      <c r="V11" s="759"/>
    </row>
    <row r="12" spans="1:22">
      <c r="A12" s="762" t="s">
        <v>1052</v>
      </c>
      <c r="B12" s="1165" t="s">
        <v>1</v>
      </c>
      <c r="C12" s="761">
        <f t="shared" ref="C12:L12" si="3">(C8/B8-1)*100</f>
        <v>-0.2966522906409752</v>
      </c>
      <c r="D12" s="761">
        <f t="shared" si="3"/>
        <v>-4.0893389857120432</v>
      </c>
      <c r="E12" s="761">
        <f t="shared" si="3"/>
        <v>-0.84962879897848564</v>
      </c>
      <c r="F12" s="761">
        <f t="shared" si="3"/>
        <v>0.87094350837508827</v>
      </c>
      <c r="G12" s="761">
        <f t="shared" si="3"/>
        <v>1.2398926244802988</v>
      </c>
      <c r="H12" s="761">
        <f t="shared" si="3"/>
        <v>0.40015197691243287</v>
      </c>
      <c r="I12" s="992">
        <f t="shared" si="3"/>
        <v>-1.0145090903235121</v>
      </c>
      <c r="J12" s="992">
        <f t="shared" si="3"/>
        <v>2.0339097756592706</v>
      </c>
      <c r="K12" s="992">
        <f t="shared" si="3"/>
        <v>3.5791259152051502E-2</v>
      </c>
      <c r="L12" s="992">
        <f t="shared" si="3"/>
        <v>7.7779246940856694E-4</v>
      </c>
      <c r="M12" s="759"/>
      <c r="N12" s="759"/>
      <c r="O12" s="759"/>
      <c r="P12" s="759"/>
      <c r="Q12" s="759"/>
      <c r="R12" s="759"/>
      <c r="S12" s="759"/>
      <c r="T12" s="759"/>
      <c r="U12" s="759"/>
      <c r="V12" s="759"/>
    </row>
    <row r="13" spans="1:22">
      <c r="A13" s="1164" t="s">
        <v>1051</v>
      </c>
      <c r="B13" s="1163"/>
      <c r="C13" s="1162">
        <v>3.4689336013437932</v>
      </c>
      <c r="D13" s="1162">
        <v>2.7044156385873208</v>
      </c>
      <c r="E13" s="1162">
        <v>2.1651122509322773</v>
      </c>
      <c r="F13" s="1162">
        <v>2.0045220908268879</v>
      </c>
      <c r="G13" s="1162">
        <v>4.0021881208621712</v>
      </c>
      <c r="H13" s="1161">
        <v>2.8072147658257496</v>
      </c>
      <c r="I13" s="1161">
        <v>2.4027712385484179</v>
      </c>
      <c r="J13" s="1161">
        <v>3.3308526482765921</v>
      </c>
      <c r="K13" s="1161">
        <v>4.3515634378736179</v>
      </c>
      <c r="L13" s="1161">
        <v>4.9092210386212143</v>
      </c>
      <c r="M13" s="759"/>
      <c r="N13" s="759"/>
      <c r="O13" s="759"/>
      <c r="P13" s="759"/>
      <c r="Q13" s="759"/>
      <c r="R13" s="759"/>
      <c r="S13" s="759"/>
      <c r="T13" s="759"/>
      <c r="U13" s="759"/>
      <c r="V13" s="759"/>
    </row>
    <row r="14" spans="1:22">
      <c r="A14" s="759"/>
      <c r="B14" s="778"/>
      <c r="C14" s="778"/>
      <c r="D14" s="778"/>
      <c r="E14" s="778"/>
      <c r="F14" s="778"/>
      <c r="G14" s="1159"/>
      <c r="H14" s="778"/>
      <c r="I14" s="778"/>
      <c r="J14" s="778"/>
      <c r="K14" s="778"/>
      <c r="L14" s="939"/>
      <c r="M14" s="759"/>
      <c r="N14" s="759"/>
      <c r="O14" s="759"/>
      <c r="P14" s="759"/>
      <c r="Q14" s="759"/>
      <c r="R14" s="759"/>
      <c r="S14" s="759"/>
      <c r="T14" s="759"/>
      <c r="U14" s="759"/>
      <c r="V14" s="759"/>
    </row>
    <row r="15" spans="1:22">
      <c r="A15" s="759"/>
      <c r="B15" s="1160"/>
      <c r="C15" s="1160"/>
      <c r="D15" s="1160"/>
      <c r="E15" s="778"/>
      <c r="F15" s="778"/>
      <c r="G15" s="1159"/>
      <c r="H15" s="778"/>
      <c r="I15" s="778"/>
      <c r="J15" s="778"/>
      <c r="K15" s="778"/>
      <c r="L15" s="778"/>
      <c r="M15" s="759"/>
      <c r="N15" s="759"/>
      <c r="O15" s="759"/>
      <c r="P15" s="759"/>
      <c r="Q15" s="759"/>
      <c r="R15" s="759"/>
      <c r="S15" s="759"/>
      <c r="T15" s="759"/>
      <c r="U15" s="759"/>
      <c r="V15" s="759"/>
    </row>
    <row r="16" spans="1:22">
      <c r="A16" s="792" t="s">
        <v>1050</v>
      </c>
      <c r="B16" s="778"/>
      <c r="C16" s="778"/>
      <c r="D16" s="778"/>
      <c r="E16" s="778"/>
      <c r="F16" s="778"/>
      <c r="G16" s="778"/>
      <c r="H16" s="778"/>
      <c r="M16" s="759"/>
      <c r="N16" s="759"/>
      <c r="O16" s="759"/>
      <c r="P16" s="759"/>
      <c r="Q16" s="759"/>
      <c r="R16" s="759"/>
      <c r="S16" s="759"/>
      <c r="T16" s="759"/>
      <c r="U16" s="759"/>
      <c r="V16" s="759"/>
    </row>
    <row r="17" spans="1:22">
      <c r="A17" s="1158" t="s">
        <v>1049</v>
      </c>
      <c r="B17" s="1157">
        <v>2009</v>
      </c>
      <c r="C17" s="1157">
        <v>2010</v>
      </c>
      <c r="D17" s="1157">
        <v>2011</v>
      </c>
      <c r="E17" s="1157">
        <v>2012</v>
      </c>
      <c r="F17" s="1157">
        <v>2013</v>
      </c>
      <c r="G17" s="1157">
        <v>2014</v>
      </c>
      <c r="H17" s="1157">
        <v>2015</v>
      </c>
      <c r="I17" s="1157">
        <v>2016</v>
      </c>
      <c r="J17" s="1157">
        <v>2017</v>
      </c>
      <c r="K17" s="1157">
        <v>2018</v>
      </c>
      <c r="L17" s="1157">
        <v>2019</v>
      </c>
      <c r="M17" s="759"/>
      <c r="N17" s="759"/>
      <c r="O17" s="759"/>
      <c r="P17" s="759"/>
      <c r="Q17" s="759"/>
      <c r="R17" s="759"/>
      <c r="S17" s="759"/>
      <c r="T17" s="759"/>
      <c r="U17" s="759"/>
      <c r="V17" s="759"/>
    </row>
    <row r="18" spans="1:22">
      <c r="A18" s="759" t="s">
        <v>1048</v>
      </c>
      <c r="B18" s="778">
        <v>100</v>
      </c>
      <c r="C18" s="778">
        <f t="shared" ref="C18:L18" si="4">B18*(1+C13/100)</f>
        <v>103.46893360134379</v>
      </c>
      <c r="D18" s="778">
        <f t="shared" si="4"/>
        <v>106.26716362273807</v>
      </c>
      <c r="E18" s="778">
        <f t="shared" si="4"/>
        <v>108.56796700105222</v>
      </c>
      <c r="F18" s="778">
        <f t="shared" si="4"/>
        <v>110.74423588314997</v>
      </c>
      <c r="G18" s="778">
        <f t="shared" si="4"/>
        <v>115.17642853620498</v>
      </c>
      <c r="H18" s="778">
        <f t="shared" si="4"/>
        <v>118.40967824482406</v>
      </c>
      <c r="I18" s="778">
        <f t="shared" si="4"/>
        <v>121.25479193734841</v>
      </c>
      <c r="J18" s="778">
        <f t="shared" si="4"/>
        <v>125.29361038575585</v>
      </c>
      <c r="K18" s="778">
        <f t="shared" si="4"/>
        <v>130.74584132529424</v>
      </c>
      <c r="L18" s="778">
        <f t="shared" si="4"/>
        <v>137.16444367475791</v>
      </c>
      <c r="M18" s="759"/>
      <c r="N18" s="759"/>
      <c r="O18" s="759"/>
      <c r="P18" s="759"/>
      <c r="Q18" s="759"/>
      <c r="R18" s="759"/>
      <c r="S18" s="759"/>
      <c r="T18" s="759"/>
      <c r="U18" s="759"/>
      <c r="V18" s="759"/>
    </row>
    <row r="19" spans="1:22">
      <c r="A19" s="938" t="s">
        <v>1047</v>
      </c>
      <c r="B19" s="1156">
        <v>100</v>
      </c>
      <c r="C19" s="1156">
        <f t="shared" ref="C19:L19" si="5">B19*(1+C11/100)</f>
        <v>102.52371805627931</v>
      </c>
      <c r="D19" s="1156">
        <f t="shared" si="5"/>
        <v>101.8603185679313</v>
      </c>
      <c r="E19" s="1156">
        <f t="shared" si="5"/>
        <v>103.55425074565221</v>
      </c>
      <c r="F19" s="1156">
        <f t="shared" si="5"/>
        <v>105.515259674384</v>
      </c>
      <c r="G19" s="1156">
        <f t="shared" si="5"/>
        <v>109.41305287150985</v>
      </c>
      <c r="H19" s="1156">
        <f t="shared" si="5"/>
        <v>112.14743311508788</v>
      </c>
      <c r="I19" s="1156">
        <f t="shared" si="5"/>
        <v>119.44191262154365</v>
      </c>
      <c r="J19" s="1156">
        <f t="shared" si="5"/>
        <v>119.14818947842831</v>
      </c>
      <c r="K19" s="1156">
        <f t="shared" si="5"/>
        <v>120.51674857257503</v>
      </c>
      <c r="L19" s="1156">
        <f t="shared" si="5"/>
        <v>120.98842659261811</v>
      </c>
      <c r="M19" s="759"/>
      <c r="N19" s="759"/>
      <c r="O19" s="759"/>
      <c r="P19" s="759"/>
      <c r="Q19" s="759"/>
      <c r="R19" s="759"/>
      <c r="S19" s="759"/>
      <c r="T19" s="759"/>
      <c r="U19" s="759"/>
      <c r="V19" s="759"/>
    </row>
    <row r="20" spans="1:22">
      <c r="A20" s="762" t="s">
        <v>1046</v>
      </c>
      <c r="B20" s="1155">
        <f>B19</f>
        <v>100</v>
      </c>
      <c r="C20" s="1155">
        <f t="shared" ref="C20:L20" si="6">B20*(C6/B6)/(C8/B8)</f>
        <v>102.52371805627931</v>
      </c>
      <c r="D20" s="1155">
        <f t="shared" si="6"/>
        <v>101.8603185679313</v>
      </c>
      <c r="E20" s="1155">
        <f t="shared" si="6"/>
        <v>103.55425074565221</v>
      </c>
      <c r="F20" s="1155">
        <f t="shared" si="6"/>
        <v>105.515259674384</v>
      </c>
      <c r="G20" s="1155">
        <f t="shared" si="6"/>
        <v>109.41305287150985</v>
      </c>
      <c r="H20" s="1155">
        <f t="shared" si="6"/>
        <v>112.14743311508789</v>
      </c>
      <c r="I20" s="1155">
        <f t="shared" si="6"/>
        <v>119.44191262154368</v>
      </c>
      <c r="J20" s="1155">
        <f t="shared" si="6"/>
        <v>124.21958912640544</v>
      </c>
      <c r="K20" s="1155">
        <f t="shared" si="6"/>
        <v>129.43681186971449</v>
      </c>
      <c r="L20" s="1155">
        <f t="shared" si="6"/>
        <v>135.13203159198193</v>
      </c>
      <c r="M20" s="759"/>
      <c r="N20" s="759"/>
      <c r="O20" s="759"/>
      <c r="P20" s="759"/>
      <c r="Q20" s="759"/>
      <c r="R20" s="759"/>
      <c r="S20" s="759"/>
      <c r="T20" s="759"/>
      <c r="U20" s="759"/>
      <c r="V20" s="759"/>
    </row>
    <row r="21" spans="1:22">
      <c r="A21" s="759"/>
      <c r="B21" s="778"/>
      <c r="C21" s="778"/>
      <c r="D21" s="778"/>
      <c r="E21" s="778"/>
      <c r="F21" s="778"/>
      <c r="G21" s="778"/>
      <c r="H21" s="778"/>
      <c r="I21" s="778"/>
      <c r="J21" s="778"/>
      <c r="K21" s="778"/>
      <c r="L21" s="778"/>
      <c r="M21" s="759"/>
      <c r="N21" s="759"/>
      <c r="O21" s="759"/>
      <c r="P21" s="759"/>
      <c r="Q21" s="759"/>
      <c r="R21" s="759"/>
      <c r="S21" s="759"/>
      <c r="T21" s="759"/>
      <c r="U21" s="759"/>
      <c r="V21" s="759"/>
    </row>
    <row r="22" spans="1:22">
      <c r="A22" s="759"/>
      <c r="B22" s="778"/>
      <c r="C22" s="778"/>
      <c r="D22" s="778"/>
      <c r="E22" s="778"/>
      <c r="F22" s="778"/>
      <c r="G22" s="778"/>
      <c r="H22" s="778"/>
      <c r="I22" s="778"/>
      <c r="J22" s="778"/>
      <c r="K22" s="778"/>
      <c r="L22" s="778"/>
      <c r="M22" s="759"/>
      <c r="N22" s="759"/>
      <c r="O22" s="759"/>
      <c r="P22" s="759"/>
      <c r="Q22" s="759"/>
      <c r="R22" s="759"/>
      <c r="S22" s="759"/>
      <c r="T22" s="759"/>
      <c r="U22" s="759"/>
      <c r="V22" s="759"/>
    </row>
    <row r="23" spans="1:22">
      <c r="A23" s="759"/>
      <c r="B23" s="778"/>
      <c r="C23" s="778"/>
      <c r="D23" s="778"/>
      <c r="E23" s="778"/>
      <c r="F23" s="778"/>
      <c r="G23" s="778"/>
      <c r="H23" s="778"/>
      <c r="I23" s="778"/>
      <c r="J23" s="778"/>
      <c r="K23" s="778"/>
      <c r="L23" s="778"/>
      <c r="M23" s="759"/>
      <c r="N23" s="759"/>
      <c r="O23" s="759"/>
      <c r="P23" s="759"/>
      <c r="Q23" s="759"/>
      <c r="R23" s="759"/>
      <c r="S23" s="759"/>
      <c r="T23" s="759"/>
      <c r="U23" s="759"/>
      <c r="V23" s="759"/>
    </row>
    <row r="24" spans="1:22">
      <c r="A24" s="759"/>
      <c r="B24" s="778"/>
      <c r="C24" s="778"/>
      <c r="D24" s="778"/>
      <c r="E24" s="778"/>
      <c r="F24" s="778"/>
      <c r="G24" s="778"/>
      <c r="H24" s="778"/>
      <c r="I24" s="778"/>
      <c r="J24" s="778"/>
      <c r="K24" s="778"/>
      <c r="L24" s="778"/>
      <c r="M24" s="759"/>
      <c r="N24" s="759"/>
      <c r="O24" s="759"/>
      <c r="P24" s="759"/>
      <c r="Q24" s="759"/>
      <c r="R24" s="759"/>
      <c r="S24" s="759"/>
      <c r="T24" s="759"/>
      <c r="U24" s="759"/>
      <c r="V24" s="759"/>
    </row>
    <row r="25" spans="1:22">
      <c r="A25" s="759"/>
      <c r="B25" s="778"/>
      <c r="C25" s="778"/>
      <c r="D25" s="778"/>
      <c r="E25" s="778"/>
      <c r="F25" s="778"/>
      <c r="G25" s="778"/>
      <c r="H25" s="778"/>
      <c r="I25" s="778"/>
      <c r="J25" s="778"/>
      <c r="K25" s="778"/>
      <c r="L25" s="778"/>
      <c r="M25" s="759"/>
      <c r="N25" s="759"/>
      <c r="O25" s="759"/>
      <c r="P25" s="759"/>
      <c r="Q25" s="759"/>
      <c r="R25" s="759"/>
      <c r="S25" s="759"/>
      <c r="T25" s="759"/>
      <c r="U25" s="759"/>
      <c r="V25" s="759"/>
    </row>
    <row r="26" spans="1:22">
      <c r="A26" s="759"/>
      <c r="B26" s="778"/>
      <c r="C26" s="778"/>
      <c r="D26" s="778"/>
      <c r="E26" s="778"/>
      <c r="F26" s="778"/>
      <c r="G26" s="778"/>
      <c r="H26" s="778"/>
      <c r="I26" s="778"/>
      <c r="J26" s="778"/>
      <c r="K26" s="778"/>
      <c r="L26" s="778"/>
      <c r="M26" s="759"/>
      <c r="N26" s="759"/>
      <c r="O26" s="759"/>
      <c r="P26" s="759"/>
      <c r="Q26" s="759"/>
      <c r="R26" s="759"/>
      <c r="S26" s="759"/>
      <c r="T26" s="759"/>
      <c r="U26" s="759"/>
      <c r="V26" s="759"/>
    </row>
    <row r="27" spans="1:22">
      <c r="A27" s="759"/>
      <c r="B27" s="778"/>
      <c r="C27" s="1154"/>
      <c r="D27" s="1153"/>
      <c r="E27" s="778"/>
      <c r="F27" s="778"/>
      <c r="G27" s="778"/>
      <c r="H27" s="778"/>
      <c r="I27" s="778"/>
      <c r="J27" s="778"/>
      <c r="K27" s="778"/>
      <c r="L27" s="778"/>
      <c r="M27" s="759"/>
      <c r="N27" s="759"/>
      <c r="O27" s="759"/>
      <c r="P27" s="759"/>
      <c r="Q27" s="759"/>
      <c r="R27" s="759"/>
      <c r="S27" s="759"/>
      <c r="T27" s="759"/>
      <c r="U27" s="759"/>
      <c r="V27" s="759"/>
    </row>
    <row r="28" spans="1:22">
      <c r="A28" s="759"/>
      <c r="B28" s="778"/>
      <c r="C28" s="778"/>
      <c r="D28" s="778"/>
      <c r="E28" s="778"/>
      <c r="F28" s="778"/>
      <c r="G28" s="778"/>
      <c r="H28" s="778"/>
      <c r="I28" s="778"/>
      <c r="J28" s="778"/>
      <c r="K28" s="778"/>
      <c r="L28" s="778"/>
      <c r="M28" s="759"/>
      <c r="N28" s="759"/>
      <c r="O28" s="759"/>
      <c r="P28" s="759"/>
      <c r="Q28" s="759"/>
      <c r="R28" s="759"/>
      <c r="S28" s="759"/>
      <c r="T28" s="759"/>
      <c r="U28" s="759"/>
      <c r="V28" s="759"/>
    </row>
    <row r="29" spans="1:22">
      <c r="A29" s="759"/>
      <c r="B29" s="778"/>
      <c r="C29" s="778"/>
      <c r="D29" s="778"/>
      <c r="E29" s="778"/>
      <c r="F29" s="778"/>
      <c r="G29" s="778"/>
      <c r="H29" s="778"/>
      <c r="I29" s="778"/>
      <c r="J29" s="778"/>
      <c r="K29" s="778"/>
      <c r="L29" s="778"/>
      <c r="M29" s="759"/>
      <c r="N29" s="759"/>
      <c r="O29" s="759"/>
      <c r="P29" s="759"/>
      <c r="Q29" s="759"/>
      <c r="R29" s="759"/>
      <c r="S29" s="759"/>
      <c r="T29" s="759"/>
      <c r="U29" s="759"/>
      <c r="V29" s="759"/>
    </row>
    <row r="30" spans="1:22">
      <c r="A30" s="759"/>
      <c r="B30" s="778"/>
      <c r="C30" s="778"/>
      <c r="D30" s="778"/>
      <c r="E30" s="778"/>
      <c r="F30" s="778"/>
      <c r="G30" s="778"/>
      <c r="H30" s="778"/>
      <c r="I30" s="778"/>
      <c r="J30" s="778"/>
      <c r="K30" s="778"/>
      <c r="L30" s="778"/>
      <c r="M30" s="759"/>
      <c r="N30" s="759"/>
      <c r="O30" s="759"/>
      <c r="P30" s="759"/>
      <c r="Q30" s="759"/>
      <c r="R30" s="759"/>
      <c r="S30" s="759"/>
      <c r="T30" s="759"/>
      <c r="U30" s="759"/>
      <c r="V30" s="759"/>
    </row>
    <row r="31" spans="1:22">
      <c r="A31" s="759"/>
      <c r="B31" s="778"/>
      <c r="C31" s="778"/>
      <c r="D31" s="778"/>
      <c r="E31" s="778"/>
      <c r="F31" s="778"/>
      <c r="G31" s="778"/>
      <c r="H31" s="778"/>
      <c r="I31" s="778"/>
      <c r="J31" s="778"/>
      <c r="K31" s="778"/>
      <c r="L31" s="778"/>
      <c r="M31" s="759"/>
      <c r="N31" s="759"/>
      <c r="O31" s="759"/>
      <c r="P31" s="759"/>
      <c r="Q31" s="759"/>
      <c r="R31" s="759"/>
      <c r="S31" s="759"/>
      <c r="T31" s="759"/>
      <c r="U31" s="759"/>
      <c r="V31" s="759"/>
    </row>
    <row r="32" spans="1:22">
      <c r="B32" s="795"/>
      <c r="C32" s="795"/>
      <c r="D32" s="795"/>
      <c r="E32" s="795"/>
      <c r="F32" s="795"/>
      <c r="G32" s="795"/>
      <c r="H32" s="795"/>
      <c r="I32" s="795"/>
      <c r="J32" s="795"/>
      <c r="K32" s="795"/>
      <c r="L32" s="795"/>
    </row>
    <row r="33" spans="2:12">
      <c r="B33" s="795"/>
      <c r="C33" s="795"/>
      <c r="D33" s="795"/>
      <c r="E33" s="795"/>
      <c r="F33" s="795"/>
      <c r="G33" s="795"/>
      <c r="H33" s="795"/>
      <c r="I33" s="795"/>
      <c r="J33" s="795"/>
      <c r="K33" s="795"/>
      <c r="L33" s="795"/>
    </row>
    <row r="34" spans="2:12">
      <c r="B34" s="795"/>
      <c r="C34" s="795"/>
      <c r="D34" s="795"/>
      <c r="E34" s="795"/>
      <c r="F34" s="795"/>
      <c r="G34" s="795"/>
      <c r="H34" s="795"/>
      <c r="I34" s="795"/>
      <c r="J34" s="795"/>
      <c r="K34" s="795"/>
      <c r="L34" s="795"/>
    </row>
  </sheetData>
  <pageMargins left="0.7" right="0.7" top="0.75" bottom="0.75" header="0.3" footer="0.3"/>
  <pageSetup paperSize="9" scale="43" orientation="landscape" r:id="rId1"/>
  <drawing r:id="rId2"/>
  <legacyDrawing r:id="rId3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8"/>
  <sheetViews>
    <sheetView showGridLines="0" zoomScaleNormal="100" workbookViewId="0">
      <selection activeCell="B17" sqref="B17"/>
    </sheetView>
  </sheetViews>
  <sheetFormatPr defaultRowHeight="15"/>
  <cols>
    <col min="1" max="7" width="12.7109375" style="335" customWidth="1"/>
    <col min="8" max="16384" width="9.140625" style="335"/>
  </cols>
  <sheetData>
    <row r="1" spans="1:17">
      <c r="A1" s="494" t="s">
        <v>503</v>
      </c>
      <c r="B1" s="494"/>
      <c r="C1" s="494"/>
      <c r="D1" s="494"/>
      <c r="E1" s="494"/>
      <c r="F1" s="494"/>
      <c r="G1" s="494"/>
      <c r="H1" s="494"/>
    </row>
    <row r="2" spans="1:17">
      <c r="A2" s="495"/>
      <c r="B2" s="495">
        <v>2013</v>
      </c>
      <c r="C2" s="495">
        <v>2014</v>
      </c>
      <c r="D2" s="495">
        <v>2015</v>
      </c>
      <c r="E2" s="495">
        <v>2016</v>
      </c>
      <c r="F2" s="495" t="s">
        <v>504</v>
      </c>
      <c r="G2" s="495" t="s">
        <v>505</v>
      </c>
      <c r="J2" s="504"/>
      <c r="K2" s="504"/>
      <c r="L2" s="504"/>
      <c r="M2" s="504"/>
      <c r="N2" s="504"/>
      <c r="O2" s="504"/>
      <c r="P2" s="504"/>
      <c r="Q2" s="504"/>
    </row>
    <row r="3" spans="1:17">
      <c r="A3" s="496" t="s">
        <v>506</v>
      </c>
      <c r="B3" s="497">
        <v>3.054375030000001</v>
      </c>
      <c r="C3" s="497">
        <v>3.5811655099999982</v>
      </c>
      <c r="D3" s="497">
        <v>2.8781802999999999</v>
      </c>
      <c r="E3" s="497">
        <v>2.2621938899999989</v>
      </c>
      <c r="F3" s="498"/>
      <c r="G3" s="498"/>
      <c r="J3" s="504"/>
      <c r="K3" s="504"/>
      <c r="L3" s="504"/>
      <c r="M3" s="504"/>
      <c r="N3" s="504"/>
      <c r="O3" s="504"/>
      <c r="P3" s="504"/>
      <c r="Q3" s="504"/>
    </row>
    <row r="4" spans="1:17">
      <c r="A4" s="496" t="s">
        <v>507</v>
      </c>
      <c r="B4" s="497">
        <v>24.473944489999994</v>
      </c>
      <c r="C4" s="497">
        <v>27.204260839999996</v>
      </c>
      <c r="D4" s="497">
        <v>6.7913249800000006</v>
      </c>
      <c r="E4" s="497">
        <v>7.4258241000000078</v>
      </c>
      <c r="F4" s="498"/>
      <c r="G4" s="498"/>
      <c r="J4" s="504"/>
      <c r="K4" s="504"/>
      <c r="L4" s="504"/>
      <c r="M4" s="504"/>
      <c r="N4" s="504"/>
      <c r="O4" s="504"/>
      <c r="P4" s="504"/>
      <c r="Q4" s="504"/>
    </row>
    <row r="5" spans="1:17">
      <c r="A5" s="496" t="s">
        <v>508</v>
      </c>
      <c r="B5" s="497">
        <v>35.070149169999951</v>
      </c>
      <c r="C5" s="497">
        <v>32.833525320000007</v>
      </c>
      <c r="D5" s="497">
        <v>12.481897550000006</v>
      </c>
      <c r="E5" s="497">
        <v>21.256518299999982</v>
      </c>
      <c r="F5" s="498"/>
      <c r="G5" s="498"/>
      <c r="J5" s="504"/>
      <c r="K5" s="504"/>
      <c r="L5" s="504"/>
      <c r="M5" s="504"/>
      <c r="N5" s="504"/>
      <c r="O5" s="504"/>
      <c r="P5" s="504"/>
      <c r="Q5" s="504"/>
    </row>
    <row r="6" spans="1:17">
      <c r="A6" s="496" t="s">
        <v>509</v>
      </c>
      <c r="B6" s="497">
        <v>42.152506199999991</v>
      </c>
      <c r="C6" s="497">
        <v>40.167170269999993</v>
      </c>
      <c r="D6" s="497">
        <v>20.268760020000045</v>
      </c>
      <c r="E6" s="497">
        <v>35.529368579999975</v>
      </c>
      <c r="F6" s="498"/>
      <c r="G6" s="498"/>
      <c r="J6" s="504"/>
      <c r="K6" s="504"/>
      <c r="L6" s="504"/>
      <c r="M6" s="504"/>
      <c r="N6" s="504"/>
      <c r="O6" s="504"/>
      <c r="P6" s="504"/>
      <c r="Q6" s="504"/>
    </row>
    <row r="7" spans="1:17">
      <c r="A7" s="496" t="s">
        <v>510</v>
      </c>
      <c r="B7" s="497">
        <v>50.488571609999951</v>
      </c>
      <c r="C7" s="497">
        <v>49.59857070999999</v>
      </c>
      <c r="D7" s="497">
        <v>32.205567869999989</v>
      </c>
      <c r="E7" s="497">
        <v>43.770764810000017</v>
      </c>
      <c r="F7" s="498"/>
      <c r="G7" s="498"/>
      <c r="J7" s="504"/>
      <c r="K7" s="504"/>
      <c r="L7" s="504"/>
      <c r="M7" s="504"/>
      <c r="N7" s="504"/>
      <c r="O7" s="504"/>
      <c r="P7" s="504"/>
      <c r="Q7" s="504"/>
    </row>
    <row r="8" spans="1:17">
      <c r="A8" s="496" t="s">
        <v>511</v>
      </c>
      <c r="B8" s="497">
        <v>61.035531909999953</v>
      </c>
      <c r="C8" s="497">
        <v>60.762483379999985</v>
      </c>
      <c r="D8" s="497">
        <v>42.234502170000027</v>
      </c>
      <c r="E8" s="497">
        <v>55.472912579999978</v>
      </c>
      <c r="F8" s="498"/>
      <c r="G8" s="498"/>
      <c r="J8" s="504"/>
      <c r="K8" s="504"/>
      <c r="L8" s="504"/>
      <c r="M8" s="504"/>
      <c r="N8" s="504"/>
      <c r="O8" s="504"/>
      <c r="P8" s="504"/>
      <c r="Q8" s="504"/>
    </row>
    <row r="9" spans="1:17">
      <c r="A9" s="496" t="s">
        <v>512</v>
      </c>
      <c r="B9" s="497">
        <v>73.457803830000003</v>
      </c>
      <c r="C9" s="497">
        <v>75.898358440000095</v>
      </c>
      <c r="D9" s="497">
        <v>56.053929010000104</v>
      </c>
      <c r="E9" s="497">
        <v>71.64334115000014</v>
      </c>
      <c r="F9" s="498"/>
      <c r="G9" s="498"/>
      <c r="J9" s="504"/>
      <c r="K9" s="504"/>
      <c r="L9" s="504"/>
      <c r="M9" s="504"/>
      <c r="N9" s="504"/>
      <c r="O9" s="504"/>
      <c r="P9" s="504"/>
      <c r="Q9" s="504"/>
    </row>
    <row r="10" spans="1:17">
      <c r="A10" s="496" t="s">
        <v>513</v>
      </c>
      <c r="B10" s="497">
        <v>83.970880129999983</v>
      </c>
      <c r="C10" s="497">
        <v>84.407803590000015</v>
      </c>
      <c r="D10" s="497">
        <v>66.947591520000088</v>
      </c>
      <c r="E10" s="497">
        <v>80.719172189999938</v>
      </c>
      <c r="F10" s="498"/>
      <c r="G10" s="498"/>
      <c r="J10" s="504"/>
      <c r="K10" s="504"/>
      <c r="L10" s="504"/>
      <c r="M10" s="504"/>
      <c r="N10" s="504"/>
      <c r="O10" s="504"/>
      <c r="P10" s="504"/>
      <c r="Q10" s="504"/>
    </row>
    <row r="11" spans="1:17">
      <c r="A11" s="496" t="s">
        <v>514</v>
      </c>
      <c r="B11" s="497">
        <v>92.08556779999995</v>
      </c>
      <c r="C11" s="497">
        <v>95.105667620000148</v>
      </c>
      <c r="D11" s="497">
        <v>76.689617080000048</v>
      </c>
      <c r="E11" s="497"/>
      <c r="F11" s="498"/>
      <c r="G11" s="498"/>
      <c r="J11" s="504"/>
      <c r="K11" s="504"/>
      <c r="L11" s="504"/>
      <c r="M11" s="504"/>
      <c r="N11" s="504"/>
      <c r="O11" s="504"/>
      <c r="P11" s="504"/>
      <c r="Q11" s="504"/>
    </row>
    <row r="12" spans="1:17">
      <c r="A12" s="496" t="s">
        <v>515</v>
      </c>
      <c r="B12" s="497">
        <v>114.42059247999981</v>
      </c>
      <c r="C12" s="497">
        <v>109.86612187000001</v>
      </c>
      <c r="D12" s="497">
        <v>90.650404100000131</v>
      </c>
      <c r="E12" s="497"/>
      <c r="F12" s="498"/>
      <c r="G12" s="498"/>
      <c r="J12" s="504"/>
      <c r="K12" s="504"/>
      <c r="L12" s="504"/>
      <c r="M12" s="504"/>
      <c r="N12" s="504"/>
      <c r="O12" s="504"/>
      <c r="P12" s="504"/>
      <c r="Q12" s="504"/>
    </row>
    <row r="13" spans="1:17">
      <c r="A13" s="496" t="s">
        <v>516</v>
      </c>
      <c r="B13" s="497">
        <v>132.6911330500001</v>
      </c>
      <c r="C13" s="497">
        <v>132.93618396000008</v>
      </c>
      <c r="D13" s="497">
        <v>99.415234500000025</v>
      </c>
      <c r="E13" s="497"/>
      <c r="F13" s="498"/>
      <c r="G13" s="498"/>
      <c r="J13" s="504"/>
      <c r="K13" s="504"/>
      <c r="L13" s="504"/>
      <c r="M13" s="504"/>
      <c r="N13" s="504"/>
      <c r="O13" s="504"/>
      <c r="P13" s="504"/>
      <c r="Q13" s="504"/>
    </row>
    <row r="14" spans="1:17">
      <c r="A14" s="499" t="s">
        <v>517</v>
      </c>
      <c r="B14" s="500">
        <v>221.33609084999989</v>
      </c>
      <c r="C14" s="500">
        <v>237.62801486999999</v>
      </c>
      <c r="D14" s="500">
        <v>148.87628521999991</v>
      </c>
      <c r="E14" s="500"/>
      <c r="F14" s="500">
        <v>144.169432</v>
      </c>
      <c r="G14" s="500">
        <v>177.99153816</v>
      </c>
      <c r="J14" s="504"/>
      <c r="K14" s="504"/>
      <c r="L14" s="504"/>
      <c r="M14" s="504"/>
      <c r="N14" s="504"/>
      <c r="O14" s="504"/>
      <c r="P14" s="504"/>
      <c r="Q14" s="504"/>
    </row>
    <row r="15" spans="1:17">
      <c r="A15" s="501"/>
      <c r="B15" s="501"/>
      <c r="C15" s="501"/>
      <c r="D15" s="501"/>
      <c r="E15" s="501"/>
      <c r="F15" s="502"/>
      <c r="G15" s="503" t="s">
        <v>518</v>
      </c>
      <c r="J15" s="504"/>
      <c r="K15" s="504"/>
      <c r="L15" s="504"/>
      <c r="M15" s="504"/>
      <c r="N15" s="504"/>
      <c r="O15" s="504"/>
      <c r="P15" s="504"/>
      <c r="Q15" s="504"/>
    </row>
    <row r="16" spans="1:17">
      <c r="J16" s="504"/>
      <c r="K16" s="504"/>
      <c r="L16" s="504"/>
      <c r="M16" s="504"/>
      <c r="N16" s="504"/>
      <c r="O16" s="504"/>
      <c r="P16" s="504"/>
      <c r="Q16" s="504"/>
    </row>
    <row r="17" spans="2:17">
      <c r="B17" s="494" t="s">
        <v>503</v>
      </c>
      <c r="C17" s="494"/>
      <c r="D17" s="494"/>
      <c r="E17" s="494"/>
      <c r="F17" s="494"/>
      <c r="G17" s="494"/>
      <c r="H17" s="494"/>
      <c r="J17" s="504"/>
      <c r="K17" s="504"/>
      <c r="L17" s="504"/>
      <c r="M17" s="504"/>
      <c r="N17" s="504"/>
      <c r="O17" s="504"/>
      <c r="P17" s="504"/>
      <c r="Q17" s="504"/>
    </row>
    <row r="18" spans="2:17">
      <c r="J18" s="504"/>
      <c r="K18" s="504"/>
      <c r="L18" s="504"/>
      <c r="M18" s="504"/>
      <c r="N18" s="504"/>
      <c r="O18" s="504"/>
      <c r="P18" s="504"/>
      <c r="Q18" s="504"/>
    </row>
  </sheetData>
  <pageMargins left="0.7" right="0.7" top="0.75" bottom="0.75" header="0.3" footer="0.3"/>
  <pageSetup paperSize="9" orientation="portrait" verticalDpi="0" r:id="rId1"/>
  <drawing r:id="rId2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8"/>
  <sheetViews>
    <sheetView showGridLines="0" workbookViewId="0">
      <selection activeCell="B17" sqref="B17"/>
    </sheetView>
  </sheetViews>
  <sheetFormatPr defaultRowHeight="15"/>
  <cols>
    <col min="1" max="7" width="12.7109375" style="335" customWidth="1"/>
    <col min="8" max="16384" width="9.140625" style="335"/>
  </cols>
  <sheetData>
    <row r="1" spans="1:17">
      <c r="A1" s="494" t="s">
        <v>519</v>
      </c>
      <c r="B1" s="494"/>
      <c r="C1" s="494"/>
      <c r="D1" s="494"/>
      <c r="E1" s="494"/>
      <c r="F1" s="494"/>
      <c r="G1" s="494"/>
      <c r="H1" s="494"/>
      <c r="K1" s="494"/>
      <c r="L1" s="494"/>
      <c r="M1" s="494"/>
      <c r="N1" s="494"/>
      <c r="O1" s="494"/>
      <c r="P1" s="494"/>
      <c r="Q1" s="494"/>
    </row>
    <row r="2" spans="1:17">
      <c r="A2" s="495"/>
      <c r="B2" s="495">
        <v>2013</v>
      </c>
      <c r="C2" s="495">
        <v>2014</v>
      </c>
      <c r="D2" s="495">
        <v>2015</v>
      </c>
      <c r="E2" s="495">
        <v>2016</v>
      </c>
      <c r="F2" s="495" t="s">
        <v>504</v>
      </c>
      <c r="G2" s="495" t="s">
        <v>505</v>
      </c>
      <c r="J2" s="504"/>
      <c r="K2" s="504"/>
      <c r="L2" s="504"/>
      <c r="M2" s="504"/>
      <c r="N2" s="504"/>
      <c r="O2" s="504"/>
      <c r="P2" s="504"/>
      <c r="Q2" s="504"/>
    </row>
    <row r="3" spans="1:17">
      <c r="A3" s="496" t="s">
        <v>506</v>
      </c>
      <c r="B3" s="497">
        <v>2.0436336200000009</v>
      </c>
      <c r="C3" s="497">
        <v>6.3135689999999967</v>
      </c>
      <c r="D3" s="497">
        <v>5.1347686099999983</v>
      </c>
      <c r="E3" s="497">
        <v>8.104697100000001</v>
      </c>
      <c r="F3" s="498"/>
      <c r="G3" s="498"/>
      <c r="J3" s="504"/>
      <c r="K3" s="504"/>
      <c r="L3" s="504"/>
      <c r="M3" s="504"/>
      <c r="N3" s="504"/>
      <c r="O3" s="504"/>
      <c r="P3" s="504"/>
      <c r="Q3" s="504"/>
    </row>
    <row r="4" spans="1:17">
      <c r="A4" s="496" t="s">
        <v>507</v>
      </c>
      <c r="B4" s="497">
        <v>9.2906981299999973</v>
      </c>
      <c r="C4" s="497">
        <v>14.638774249999997</v>
      </c>
      <c r="D4" s="497">
        <v>13.887329370000002</v>
      </c>
      <c r="E4" s="497">
        <v>37.322670079999988</v>
      </c>
      <c r="F4" s="498"/>
      <c r="G4" s="498"/>
      <c r="J4" s="504"/>
      <c r="K4" s="504"/>
      <c r="L4" s="504"/>
      <c r="M4" s="504"/>
      <c r="N4" s="504"/>
      <c r="O4" s="504"/>
      <c r="P4" s="504"/>
      <c r="Q4" s="504"/>
    </row>
    <row r="5" spans="1:17">
      <c r="A5" s="496" t="s">
        <v>508</v>
      </c>
      <c r="B5" s="497">
        <v>22.925641499999976</v>
      </c>
      <c r="C5" s="497">
        <v>34.774209570000025</v>
      </c>
      <c r="D5" s="497">
        <v>39.940006960000034</v>
      </c>
      <c r="E5" s="497">
        <v>57.722973089999989</v>
      </c>
      <c r="F5" s="498"/>
      <c r="G5" s="498"/>
      <c r="J5" s="504"/>
      <c r="K5" s="504"/>
      <c r="L5" s="504"/>
      <c r="M5" s="504"/>
      <c r="N5" s="504"/>
      <c r="O5" s="504"/>
      <c r="P5" s="504"/>
      <c r="Q5" s="504"/>
    </row>
    <row r="6" spans="1:17">
      <c r="A6" s="496" t="s">
        <v>509</v>
      </c>
      <c r="B6" s="497">
        <v>46.154951020000006</v>
      </c>
      <c r="C6" s="497">
        <v>44.165042350000043</v>
      </c>
      <c r="D6" s="497">
        <v>51.504709740000024</v>
      </c>
      <c r="E6" s="497">
        <v>72.441436760000059</v>
      </c>
      <c r="F6" s="498"/>
      <c r="G6" s="498"/>
      <c r="J6" s="504"/>
      <c r="K6" s="504"/>
      <c r="L6" s="504"/>
      <c r="M6" s="504"/>
      <c r="N6" s="504"/>
      <c r="O6" s="504"/>
      <c r="P6" s="504"/>
      <c r="Q6" s="504"/>
    </row>
    <row r="7" spans="1:17">
      <c r="A7" s="496" t="s">
        <v>510</v>
      </c>
      <c r="B7" s="497">
        <v>56.917722909999995</v>
      </c>
      <c r="C7" s="497">
        <v>57.726264640000046</v>
      </c>
      <c r="D7" s="497">
        <v>64.530739100000034</v>
      </c>
      <c r="E7" s="497">
        <v>89.071861160000026</v>
      </c>
      <c r="F7" s="498"/>
      <c r="G7" s="498"/>
      <c r="J7" s="504"/>
      <c r="K7" s="504"/>
      <c r="L7" s="504"/>
      <c r="M7" s="504"/>
      <c r="N7" s="504"/>
      <c r="O7" s="504"/>
      <c r="P7" s="504"/>
      <c r="Q7" s="504"/>
    </row>
    <row r="8" spans="1:17">
      <c r="A8" s="496" t="s">
        <v>511</v>
      </c>
      <c r="B8" s="497">
        <v>66.73578475000005</v>
      </c>
      <c r="C8" s="497">
        <v>66.396317350000004</v>
      </c>
      <c r="D8" s="497">
        <v>78.099947039999932</v>
      </c>
      <c r="E8" s="497">
        <v>101.61209104999989</v>
      </c>
      <c r="F8" s="498"/>
      <c r="G8" s="498"/>
      <c r="J8" s="504"/>
      <c r="K8" s="504"/>
      <c r="L8" s="504"/>
      <c r="M8" s="504"/>
      <c r="N8" s="504"/>
      <c r="O8" s="504"/>
      <c r="P8" s="504"/>
      <c r="Q8" s="504"/>
    </row>
    <row r="9" spans="1:17">
      <c r="A9" s="496" t="s">
        <v>512</v>
      </c>
      <c r="B9" s="497">
        <v>82.773702489999948</v>
      </c>
      <c r="C9" s="497">
        <v>77.539366520000044</v>
      </c>
      <c r="D9" s="497">
        <v>93.140114939999933</v>
      </c>
      <c r="E9" s="497">
        <v>113.42065310999996</v>
      </c>
      <c r="F9" s="498"/>
      <c r="G9" s="498"/>
      <c r="J9" s="504"/>
      <c r="K9" s="504"/>
      <c r="L9" s="504"/>
      <c r="M9" s="504"/>
      <c r="N9" s="504"/>
      <c r="O9" s="504"/>
      <c r="P9" s="504"/>
      <c r="Q9" s="504"/>
    </row>
    <row r="10" spans="1:17">
      <c r="A10" s="496" t="s">
        <v>513</v>
      </c>
      <c r="B10" s="497">
        <v>91.260536540000004</v>
      </c>
      <c r="C10" s="497">
        <v>91.826083350000204</v>
      </c>
      <c r="D10" s="497">
        <v>124.28865238000007</v>
      </c>
      <c r="E10" s="497">
        <v>124.04606490000006</v>
      </c>
      <c r="F10" s="498"/>
      <c r="G10" s="498"/>
      <c r="J10" s="504"/>
      <c r="K10" s="504"/>
      <c r="L10" s="504"/>
      <c r="M10" s="504"/>
      <c r="N10" s="504"/>
      <c r="O10" s="504"/>
      <c r="P10" s="504"/>
      <c r="Q10" s="504"/>
    </row>
    <row r="11" spans="1:17">
      <c r="A11" s="496" t="s">
        <v>514</v>
      </c>
      <c r="B11" s="497">
        <v>102.99390420999994</v>
      </c>
      <c r="C11" s="497">
        <v>104.44525074999997</v>
      </c>
      <c r="D11" s="497">
        <v>137.66123956999996</v>
      </c>
      <c r="E11" s="497"/>
      <c r="F11" s="498"/>
      <c r="G11" s="498"/>
      <c r="J11" s="504"/>
      <c r="K11" s="504"/>
      <c r="L11" s="504"/>
      <c r="M11" s="504"/>
      <c r="N11" s="504"/>
      <c r="O11" s="504"/>
      <c r="P11" s="504"/>
      <c r="Q11" s="504"/>
    </row>
    <row r="12" spans="1:17">
      <c r="A12" s="496" t="s">
        <v>515</v>
      </c>
      <c r="B12" s="497">
        <v>119.53062310999989</v>
      </c>
      <c r="C12" s="497">
        <v>117.19017711000008</v>
      </c>
      <c r="D12" s="497">
        <v>150.95889327000006</v>
      </c>
      <c r="E12" s="497"/>
      <c r="F12" s="498"/>
      <c r="G12" s="498"/>
      <c r="J12" s="504"/>
      <c r="K12" s="504"/>
      <c r="L12" s="504"/>
      <c r="M12" s="504"/>
      <c r="N12" s="504"/>
      <c r="O12" s="504"/>
      <c r="P12" s="504"/>
      <c r="Q12" s="504"/>
    </row>
    <row r="13" spans="1:17">
      <c r="A13" s="496" t="s">
        <v>516</v>
      </c>
      <c r="B13" s="497">
        <v>118.61974961999999</v>
      </c>
      <c r="C13" s="497">
        <v>127.73556874000016</v>
      </c>
      <c r="D13" s="497">
        <v>166.11919611000005</v>
      </c>
      <c r="E13" s="497"/>
      <c r="F13" s="498"/>
      <c r="G13" s="498"/>
      <c r="J13" s="504"/>
      <c r="K13" s="504"/>
      <c r="L13" s="504"/>
      <c r="M13" s="504"/>
      <c r="N13" s="504"/>
      <c r="O13" s="504"/>
      <c r="P13" s="504"/>
      <c r="Q13" s="504"/>
    </row>
    <row r="14" spans="1:17">
      <c r="A14" s="499" t="s">
        <v>517</v>
      </c>
      <c r="B14" s="500">
        <v>153.69243581999987</v>
      </c>
      <c r="C14" s="500">
        <v>182.63819045000008</v>
      </c>
      <c r="D14" s="500">
        <v>228.79317571999999</v>
      </c>
      <c r="E14" s="500"/>
      <c r="F14" s="500">
        <v>158.03062499999999</v>
      </c>
      <c r="G14" s="500">
        <v>215.68595116</v>
      </c>
      <c r="J14" s="504"/>
      <c r="K14" s="504"/>
      <c r="L14" s="504"/>
      <c r="M14" s="504"/>
      <c r="N14" s="504"/>
      <c r="O14" s="504"/>
      <c r="P14" s="504"/>
      <c r="Q14" s="504"/>
    </row>
    <row r="15" spans="1:17">
      <c r="A15" s="501"/>
      <c r="B15" s="501"/>
      <c r="C15" s="501"/>
      <c r="D15" s="501"/>
      <c r="E15" s="501"/>
      <c r="F15" s="502"/>
      <c r="G15" s="503" t="s">
        <v>518</v>
      </c>
      <c r="J15" s="504"/>
      <c r="K15" s="504"/>
      <c r="L15" s="504"/>
      <c r="M15" s="504"/>
      <c r="N15" s="504"/>
      <c r="O15" s="504"/>
      <c r="P15" s="504"/>
      <c r="Q15" s="504"/>
    </row>
    <row r="16" spans="1:17">
      <c r="J16" s="504"/>
      <c r="K16" s="504"/>
      <c r="L16" s="504"/>
      <c r="M16" s="504"/>
      <c r="N16" s="504"/>
      <c r="O16" s="504"/>
      <c r="P16" s="504"/>
      <c r="Q16" s="504"/>
    </row>
    <row r="17" spans="2:17">
      <c r="B17" s="494" t="s">
        <v>519</v>
      </c>
      <c r="J17" s="504"/>
      <c r="K17" s="504"/>
      <c r="L17" s="504"/>
      <c r="M17" s="504"/>
      <c r="N17" s="504"/>
      <c r="O17" s="504"/>
      <c r="P17" s="504"/>
      <c r="Q17" s="504"/>
    </row>
    <row r="18" spans="2:17">
      <c r="J18" s="504"/>
      <c r="K18" s="504"/>
      <c r="L18" s="504"/>
      <c r="M18" s="504"/>
      <c r="N18" s="504"/>
      <c r="O18" s="504"/>
      <c r="P18" s="504"/>
      <c r="Q18" s="504"/>
    </row>
  </sheetData>
  <pageMargins left="0.7" right="0.7" top="0.75" bottom="0.75" header="0.3" footer="0.3"/>
  <pageSetup paperSize="9" orientation="portrait" verticalDpi="0" r:id="rId1"/>
  <drawing r:id="rId2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8"/>
  <sheetViews>
    <sheetView showGridLines="0" zoomScaleNormal="100" workbookViewId="0">
      <selection activeCell="B17" sqref="B17"/>
    </sheetView>
  </sheetViews>
  <sheetFormatPr defaultRowHeight="15"/>
  <cols>
    <col min="1" max="7" width="12.7109375" style="335" customWidth="1"/>
    <col min="8" max="16384" width="9.140625" style="335"/>
  </cols>
  <sheetData>
    <row r="1" spans="1:17">
      <c r="A1" s="494" t="s">
        <v>520</v>
      </c>
      <c r="K1" s="494"/>
      <c r="L1" s="494"/>
      <c r="M1" s="494"/>
      <c r="N1" s="494"/>
      <c r="O1" s="494"/>
      <c r="P1" s="494"/>
      <c r="Q1" s="494"/>
    </row>
    <row r="2" spans="1:17">
      <c r="A2" s="495"/>
      <c r="B2" s="495">
        <v>2013</v>
      </c>
      <c r="C2" s="495">
        <v>2014</v>
      </c>
      <c r="D2" s="495">
        <v>2015</v>
      </c>
      <c r="E2" s="495">
        <v>2016</v>
      </c>
      <c r="F2" s="495" t="s">
        <v>504</v>
      </c>
      <c r="G2" s="495" t="s">
        <v>505</v>
      </c>
      <c r="J2" s="504"/>
      <c r="K2" s="504"/>
      <c r="L2" s="504"/>
      <c r="M2" s="504"/>
      <c r="N2" s="504"/>
      <c r="O2" s="504"/>
      <c r="P2" s="504"/>
      <c r="Q2" s="504"/>
    </row>
    <row r="3" spans="1:17">
      <c r="A3" s="496" t="s">
        <v>506</v>
      </c>
      <c r="B3" s="497">
        <v>15.655179689999997</v>
      </c>
      <c r="C3" s="497">
        <v>112.30434308999999</v>
      </c>
      <c r="D3" s="497">
        <v>18.537136839999992</v>
      </c>
      <c r="E3" s="497">
        <v>25.245327110000002</v>
      </c>
      <c r="F3" s="498"/>
      <c r="G3" s="498"/>
      <c r="J3" s="504"/>
      <c r="K3" s="504"/>
      <c r="L3" s="504"/>
      <c r="M3" s="504"/>
      <c r="N3" s="504"/>
      <c r="O3" s="504"/>
      <c r="P3" s="504"/>
      <c r="Q3" s="504"/>
    </row>
    <row r="4" spans="1:17">
      <c r="A4" s="496" t="s">
        <v>507</v>
      </c>
      <c r="B4" s="497">
        <v>38.586397590000011</v>
      </c>
      <c r="C4" s="497">
        <v>152.59413782999994</v>
      </c>
      <c r="D4" s="497">
        <v>42.896680990000021</v>
      </c>
      <c r="E4" s="497">
        <v>57.065284579999961</v>
      </c>
      <c r="F4" s="498"/>
      <c r="G4" s="498"/>
      <c r="J4" s="504"/>
      <c r="K4" s="504"/>
      <c r="L4" s="504"/>
      <c r="M4" s="504"/>
      <c r="N4" s="504"/>
      <c r="O4" s="504"/>
      <c r="P4" s="504"/>
      <c r="Q4" s="504"/>
    </row>
    <row r="5" spans="1:17">
      <c r="A5" s="496" t="s">
        <v>508</v>
      </c>
      <c r="B5" s="497">
        <v>70.763302199999885</v>
      </c>
      <c r="C5" s="497">
        <v>159.87992019999982</v>
      </c>
      <c r="D5" s="497">
        <v>78.154197759999903</v>
      </c>
      <c r="E5" s="497">
        <v>97.66983199000002</v>
      </c>
      <c r="F5" s="498"/>
      <c r="G5" s="498"/>
      <c r="J5" s="504"/>
      <c r="K5" s="504"/>
      <c r="L5" s="504"/>
      <c r="M5" s="504"/>
      <c r="N5" s="504"/>
      <c r="O5" s="504"/>
      <c r="P5" s="504"/>
      <c r="Q5" s="504"/>
    </row>
    <row r="6" spans="1:17">
      <c r="A6" s="496" t="s">
        <v>509</v>
      </c>
      <c r="B6" s="497">
        <v>95.463161539999803</v>
      </c>
      <c r="C6" s="497">
        <v>190.09954645000047</v>
      </c>
      <c r="D6" s="497">
        <v>116.71545735999999</v>
      </c>
      <c r="E6" s="497">
        <v>130.56732219000008</v>
      </c>
      <c r="F6" s="498"/>
      <c r="G6" s="498"/>
      <c r="J6" s="504"/>
      <c r="K6" s="504"/>
      <c r="L6" s="504"/>
      <c r="M6" s="504"/>
      <c r="N6" s="504"/>
      <c r="O6" s="504"/>
      <c r="P6" s="504"/>
      <c r="Q6" s="504"/>
    </row>
    <row r="7" spans="1:17">
      <c r="A7" s="496" t="s">
        <v>510</v>
      </c>
      <c r="B7" s="497">
        <v>127.15304229999994</v>
      </c>
      <c r="C7" s="497">
        <v>221.16029264000042</v>
      </c>
      <c r="D7" s="497">
        <v>150.53390294999997</v>
      </c>
      <c r="E7" s="497">
        <v>175.12887297000034</v>
      </c>
      <c r="F7" s="498"/>
      <c r="G7" s="498"/>
      <c r="J7" s="504"/>
      <c r="K7" s="504"/>
      <c r="L7" s="504"/>
      <c r="M7" s="504"/>
      <c r="N7" s="504"/>
      <c r="O7" s="504"/>
      <c r="P7" s="504"/>
      <c r="Q7" s="504"/>
    </row>
    <row r="8" spans="1:17">
      <c r="A8" s="496" t="s">
        <v>511</v>
      </c>
      <c r="B8" s="497">
        <v>158.94478926000002</v>
      </c>
      <c r="C8" s="497">
        <v>251.66654874999989</v>
      </c>
      <c r="D8" s="497">
        <v>184.69117301999984</v>
      </c>
      <c r="E8" s="497">
        <v>208.85755478000002</v>
      </c>
      <c r="F8" s="498"/>
      <c r="G8" s="498"/>
      <c r="J8" s="504"/>
      <c r="K8" s="504"/>
      <c r="L8" s="504"/>
      <c r="M8" s="504"/>
      <c r="N8" s="504"/>
      <c r="O8" s="504"/>
      <c r="P8" s="504"/>
      <c r="Q8" s="504"/>
    </row>
    <row r="9" spans="1:17">
      <c r="A9" s="496" t="s">
        <v>512</v>
      </c>
      <c r="B9" s="497">
        <v>189.41023827999993</v>
      </c>
      <c r="C9" s="497">
        <v>282.79481670000052</v>
      </c>
      <c r="D9" s="497">
        <v>237.1149029800001</v>
      </c>
      <c r="E9" s="497">
        <v>241.33809395999998</v>
      </c>
      <c r="F9" s="498"/>
      <c r="G9" s="498"/>
      <c r="J9" s="504"/>
      <c r="K9" s="504"/>
      <c r="L9" s="504"/>
      <c r="M9" s="504"/>
      <c r="N9" s="504"/>
      <c r="O9" s="504"/>
      <c r="P9" s="504"/>
      <c r="Q9" s="504"/>
    </row>
    <row r="10" spans="1:17">
      <c r="A10" s="496" t="s">
        <v>513</v>
      </c>
      <c r="B10" s="497">
        <v>229.31402046999986</v>
      </c>
      <c r="C10" s="497">
        <v>308.54869039000056</v>
      </c>
      <c r="D10" s="497">
        <v>270.35221600999989</v>
      </c>
      <c r="E10" s="497">
        <v>306.04651438999974</v>
      </c>
      <c r="F10" s="498"/>
      <c r="G10" s="498"/>
      <c r="J10" s="504"/>
      <c r="K10" s="504"/>
      <c r="L10" s="504"/>
      <c r="M10" s="504"/>
      <c r="N10" s="504"/>
      <c r="O10" s="504"/>
      <c r="P10" s="504"/>
      <c r="Q10" s="504"/>
    </row>
    <row r="11" spans="1:17">
      <c r="A11" s="496" t="s">
        <v>514</v>
      </c>
      <c r="B11" s="497">
        <v>246.24205721999948</v>
      </c>
      <c r="C11" s="497">
        <v>334.08635495999908</v>
      </c>
      <c r="D11" s="497">
        <v>304.70697291999966</v>
      </c>
      <c r="E11" s="497"/>
      <c r="F11" s="498"/>
      <c r="G11" s="498"/>
      <c r="J11" s="504"/>
      <c r="K11" s="504"/>
      <c r="L11" s="504"/>
      <c r="M11" s="504"/>
      <c r="N11" s="504"/>
      <c r="O11" s="504"/>
      <c r="P11" s="504"/>
      <c r="Q11" s="504"/>
    </row>
    <row r="12" spans="1:17">
      <c r="A12" s="496" t="s">
        <v>515</v>
      </c>
      <c r="B12" s="497">
        <v>282.06122179999977</v>
      </c>
      <c r="C12" s="497">
        <v>365.77133610999994</v>
      </c>
      <c r="D12" s="497">
        <v>381.29952096999995</v>
      </c>
      <c r="E12" s="497"/>
      <c r="F12" s="498"/>
      <c r="G12" s="498"/>
      <c r="J12" s="504"/>
      <c r="K12" s="504"/>
      <c r="L12" s="504"/>
      <c r="M12" s="504"/>
      <c r="N12" s="504"/>
      <c r="O12" s="504"/>
      <c r="P12" s="504"/>
      <c r="Q12" s="504"/>
    </row>
    <row r="13" spans="1:17">
      <c r="A13" s="496" t="s">
        <v>516</v>
      </c>
      <c r="B13" s="497">
        <v>311.80643860999993</v>
      </c>
      <c r="C13" s="497">
        <v>397.22318547000026</v>
      </c>
      <c r="D13" s="497">
        <v>428.04609383999934</v>
      </c>
      <c r="E13" s="497"/>
      <c r="F13" s="498"/>
      <c r="G13" s="498"/>
      <c r="J13" s="504"/>
      <c r="K13" s="504"/>
      <c r="L13" s="504"/>
      <c r="M13" s="504"/>
      <c r="N13" s="504"/>
      <c r="O13" s="504"/>
      <c r="P13" s="504"/>
      <c r="Q13" s="504"/>
    </row>
    <row r="14" spans="1:17">
      <c r="A14" s="499" t="s">
        <v>517</v>
      </c>
      <c r="B14" s="500">
        <v>383.26721173999999</v>
      </c>
      <c r="C14" s="500">
        <v>475.2614711400002</v>
      </c>
      <c r="D14" s="500">
        <v>521.15814926999985</v>
      </c>
      <c r="E14" s="500"/>
      <c r="F14" s="500">
        <v>413.76251500000001</v>
      </c>
      <c r="G14" s="500">
        <v>530.66395846</v>
      </c>
      <c r="J14" s="504"/>
      <c r="K14" s="504"/>
      <c r="L14" s="504"/>
      <c r="M14" s="504"/>
      <c r="N14" s="504"/>
      <c r="O14" s="504"/>
      <c r="P14" s="504"/>
      <c r="Q14" s="504"/>
    </row>
    <row r="15" spans="1:17">
      <c r="A15" s="501"/>
      <c r="B15" s="501"/>
      <c r="C15" s="501"/>
      <c r="D15" s="501"/>
      <c r="E15" s="501"/>
      <c r="F15" s="502"/>
      <c r="G15" s="503" t="s">
        <v>518</v>
      </c>
      <c r="J15" s="504"/>
      <c r="K15" s="504"/>
      <c r="L15" s="504"/>
      <c r="M15" s="504"/>
      <c r="N15" s="504"/>
      <c r="O15" s="504"/>
      <c r="P15" s="504"/>
      <c r="Q15" s="504"/>
    </row>
    <row r="16" spans="1:17">
      <c r="J16" s="504"/>
      <c r="K16" s="504"/>
      <c r="L16" s="504"/>
      <c r="M16" s="504"/>
      <c r="N16" s="504"/>
      <c r="O16" s="504"/>
      <c r="P16" s="504"/>
      <c r="Q16" s="504"/>
    </row>
    <row r="17" spans="2:17">
      <c r="B17" s="494" t="s">
        <v>520</v>
      </c>
      <c r="J17" s="504"/>
      <c r="K17" s="504"/>
      <c r="L17" s="504"/>
      <c r="M17" s="504"/>
      <c r="N17" s="504"/>
      <c r="O17" s="504"/>
      <c r="P17" s="504"/>
      <c r="Q17" s="504"/>
    </row>
    <row r="18" spans="2:17">
      <c r="J18" s="504"/>
      <c r="K18" s="504"/>
      <c r="L18" s="504"/>
      <c r="M18" s="504"/>
      <c r="N18" s="504"/>
      <c r="O18" s="504"/>
      <c r="P18" s="504"/>
      <c r="Q18" s="504"/>
    </row>
  </sheetData>
  <pageMargins left="0.7" right="0.7" top="0.75" bottom="0.75" header="0.3" footer="0.3"/>
  <pageSetup paperSize="9" orientation="portrait" verticalDpi="0" r:id="rId1"/>
  <drawing r:id="rId2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8"/>
  <sheetViews>
    <sheetView showGridLines="0" zoomScaleNormal="100" workbookViewId="0">
      <selection activeCell="B17" sqref="B17"/>
    </sheetView>
  </sheetViews>
  <sheetFormatPr defaultRowHeight="15"/>
  <cols>
    <col min="1" max="7" width="12.7109375" style="335" customWidth="1"/>
    <col min="8" max="16384" width="9.140625" style="335"/>
  </cols>
  <sheetData>
    <row r="1" spans="1:17">
      <c r="A1" s="494" t="s">
        <v>521</v>
      </c>
      <c r="J1" s="494"/>
      <c r="K1" s="494"/>
      <c r="L1" s="494"/>
      <c r="M1" s="494"/>
      <c r="N1" s="494"/>
      <c r="O1" s="494"/>
      <c r="P1" s="494"/>
      <c r="Q1" s="494"/>
    </row>
    <row r="2" spans="1:17">
      <c r="A2" s="495"/>
      <c r="B2" s="495">
        <v>2013</v>
      </c>
      <c r="C2" s="495">
        <v>2014</v>
      </c>
      <c r="D2" s="495">
        <v>2015</v>
      </c>
      <c r="E2" s="495">
        <v>2016</v>
      </c>
      <c r="F2" s="495" t="s">
        <v>504</v>
      </c>
      <c r="G2" s="495" t="s">
        <v>505</v>
      </c>
      <c r="J2" s="504"/>
      <c r="K2" s="504"/>
      <c r="L2" s="504"/>
      <c r="M2" s="504"/>
      <c r="N2" s="504"/>
      <c r="O2" s="504"/>
      <c r="P2" s="504"/>
      <c r="Q2" s="504"/>
    </row>
    <row r="3" spans="1:17">
      <c r="A3" s="496" t="s">
        <v>506</v>
      </c>
      <c r="B3" s="497">
        <v>0.13112262</v>
      </c>
      <c r="C3" s="497">
        <v>2.1584850000000003E-2</v>
      </c>
      <c r="D3" s="497">
        <v>1.14750679</v>
      </c>
      <c r="E3" s="497">
        <v>0.46310784000000005</v>
      </c>
      <c r="F3" s="498"/>
      <c r="G3" s="498"/>
      <c r="J3" s="504"/>
      <c r="K3" s="504"/>
      <c r="L3" s="504"/>
      <c r="M3" s="504"/>
      <c r="N3" s="504"/>
      <c r="O3" s="504"/>
      <c r="P3" s="504"/>
      <c r="Q3" s="504"/>
    </row>
    <row r="4" spans="1:17">
      <c r="A4" s="496" t="s">
        <v>507</v>
      </c>
      <c r="B4" s="497">
        <v>0.28992614</v>
      </c>
      <c r="C4" s="497">
        <v>2.02465947</v>
      </c>
      <c r="D4" s="497">
        <v>2.1780405699999998</v>
      </c>
      <c r="E4" s="497">
        <v>26.678940679999997</v>
      </c>
      <c r="F4" s="498"/>
      <c r="G4" s="498"/>
      <c r="J4" s="504"/>
      <c r="K4" s="504"/>
      <c r="L4" s="504"/>
      <c r="M4" s="504"/>
      <c r="N4" s="504"/>
      <c r="O4" s="504"/>
      <c r="P4" s="504"/>
      <c r="Q4" s="504"/>
    </row>
    <row r="5" spans="1:17">
      <c r="A5" s="496" t="s">
        <v>508</v>
      </c>
      <c r="B5" s="497">
        <v>0.97409701000000015</v>
      </c>
      <c r="C5" s="497">
        <v>2.3754639299999996</v>
      </c>
      <c r="D5" s="497">
        <v>3.351734749999999</v>
      </c>
      <c r="E5" s="497">
        <v>28.925862939999998</v>
      </c>
      <c r="F5" s="498"/>
      <c r="G5" s="498"/>
      <c r="J5" s="504"/>
      <c r="K5" s="504"/>
      <c r="L5" s="504"/>
      <c r="M5" s="504"/>
      <c r="N5" s="504"/>
      <c r="O5" s="504"/>
      <c r="P5" s="504"/>
      <c r="Q5" s="504"/>
    </row>
    <row r="6" spans="1:17">
      <c r="A6" s="496" t="s">
        <v>509</v>
      </c>
      <c r="B6" s="497">
        <v>1.6091368500000003</v>
      </c>
      <c r="C6" s="497">
        <v>2.5848124000000006</v>
      </c>
      <c r="D6" s="497">
        <v>21.763436259999999</v>
      </c>
      <c r="E6" s="497">
        <v>31.945149979999997</v>
      </c>
      <c r="F6" s="498"/>
      <c r="G6" s="498"/>
      <c r="J6" s="504"/>
      <c r="K6" s="504"/>
      <c r="L6" s="504"/>
      <c r="M6" s="504"/>
      <c r="N6" s="504"/>
      <c r="O6" s="504"/>
      <c r="P6" s="504"/>
      <c r="Q6" s="504"/>
    </row>
    <row r="7" spans="1:17">
      <c r="A7" s="496" t="s">
        <v>510</v>
      </c>
      <c r="B7" s="497">
        <v>2.1163334600000003</v>
      </c>
      <c r="C7" s="497">
        <v>3.4477034699999995</v>
      </c>
      <c r="D7" s="497">
        <v>27.509924879999996</v>
      </c>
      <c r="E7" s="497">
        <v>54.105642620000005</v>
      </c>
      <c r="F7" s="498"/>
      <c r="G7" s="498"/>
      <c r="J7" s="504"/>
      <c r="K7" s="504"/>
      <c r="L7" s="504"/>
      <c r="M7" s="504"/>
      <c r="N7" s="504"/>
      <c r="O7" s="504"/>
      <c r="P7" s="504"/>
      <c r="Q7" s="504"/>
    </row>
    <row r="8" spans="1:17">
      <c r="A8" s="496" t="s">
        <v>511</v>
      </c>
      <c r="B8" s="497">
        <v>2.4466741300000003</v>
      </c>
      <c r="C8" s="497">
        <v>4.3439684500000011</v>
      </c>
      <c r="D8" s="497">
        <v>36.018185819999985</v>
      </c>
      <c r="E8" s="497">
        <v>70.984315449999997</v>
      </c>
      <c r="F8" s="498"/>
      <c r="G8" s="498"/>
      <c r="J8" s="504"/>
      <c r="K8" s="504"/>
      <c r="L8" s="504"/>
      <c r="M8" s="504"/>
      <c r="N8" s="504"/>
      <c r="O8" s="504"/>
      <c r="P8" s="504"/>
      <c r="Q8" s="504"/>
    </row>
    <row r="9" spans="1:17">
      <c r="A9" s="496" t="s">
        <v>512</v>
      </c>
      <c r="B9" s="497">
        <v>3.4442679800000011</v>
      </c>
      <c r="C9" s="497">
        <v>6.8085038900000026</v>
      </c>
      <c r="D9" s="497">
        <v>39.057401879999993</v>
      </c>
      <c r="E9" s="497">
        <v>72.213902469999979</v>
      </c>
      <c r="F9" s="498"/>
      <c r="G9" s="498"/>
      <c r="J9" s="504"/>
      <c r="K9" s="504"/>
      <c r="L9" s="504"/>
      <c r="M9" s="504"/>
      <c r="N9" s="504"/>
      <c r="O9" s="504"/>
      <c r="P9" s="504"/>
      <c r="Q9" s="504"/>
    </row>
    <row r="10" spans="1:17">
      <c r="A10" s="496" t="s">
        <v>513</v>
      </c>
      <c r="B10" s="497">
        <v>4.8073039199999998</v>
      </c>
      <c r="C10" s="497">
        <v>8.9981739600000008</v>
      </c>
      <c r="D10" s="497">
        <v>38.354569740000002</v>
      </c>
      <c r="E10" s="497">
        <v>80.192427909999978</v>
      </c>
      <c r="F10" s="498"/>
      <c r="G10" s="498"/>
      <c r="J10" s="504"/>
      <c r="K10" s="504"/>
      <c r="L10" s="504"/>
      <c r="M10" s="504"/>
      <c r="N10" s="504"/>
      <c r="O10" s="504"/>
      <c r="P10" s="504"/>
      <c r="Q10" s="504"/>
    </row>
    <row r="11" spans="1:17">
      <c r="A11" s="496" t="s">
        <v>514</v>
      </c>
      <c r="B11" s="497">
        <v>6.9409882199999986</v>
      </c>
      <c r="C11" s="497">
        <v>10.807150760000004</v>
      </c>
      <c r="D11" s="497">
        <v>43.943547840000001</v>
      </c>
      <c r="E11" s="497"/>
      <c r="F11" s="498"/>
      <c r="G11" s="498"/>
      <c r="J11" s="504"/>
      <c r="K11" s="504"/>
      <c r="L11" s="504"/>
      <c r="M11" s="504"/>
      <c r="N11" s="504"/>
      <c r="O11" s="504"/>
      <c r="P11" s="504"/>
      <c r="Q11" s="504"/>
    </row>
    <row r="12" spans="1:17">
      <c r="A12" s="496" t="s">
        <v>515</v>
      </c>
      <c r="B12" s="497">
        <v>7.4119473100000004</v>
      </c>
      <c r="C12" s="497">
        <v>11.611882420000002</v>
      </c>
      <c r="D12" s="497">
        <v>57.122473149999998</v>
      </c>
      <c r="E12" s="497"/>
      <c r="F12" s="498"/>
      <c r="G12" s="498"/>
      <c r="J12" s="504"/>
      <c r="K12" s="504"/>
      <c r="L12" s="504"/>
      <c r="M12" s="504"/>
      <c r="N12" s="504"/>
      <c r="O12" s="504"/>
      <c r="P12" s="504"/>
      <c r="Q12" s="504"/>
    </row>
    <row r="13" spans="1:17">
      <c r="A13" s="496" t="s">
        <v>516</v>
      </c>
      <c r="B13" s="497">
        <v>9.0727472099999993</v>
      </c>
      <c r="C13" s="497">
        <v>20.127154709999996</v>
      </c>
      <c r="D13" s="497">
        <v>71.867308840000049</v>
      </c>
      <c r="E13" s="497"/>
      <c r="F13" s="498"/>
      <c r="G13" s="498"/>
      <c r="J13" s="504"/>
      <c r="K13" s="504"/>
      <c r="L13" s="504"/>
      <c r="M13" s="504"/>
      <c r="N13" s="504"/>
      <c r="O13" s="504"/>
      <c r="P13" s="504"/>
      <c r="Q13" s="504"/>
    </row>
    <row r="14" spans="1:17">
      <c r="A14" s="499" t="s">
        <v>517</v>
      </c>
      <c r="B14" s="500">
        <v>44.864334409999984</v>
      </c>
      <c r="C14" s="500">
        <v>33.043005930000014</v>
      </c>
      <c r="D14" s="500">
        <v>114.77559063000005</v>
      </c>
      <c r="E14" s="500"/>
      <c r="F14" s="500">
        <v>116.70111900000001</v>
      </c>
      <c r="G14" s="500">
        <v>182.97761374000001</v>
      </c>
      <c r="J14" s="504"/>
      <c r="K14" s="504"/>
      <c r="L14" s="504"/>
      <c r="M14" s="504"/>
      <c r="N14" s="504"/>
      <c r="O14" s="504"/>
      <c r="P14" s="504"/>
      <c r="Q14" s="504"/>
    </row>
    <row r="15" spans="1:17">
      <c r="A15" s="501"/>
      <c r="B15" s="501"/>
      <c r="C15" s="501"/>
      <c r="D15" s="501"/>
      <c r="E15" s="501"/>
      <c r="F15" s="502"/>
      <c r="G15" s="503" t="s">
        <v>518</v>
      </c>
      <c r="J15" s="504"/>
      <c r="K15" s="504"/>
      <c r="L15" s="504"/>
      <c r="M15" s="504"/>
      <c r="N15" s="504"/>
      <c r="O15" s="504"/>
      <c r="P15" s="504"/>
      <c r="Q15" s="504"/>
    </row>
    <row r="16" spans="1:17">
      <c r="J16" s="504"/>
      <c r="K16" s="504"/>
      <c r="L16" s="504"/>
      <c r="M16" s="504"/>
      <c r="N16" s="504"/>
      <c r="O16" s="504"/>
      <c r="P16" s="504"/>
      <c r="Q16" s="504"/>
    </row>
    <row r="17" spans="2:17">
      <c r="B17" s="494" t="s">
        <v>521</v>
      </c>
      <c r="J17" s="504"/>
      <c r="K17" s="504"/>
      <c r="L17" s="504"/>
      <c r="M17" s="504"/>
      <c r="N17" s="504"/>
      <c r="O17" s="504"/>
      <c r="P17" s="504"/>
      <c r="Q17" s="504"/>
    </row>
    <row r="18" spans="2:17">
      <c r="J18" s="504"/>
      <c r="K18" s="504"/>
      <c r="L18" s="504"/>
      <c r="M18" s="504"/>
      <c r="N18" s="504"/>
      <c r="O18" s="504"/>
      <c r="P18" s="504"/>
      <c r="Q18" s="504"/>
    </row>
  </sheetData>
  <pageMargins left="0.7" right="0.7" top="0.75" bottom="0.75" header="0.3" footer="0.3"/>
  <pageSetup paperSize="9" orientation="portrait" verticalDpi="0" r:id="rId1"/>
  <drawing r:id="rId2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8"/>
  <sheetViews>
    <sheetView showGridLines="0" workbookViewId="0">
      <selection activeCell="B17" sqref="B17"/>
    </sheetView>
  </sheetViews>
  <sheetFormatPr defaultRowHeight="15"/>
  <cols>
    <col min="1" max="7" width="12.7109375" style="335" customWidth="1"/>
    <col min="8" max="16384" width="9.140625" style="335"/>
  </cols>
  <sheetData>
    <row r="1" spans="1:17">
      <c r="A1" s="494" t="s">
        <v>522</v>
      </c>
      <c r="K1" s="494"/>
      <c r="L1" s="494"/>
      <c r="M1" s="494"/>
      <c r="N1" s="494"/>
      <c r="O1" s="494"/>
      <c r="P1" s="494"/>
      <c r="Q1" s="494"/>
    </row>
    <row r="2" spans="1:17">
      <c r="A2" s="495"/>
      <c r="B2" s="495">
        <v>2013</v>
      </c>
      <c r="C2" s="495">
        <v>2014</v>
      </c>
      <c r="D2" s="495">
        <v>2015</v>
      </c>
      <c r="E2" s="495">
        <v>2016</v>
      </c>
      <c r="F2" s="495" t="s">
        <v>504</v>
      </c>
      <c r="G2" s="495" t="s">
        <v>505</v>
      </c>
      <c r="J2" s="504"/>
      <c r="K2" s="504"/>
      <c r="L2" s="504"/>
      <c r="M2" s="504"/>
      <c r="N2" s="504"/>
      <c r="O2" s="504"/>
      <c r="P2" s="504"/>
      <c r="Q2" s="504"/>
    </row>
    <row r="3" spans="1:17">
      <c r="A3" s="496" t="s">
        <v>506</v>
      </c>
      <c r="B3" s="497">
        <v>4.3800000000000002E-3</v>
      </c>
      <c r="C3" s="497">
        <v>2.4977830000000003E-2</v>
      </c>
      <c r="D3" s="497">
        <v>0</v>
      </c>
      <c r="E3" s="497">
        <v>1.0564987399999999</v>
      </c>
      <c r="F3" s="498"/>
      <c r="G3" s="498"/>
      <c r="J3" s="504"/>
      <c r="K3" s="504"/>
      <c r="L3" s="504"/>
      <c r="M3" s="504"/>
      <c r="N3" s="504"/>
      <c r="O3" s="504"/>
      <c r="P3" s="504"/>
      <c r="Q3" s="504"/>
    </row>
    <row r="4" spans="1:17">
      <c r="A4" s="496" t="s">
        <v>507</v>
      </c>
      <c r="B4" s="497">
        <v>4.7898000000000003E-2</v>
      </c>
      <c r="C4" s="497">
        <v>3.5587866200000002</v>
      </c>
      <c r="D4" s="497">
        <v>2.6238870899999998</v>
      </c>
      <c r="E4" s="497">
        <v>8.4429578800000016</v>
      </c>
      <c r="F4" s="498"/>
      <c r="G4" s="498"/>
      <c r="J4" s="504"/>
      <c r="K4" s="504"/>
      <c r="L4" s="504"/>
      <c r="M4" s="504"/>
      <c r="N4" s="504"/>
      <c r="O4" s="504"/>
      <c r="P4" s="504"/>
      <c r="Q4" s="504"/>
    </row>
    <row r="5" spans="1:17">
      <c r="A5" s="496" t="s">
        <v>508</v>
      </c>
      <c r="B5" s="497">
        <v>2.03970889</v>
      </c>
      <c r="C5" s="497">
        <v>4.4488943399999998</v>
      </c>
      <c r="D5" s="497">
        <v>18.633473030000001</v>
      </c>
      <c r="E5" s="497">
        <v>31.353012439999997</v>
      </c>
      <c r="F5" s="498"/>
      <c r="G5" s="498"/>
      <c r="J5" s="504"/>
      <c r="K5" s="504"/>
      <c r="L5" s="504"/>
      <c r="M5" s="504"/>
      <c r="N5" s="504"/>
      <c r="O5" s="504"/>
      <c r="P5" s="504"/>
      <c r="Q5" s="504"/>
    </row>
    <row r="6" spans="1:17">
      <c r="A6" s="496" t="s">
        <v>509</v>
      </c>
      <c r="B6" s="497">
        <v>0.16734332999999998</v>
      </c>
      <c r="C6" s="497">
        <v>10.437794480000001</v>
      </c>
      <c r="D6" s="497">
        <v>25.520293360000004</v>
      </c>
      <c r="E6" s="497">
        <v>34.490426820000003</v>
      </c>
      <c r="F6" s="498"/>
      <c r="G6" s="498"/>
      <c r="J6" s="504"/>
      <c r="K6" s="504"/>
      <c r="L6" s="504"/>
      <c r="M6" s="504"/>
      <c r="N6" s="504"/>
      <c r="O6" s="504"/>
      <c r="P6" s="504"/>
      <c r="Q6" s="504"/>
    </row>
    <row r="7" spans="1:17">
      <c r="A7" s="496" t="s">
        <v>510</v>
      </c>
      <c r="B7" s="497">
        <v>2.4675930199999998</v>
      </c>
      <c r="C7" s="497">
        <v>12.981281190000001</v>
      </c>
      <c r="D7" s="497">
        <v>81.678133169999995</v>
      </c>
      <c r="E7" s="497">
        <v>87.108934159999976</v>
      </c>
      <c r="F7" s="498"/>
      <c r="G7" s="498"/>
      <c r="J7" s="504"/>
      <c r="K7" s="504"/>
      <c r="L7" s="504"/>
      <c r="M7" s="504"/>
      <c r="N7" s="504"/>
      <c r="O7" s="504"/>
      <c r="P7" s="504"/>
      <c r="Q7" s="504"/>
    </row>
    <row r="8" spans="1:17">
      <c r="A8" s="496" t="s">
        <v>511</v>
      </c>
      <c r="B8" s="497">
        <v>2.7623388700000002</v>
      </c>
      <c r="C8" s="497">
        <v>15.38526811</v>
      </c>
      <c r="D8" s="497">
        <v>95.890387219999994</v>
      </c>
      <c r="E8" s="497">
        <v>96.740516450000001</v>
      </c>
      <c r="F8" s="498"/>
      <c r="G8" s="498"/>
      <c r="J8" s="504"/>
      <c r="K8" s="504"/>
      <c r="L8" s="504"/>
      <c r="M8" s="504"/>
      <c r="N8" s="504"/>
      <c r="O8" s="504"/>
      <c r="P8" s="504"/>
      <c r="Q8" s="504"/>
    </row>
    <row r="9" spans="1:17">
      <c r="A9" s="496" t="s">
        <v>512</v>
      </c>
      <c r="B9" s="497">
        <v>3.2052897999999996</v>
      </c>
      <c r="C9" s="497">
        <v>16.849508359999998</v>
      </c>
      <c r="D9" s="497">
        <v>109.00207177</v>
      </c>
      <c r="E9" s="497">
        <v>99.450137569999981</v>
      </c>
      <c r="F9" s="498"/>
      <c r="G9" s="498"/>
      <c r="J9" s="504"/>
      <c r="K9" s="504"/>
      <c r="L9" s="504"/>
      <c r="M9" s="504"/>
      <c r="N9" s="504"/>
      <c r="O9" s="504"/>
      <c r="P9" s="504"/>
      <c r="Q9" s="504"/>
    </row>
    <row r="10" spans="1:17">
      <c r="A10" s="496" t="s">
        <v>513</v>
      </c>
      <c r="B10" s="497">
        <v>4.3196599800000008</v>
      </c>
      <c r="C10" s="497">
        <v>18.552118849999999</v>
      </c>
      <c r="D10" s="497">
        <v>113.53723346999999</v>
      </c>
      <c r="E10" s="497">
        <v>124.39411367999999</v>
      </c>
      <c r="F10" s="498"/>
      <c r="G10" s="498"/>
      <c r="J10" s="504"/>
      <c r="K10" s="504"/>
      <c r="L10" s="504"/>
      <c r="M10" s="504"/>
      <c r="N10" s="504"/>
      <c r="O10" s="504"/>
      <c r="P10" s="504"/>
      <c r="Q10" s="504"/>
    </row>
    <row r="11" spans="1:17">
      <c r="A11" s="496" t="s">
        <v>514</v>
      </c>
      <c r="B11" s="497">
        <v>5.4922712600000008</v>
      </c>
      <c r="C11" s="497">
        <v>22.926280419999998</v>
      </c>
      <c r="D11" s="497">
        <v>131.03797124000002</v>
      </c>
      <c r="E11" s="497"/>
      <c r="F11" s="498"/>
      <c r="G11" s="498"/>
      <c r="J11" s="504"/>
      <c r="K11" s="504"/>
      <c r="L11" s="504"/>
      <c r="M11" s="504"/>
      <c r="N11" s="504"/>
      <c r="O11" s="504"/>
      <c r="P11" s="504"/>
      <c r="Q11" s="504"/>
    </row>
    <row r="12" spans="1:17">
      <c r="A12" s="496" t="s">
        <v>515</v>
      </c>
      <c r="B12" s="497">
        <v>8.8011881899999995</v>
      </c>
      <c r="C12" s="497">
        <v>31.860537209999993</v>
      </c>
      <c r="D12" s="497">
        <v>148.98184885000003</v>
      </c>
      <c r="E12" s="497"/>
      <c r="F12" s="498"/>
      <c r="G12" s="498"/>
      <c r="J12" s="504"/>
      <c r="K12" s="504"/>
      <c r="L12" s="504"/>
      <c r="M12" s="504"/>
      <c r="N12" s="504"/>
      <c r="O12" s="504"/>
      <c r="P12" s="504"/>
      <c r="Q12" s="504"/>
    </row>
    <row r="13" spans="1:17">
      <c r="A13" s="496" t="s">
        <v>516</v>
      </c>
      <c r="B13" s="497">
        <v>10.358288420000001</v>
      </c>
      <c r="C13" s="497">
        <v>36.89806222</v>
      </c>
      <c r="D13" s="497">
        <v>162.35251972999998</v>
      </c>
      <c r="E13" s="497"/>
      <c r="F13" s="498"/>
      <c r="G13" s="498"/>
      <c r="J13" s="504"/>
      <c r="K13" s="504"/>
      <c r="L13" s="504"/>
      <c r="M13" s="504"/>
      <c r="N13" s="504"/>
      <c r="O13" s="504"/>
      <c r="P13" s="504"/>
      <c r="Q13" s="504"/>
    </row>
    <row r="14" spans="1:17">
      <c r="A14" s="499" t="s">
        <v>517</v>
      </c>
      <c r="B14" s="500">
        <v>38.968523519999998</v>
      </c>
      <c r="C14" s="500">
        <v>53.209573450000008</v>
      </c>
      <c r="D14" s="500">
        <v>204.33246551999997</v>
      </c>
      <c r="E14" s="500"/>
      <c r="F14" s="500">
        <v>100.555511</v>
      </c>
      <c r="G14" s="500">
        <v>172.75960917</v>
      </c>
      <c r="J14" s="504"/>
      <c r="K14" s="504"/>
      <c r="L14" s="504"/>
      <c r="M14" s="504"/>
      <c r="N14" s="504"/>
      <c r="O14" s="504"/>
      <c r="P14" s="504"/>
      <c r="Q14" s="504"/>
    </row>
    <row r="15" spans="1:17">
      <c r="A15" s="501"/>
      <c r="B15" s="501"/>
      <c r="C15" s="501"/>
      <c r="D15" s="501"/>
      <c r="E15" s="501"/>
      <c r="F15" s="502"/>
      <c r="G15" s="503" t="s">
        <v>518</v>
      </c>
      <c r="J15" s="504"/>
      <c r="K15" s="504"/>
      <c r="L15" s="504"/>
      <c r="M15" s="504"/>
      <c r="N15" s="504"/>
      <c r="O15" s="504"/>
      <c r="P15" s="504"/>
      <c r="Q15" s="504"/>
    </row>
    <row r="16" spans="1:17">
      <c r="J16" s="504"/>
      <c r="K16" s="504"/>
      <c r="L16" s="504"/>
      <c r="M16" s="504"/>
      <c r="N16" s="504"/>
      <c r="O16" s="504"/>
      <c r="P16" s="504"/>
      <c r="Q16" s="504"/>
    </row>
    <row r="17" spans="2:17">
      <c r="B17" s="494" t="s">
        <v>522</v>
      </c>
      <c r="J17" s="504"/>
      <c r="K17" s="504"/>
      <c r="L17" s="504"/>
      <c r="M17" s="504"/>
      <c r="N17" s="504"/>
      <c r="O17" s="504"/>
      <c r="P17" s="504"/>
      <c r="Q17" s="504"/>
    </row>
    <row r="18" spans="2:17">
      <c r="J18" s="504"/>
      <c r="K18" s="504"/>
      <c r="L18" s="504"/>
      <c r="M18" s="504"/>
      <c r="N18" s="504"/>
      <c r="O18" s="504"/>
      <c r="P18" s="504"/>
      <c r="Q18" s="504"/>
    </row>
  </sheetData>
  <pageMargins left="0.7" right="0.7" top="0.75" bottom="0.75" header="0.3" footer="0.3"/>
  <pageSetup paperSize="9" orientation="portrait" verticalDpi="0" r:id="rId1"/>
  <drawing r:id="rId2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8"/>
  <sheetViews>
    <sheetView showGridLines="0" zoomScaleNormal="100" workbookViewId="0">
      <selection activeCell="B17" sqref="B17"/>
    </sheetView>
  </sheetViews>
  <sheetFormatPr defaultRowHeight="15"/>
  <cols>
    <col min="1" max="7" width="12.7109375" style="335" customWidth="1"/>
    <col min="8" max="16384" width="9.140625" style="335"/>
  </cols>
  <sheetData>
    <row r="1" spans="1:17">
      <c r="A1" s="494" t="s">
        <v>523</v>
      </c>
      <c r="K1" s="494"/>
      <c r="L1" s="494"/>
      <c r="M1" s="494"/>
      <c r="N1" s="494"/>
      <c r="O1" s="494"/>
      <c r="P1" s="494"/>
      <c r="Q1" s="494"/>
    </row>
    <row r="2" spans="1:17">
      <c r="A2" s="495"/>
      <c r="B2" s="495">
        <v>2013</v>
      </c>
      <c r="C2" s="495">
        <v>2014</v>
      </c>
      <c r="D2" s="495">
        <v>2015</v>
      </c>
      <c r="E2" s="495">
        <v>2016</v>
      </c>
      <c r="F2" s="495" t="s">
        <v>504</v>
      </c>
      <c r="G2" s="495" t="s">
        <v>505</v>
      </c>
      <c r="J2" s="504"/>
      <c r="K2" s="504"/>
      <c r="L2" s="504"/>
      <c r="M2" s="504"/>
      <c r="N2" s="504"/>
      <c r="O2" s="504"/>
      <c r="P2" s="504"/>
      <c r="Q2" s="504"/>
    </row>
    <row r="3" spans="1:17">
      <c r="A3" s="496" t="s">
        <v>506</v>
      </c>
      <c r="B3" s="497">
        <v>0.14481987999999998</v>
      </c>
      <c r="C3" s="497">
        <v>4.2543526600000003</v>
      </c>
      <c r="D3" s="497">
        <v>2.4170877599999998</v>
      </c>
      <c r="E3" s="497">
        <v>0.18605627000000002</v>
      </c>
      <c r="F3" s="498"/>
      <c r="G3" s="498"/>
      <c r="J3" s="504"/>
      <c r="K3" s="504"/>
      <c r="L3" s="504"/>
      <c r="M3" s="504"/>
      <c r="N3" s="504"/>
      <c r="O3" s="504"/>
      <c r="P3" s="504"/>
      <c r="Q3" s="504"/>
    </row>
    <row r="4" spans="1:17">
      <c r="A4" s="496" t="s">
        <v>507</v>
      </c>
      <c r="B4" s="497">
        <v>0.41595514</v>
      </c>
      <c r="C4" s="497">
        <v>4.4747929100000006</v>
      </c>
      <c r="D4" s="497">
        <v>4.1736070300000003</v>
      </c>
      <c r="E4" s="497">
        <v>4.0069078399999993</v>
      </c>
      <c r="F4" s="498"/>
      <c r="G4" s="498"/>
      <c r="J4" s="504"/>
      <c r="K4" s="504"/>
      <c r="L4" s="504"/>
      <c r="M4" s="504"/>
      <c r="N4" s="504"/>
      <c r="O4" s="504"/>
      <c r="P4" s="504"/>
      <c r="Q4" s="504"/>
    </row>
    <row r="5" spans="1:17">
      <c r="A5" s="496" t="s">
        <v>508</v>
      </c>
      <c r="B5" s="497">
        <v>1.6121355499999996</v>
      </c>
      <c r="C5" s="497">
        <v>3.49818607</v>
      </c>
      <c r="D5" s="497">
        <v>4.3640592600000012</v>
      </c>
      <c r="E5" s="497">
        <v>23.488475849999997</v>
      </c>
      <c r="F5" s="498"/>
      <c r="G5" s="498"/>
      <c r="J5" s="504"/>
      <c r="K5" s="504"/>
      <c r="L5" s="504"/>
      <c r="M5" s="504"/>
      <c r="N5" s="504"/>
      <c r="O5" s="504"/>
      <c r="P5" s="504"/>
      <c r="Q5" s="504"/>
    </row>
    <row r="6" spans="1:17">
      <c r="A6" s="496" t="s">
        <v>509</v>
      </c>
      <c r="B6" s="497">
        <v>2.6268583900000007</v>
      </c>
      <c r="C6" s="497">
        <v>6.3262878499999999</v>
      </c>
      <c r="D6" s="497">
        <v>13.363838899999999</v>
      </c>
      <c r="E6" s="497">
        <v>30.08790694</v>
      </c>
      <c r="F6" s="498"/>
      <c r="G6" s="498"/>
      <c r="J6" s="504"/>
      <c r="K6" s="504"/>
      <c r="L6" s="504"/>
      <c r="M6" s="504"/>
      <c r="N6" s="504"/>
      <c r="O6" s="504"/>
      <c r="P6" s="504"/>
      <c r="Q6" s="504"/>
    </row>
    <row r="7" spans="1:17">
      <c r="A7" s="496" t="s">
        <v>510</v>
      </c>
      <c r="B7" s="497">
        <v>3.1339665300000008</v>
      </c>
      <c r="C7" s="497">
        <v>5.7545127199999992</v>
      </c>
      <c r="D7" s="497">
        <v>22.016519930000001</v>
      </c>
      <c r="E7" s="497">
        <v>35.996715750000014</v>
      </c>
      <c r="F7" s="498"/>
      <c r="G7" s="498"/>
      <c r="J7" s="504"/>
      <c r="K7" s="504"/>
      <c r="L7" s="504"/>
      <c r="M7" s="504"/>
      <c r="N7" s="504"/>
      <c r="O7" s="504"/>
      <c r="P7" s="504"/>
      <c r="Q7" s="504"/>
    </row>
    <row r="8" spans="1:17">
      <c r="A8" s="496" t="s">
        <v>511</v>
      </c>
      <c r="B8" s="497">
        <v>6.3446002600000018</v>
      </c>
      <c r="C8" s="497">
        <v>10.512614370000001</v>
      </c>
      <c r="D8" s="497">
        <v>28.682733320000001</v>
      </c>
      <c r="E8" s="497">
        <v>51.969764430000005</v>
      </c>
      <c r="F8" s="498"/>
      <c r="G8" s="498"/>
      <c r="J8" s="504"/>
      <c r="K8" s="504"/>
      <c r="L8" s="504"/>
      <c r="M8" s="504"/>
      <c r="N8" s="504"/>
      <c r="O8" s="504"/>
      <c r="P8" s="504"/>
      <c r="Q8" s="504"/>
    </row>
    <row r="9" spans="1:17">
      <c r="A9" s="496" t="s">
        <v>512</v>
      </c>
      <c r="B9" s="497">
        <v>11.251699810000002</v>
      </c>
      <c r="C9" s="497">
        <v>22.003009609999999</v>
      </c>
      <c r="D9" s="497">
        <v>35.570668910000002</v>
      </c>
      <c r="E9" s="497">
        <v>64.182955379999981</v>
      </c>
      <c r="F9" s="498"/>
      <c r="G9" s="498"/>
      <c r="J9" s="504"/>
      <c r="K9" s="504"/>
      <c r="L9" s="504"/>
      <c r="M9" s="504"/>
      <c r="N9" s="504"/>
      <c r="O9" s="504"/>
      <c r="P9" s="504"/>
      <c r="Q9" s="504"/>
    </row>
    <row r="10" spans="1:17">
      <c r="A10" s="496" t="s">
        <v>513</v>
      </c>
      <c r="B10" s="497">
        <v>11.480526240000003</v>
      </c>
      <c r="C10" s="497">
        <v>27.134121989999997</v>
      </c>
      <c r="D10" s="497">
        <v>40.951526570000006</v>
      </c>
      <c r="E10" s="497">
        <v>79.485147529999992</v>
      </c>
      <c r="F10" s="498"/>
      <c r="G10" s="498"/>
      <c r="J10" s="504"/>
      <c r="K10" s="504"/>
      <c r="L10" s="504"/>
      <c r="M10" s="504"/>
      <c r="N10" s="504"/>
      <c r="O10" s="504"/>
      <c r="P10" s="504"/>
      <c r="Q10" s="504"/>
    </row>
    <row r="11" spans="1:17">
      <c r="A11" s="496" t="s">
        <v>514</v>
      </c>
      <c r="B11" s="497">
        <v>13.023259780000005</v>
      </c>
      <c r="C11" s="497">
        <v>28.970978349999996</v>
      </c>
      <c r="D11" s="497">
        <v>54.190657709999996</v>
      </c>
      <c r="E11" s="497"/>
      <c r="F11" s="498"/>
      <c r="G11" s="498"/>
      <c r="J11" s="504"/>
      <c r="K11" s="504"/>
      <c r="L11" s="504"/>
      <c r="M11" s="504"/>
      <c r="N11" s="504"/>
      <c r="O11" s="504"/>
      <c r="P11" s="504"/>
      <c r="Q11" s="504"/>
    </row>
    <row r="12" spans="1:17">
      <c r="A12" s="496" t="s">
        <v>515</v>
      </c>
      <c r="B12" s="497">
        <v>11.621663520000002</v>
      </c>
      <c r="C12" s="497">
        <v>33.617039650000009</v>
      </c>
      <c r="D12" s="497">
        <v>53.278919320000007</v>
      </c>
      <c r="E12" s="497"/>
      <c r="F12" s="498"/>
      <c r="G12" s="498"/>
      <c r="J12" s="504"/>
      <c r="K12" s="504"/>
      <c r="L12" s="504"/>
      <c r="M12" s="504"/>
      <c r="N12" s="504"/>
      <c r="O12" s="504"/>
      <c r="P12" s="504"/>
      <c r="Q12" s="504"/>
    </row>
    <row r="13" spans="1:17">
      <c r="A13" s="496" t="s">
        <v>516</v>
      </c>
      <c r="B13" s="497">
        <v>15.32603862</v>
      </c>
      <c r="C13" s="497">
        <v>40.644999980000001</v>
      </c>
      <c r="D13" s="497">
        <v>62.004426630000026</v>
      </c>
      <c r="E13" s="497"/>
      <c r="F13" s="498"/>
      <c r="G13" s="498"/>
      <c r="J13" s="504"/>
      <c r="K13" s="504"/>
      <c r="L13" s="504"/>
      <c r="M13" s="504"/>
      <c r="N13" s="504"/>
      <c r="O13" s="504"/>
      <c r="P13" s="504"/>
      <c r="Q13" s="504"/>
    </row>
    <row r="14" spans="1:17">
      <c r="A14" s="499" t="s">
        <v>517</v>
      </c>
      <c r="B14" s="500">
        <v>30.195858899999987</v>
      </c>
      <c r="C14" s="500">
        <v>54.113165650000028</v>
      </c>
      <c r="D14" s="500">
        <v>92.063964749999982</v>
      </c>
      <c r="E14" s="500"/>
      <c r="F14" s="500">
        <v>66.130171000000004</v>
      </c>
      <c r="G14" s="500">
        <v>138.90797713000001</v>
      </c>
      <c r="J14" s="504"/>
      <c r="K14" s="504"/>
      <c r="L14" s="504"/>
      <c r="M14" s="504"/>
      <c r="N14" s="504"/>
      <c r="O14" s="504"/>
      <c r="P14" s="504"/>
      <c r="Q14" s="504"/>
    </row>
    <row r="15" spans="1:17">
      <c r="A15" s="501"/>
      <c r="B15" s="501"/>
      <c r="C15" s="501"/>
      <c r="D15" s="501"/>
      <c r="E15" s="501"/>
      <c r="F15" s="502"/>
      <c r="G15" s="503" t="s">
        <v>518</v>
      </c>
      <c r="J15" s="504"/>
      <c r="K15" s="504"/>
      <c r="L15" s="504"/>
      <c r="M15" s="504"/>
      <c r="N15" s="504"/>
      <c r="O15" s="504"/>
      <c r="P15" s="504"/>
      <c r="Q15" s="504"/>
    </row>
    <row r="16" spans="1:17">
      <c r="J16" s="504"/>
      <c r="K16" s="504"/>
      <c r="L16" s="504"/>
      <c r="M16" s="504"/>
      <c r="N16" s="504"/>
      <c r="O16" s="504"/>
      <c r="P16" s="504"/>
      <c r="Q16" s="504"/>
    </row>
    <row r="17" spans="2:17">
      <c r="B17" s="494" t="s">
        <v>523</v>
      </c>
      <c r="J17" s="504"/>
      <c r="K17" s="504"/>
      <c r="L17" s="504"/>
      <c r="M17" s="504"/>
      <c r="N17" s="504"/>
      <c r="O17" s="504"/>
      <c r="P17" s="504"/>
      <c r="Q17" s="504"/>
    </row>
    <row r="18" spans="2:17">
      <c r="J18" s="504"/>
      <c r="K18" s="504"/>
      <c r="L18" s="504"/>
      <c r="M18" s="504"/>
      <c r="N18" s="504"/>
      <c r="O18" s="504"/>
      <c r="P18" s="504"/>
      <c r="Q18" s="504"/>
    </row>
  </sheetData>
  <pageMargins left="0.7" right="0.7" top="0.75" bottom="0.75" header="0.3" footer="0.3"/>
  <pageSetup paperSize="9" orientation="portrait" verticalDpi="0" r:id="rId1"/>
  <drawing r:id="rId2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18"/>
  <sheetViews>
    <sheetView showGridLines="0" topLeftCell="B1" workbookViewId="0">
      <selection activeCell="Q1" sqref="Q1"/>
    </sheetView>
  </sheetViews>
  <sheetFormatPr defaultRowHeight="15"/>
  <cols>
    <col min="1" max="1" width="55.28515625" style="758" customWidth="1"/>
    <col min="2" max="10" width="9.140625" style="758" customWidth="1"/>
    <col min="11" max="16384" width="9.140625" style="758"/>
  </cols>
  <sheetData>
    <row r="1" spans="1:17">
      <c r="A1" s="792" t="s">
        <v>1080</v>
      </c>
      <c r="Q1" s="792" t="s">
        <v>1080</v>
      </c>
    </row>
    <row r="2" spans="1:17">
      <c r="A2" s="1157"/>
      <c r="B2" s="1157">
        <v>2006</v>
      </c>
      <c r="C2" s="1157">
        <v>2007</v>
      </c>
      <c r="D2" s="1157">
        <v>2008</v>
      </c>
      <c r="E2" s="1157">
        <v>2009</v>
      </c>
      <c r="F2" s="1157">
        <v>2010</v>
      </c>
      <c r="G2" s="1157">
        <v>2011</v>
      </c>
      <c r="H2" s="1157">
        <v>2012</v>
      </c>
      <c r="I2" s="1157">
        <v>2013</v>
      </c>
      <c r="J2" s="1157">
        <v>2014</v>
      </c>
      <c r="K2" s="1157">
        <v>2015</v>
      </c>
      <c r="L2" s="1157">
        <v>2016</v>
      </c>
      <c r="M2" s="1157">
        <v>2017</v>
      </c>
      <c r="N2" s="1157">
        <v>2018</v>
      </c>
      <c r="O2" s="1157">
        <v>2019</v>
      </c>
    </row>
    <row r="3" spans="1:17">
      <c r="A3" s="759" t="s">
        <v>1079</v>
      </c>
      <c r="B3" s="778">
        <v>612.33057823806678</v>
      </c>
      <c r="C3" s="778">
        <v>499.22366062537338</v>
      </c>
      <c r="D3" s="778">
        <v>481.80399999999997</v>
      </c>
      <c r="E3" s="778">
        <v>474.76914900000003</v>
      </c>
      <c r="F3" s="778">
        <v>405.53047200000003</v>
      </c>
      <c r="G3" s="778">
        <v>418.06239099999999</v>
      </c>
      <c r="H3" s="778">
        <v>324.51984400000003</v>
      </c>
      <c r="I3" s="778">
        <v>244.23244700000001</v>
      </c>
      <c r="J3" s="1160">
        <v>238.78499999999997</v>
      </c>
      <c r="K3" s="778">
        <v>469.77100000000007</v>
      </c>
      <c r="L3" s="1160">
        <v>500.78299999999996</v>
      </c>
      <c r="M3" s="1160">
        <v>595.89253000000008</v>
      </c>
      <c r="N3" s="1160">
        <v>544.11589499999991</v>
      </c>
      <c r="O3" s="1160">
        <v>553.31265599999995</v>
      </c>
    </row>
    <row r="4" spans="1:17">
      <c r="A4" s="759" t="s">
        <v>1078</v>
      </c>
      <c r="B4" s="778"/>
      <c r="C4" s="778"/>
      <c r="D4" s="778"/>
      <c r="E4" s="778"/>
      <c r="F4" s="778"/>
      <c r="G4" s="778"/>
      <c r="H4" s="778"/>
      <c r="I4" s="778"/>
      <c r="J4" s="1160"/>
      <c r="K4" s="778"/>
      <c r="L4" s="1160">
        <f>L5-L3</f>
        <v>107.99999999999994</v>
      </c>
      <c r="M4" s="1160">
        <f>M5-M3</f>
        <v>0</v>
      </c>
      <c r="N4" s="1160">
        <f>N5-N3</f>
        <v>17.757909929388575</v>
      </c>
      <c r="O4" s="1160">
        <f>O5-O3</f>
        <v>44.698594101788558</v>
      </c>
    </row>
    <row r="5" spans="1:17">
      <c r="A5" s="762" t="s">
        <v>1077</v>
      </c>
      <c r="B5" s="1155"/>
      <c r="C5" s="1155"/>
      <c r="D5" s="1155"/>
      <c r="E5" s="1155"/>
      <c r="F5" s="1155"/>
      <c r="G5" s="1155"/>
      <c r="H5" s="1155"/>
      <c r="I5" s="1155"/>
      <c r="J5" s="1155"/>
      <c r="K5" s="1155"/>
      <c r="L5" s="1155">
        <v>608.7829999999999</v>
      </c>
      <c r="M5" s="1155">
        <v>595.89253000000008</v>
      </c>
      <c r="N5" s="1155">
        <v>561.87380492938848</v>
      </c>
      <c r="O5" s="1155">
        <v>598.01125010178851</v>
      </c>
    </row>
    <row r="6" spans="1:17">
      <c r="A6" s="1183" t="s">
        <v>1076</v>
      </c>
      <c r="B6" s="1156"/>
      <c r="C6" s="1156"/>
      <c r="D6" s="1156"/>
      <c r="E6" s="1156"/>
      <c r="F6" s="1156"/>
      <c r="G6" s="1156"/>
      <c r="H6" s="1156"/>
      <c r="I6" s="1156"/>
      <c r="J6" s="1156"/>
      <c r="K6" s="1156"/>
      <c r="L6" s="1156"/>
      <c r="M6" s="1156"/>
      <c r="N6" s="1156"/>
      <c r="O6" s="1156"/>
    </row>
    <row r="7" spans="1:17">
      <c r="A7" s="759" t="s">
        <v>1075</v>
      </c>
      <c r="B7" s="937">
        <f t="shared" ref="B7:I7" si="0">B3/B10*100</f>
        <v>1.0881485662462735</v>
      </c>
      <c r="C7" s="937">
        <f t="shared" si="0"/>
        <v>0.79174113040648297</v>
      </c>
      <c r="D7" s="937">
        <f t="shared" si="0"/>
        <v>0.70344976610270449</v>
      </c>
      <c r="E7" s="937">
        <f t="shared" si="0"/>
        <v>0.74155913881083557</v>
      </c>
      <c r="F7" s="937">
        <f t="shared" si="0"/>
        <v>0.60009866034896342</v>
      </c>
      <c r="G7" s="937">
        <f t="shared" si="0"/>
        <v>0.59192830948982833</v>
      </c>
      <c r="H7" s="937">
        <f t="shared" si="0"/>
        <v>0.44636068965042952</v>
      </c>
      <c r="I7" s="937">
        <f t="shared" si="0"/>
        <v>0.32928782026131898</v>
      </c>
      <c r="J7" s="937">
        <f t="shared" ref="J7:O7" si="1">(J3)/J10*100</f>
        <v>0.31441253304962447</v>
      </c>
      <c r="K7" s="937">
        <f t="shared" si="1"/>
        <v>0.59702283518204102</v>
      </c>
      <c r="L7" s="937">
        <f t="shared" si="1"/>
        <v>0.61686377972904949</v>
      </c>
      <c r="M7" s="937">
        <f t="shared" si="1"/>
        <v>0.70392532953430853</v>
      </c>
      <c r="N7" s="937">
        <f t="shared" si="1"/>
        <v>0.60986974870831556</v>
      </c>
      <c r="O7" s="937">
        <f t="shared" si="1"/>
        <v>0.58270093349344931</v>
      </c>
    </row>
    <row r="8" spans="1:17">
      <c r="A8" s="993" t="s">
        <v>1074</v>
      </c>
      <c r="B8" s="1182"/>
      <c r="C8" s="1182"/>
      <c r="D8" s="1182"/>
      <c r="E8" s="1182"/>
      <c r="F8" s="1182"/>
      <c r="G8" s="1182"/>
      <c r="H8" s="1182"/>
      <c r="I8" s="1182"/>
      <c r="J8" s="1182"/>
      <c r="K8" s="1182"/>
      <c r="L8" s="761">
        <f>L4/L10*100</f>
        <v>0.13303424479412701</v>
      </c>
      <c r="M8" s="761">
        <f>M4/M10*100</f>
        <v>0</v>
      </c>
      <c r="N8" s="761">
        <f>N4/N10*100</f>
        <v>1.9903870050003068E-2</v>
      </c>
      <c r="O8" s="761">
        <f>O4/O10*100</f>
        <v>4.7072685264869456E-2</v>
      </c>
    </row>
    <row r="9" spans="1:17">
      <c r="A9" s="762" t="s">
        <v>1073</v>
      </c>
      <c r="B9" s="761">
        <v>0.63217340673378897</v>
      </c>
      <c r="C9" s="761">
        <v>0.63217340673378897</v>
      </c>
      <c r="D9" s="761">
        <v>0.63217340673378897</v>
      </c>
      <c r="E9" s="761">
        <v>0.63217340673378897</v>
      </c>
      <c r="F9" s="761">
        <v>0.63217340673378897</v>
      </c>
      <c r="G9" s="761">
        <v>0.63217340673378897</v>
      </c>
      <c r="H9" s="761">
        <v>0.63217340673378897</v>
      </c>
      <c r="I9" s="761">
        <v>0.63217340673378897</v>
      </c>
      <c r="J9" s="761">
        <v>0.63217340673378897</v>
      </c>
      <c r="K9" s="761">
        <v>0.63217340673378897</v>
      </c>
      <c r="L9" s="761">
        <v>0.63217340673378897</v>
      </c>
      <c r="M9" s="761">
        <v>0.63217340673378897</v>
      </c>
      <c r="N9" s="761">
        <v>0.63217340673378897</v>
      </c>
      <c r="O9" s="761">
        <v>0.63217340673378897</v>
      </c>
    </row>
    <row r="10" spans="1:17">
      <c r="A10" s="762" t="s">
        <v>20</v>
      </c>
      <c r="B10" s="1155">
        <v>56272.7</v>
      </c>
      <c r="C10" s="1155">
        <v>63053.9</v>
      </c>
      <c r="D10" s="1155">
        <v>68491.600000000006</v>
      </c>
      <c r="E10" s="1155">
        <v>64023.1</v>
      </c>
      <c r="F10" s="1155">
        <v>67577.3</v>
      </c>
      <c r="G10" s="1155">
        <v>70627.199999999997</v>
      </c>
      <c r="H10" s="1155">
        <v>72703.5</v>
      </c>
      <c r="I10" s="1155">
        <v>74169.899999999994</v>
      </c>
      <c r="J10" s="1170">
        <v>75946.399999999994</v>
      </c>
      <c r="K10" s="1170">
        <v>78685.600000000006</v>
      </c>
      <c r="L10" s="1155">
        <v>81182.104778459077</v>
      </c>
      <c r="M10" s="1155">
        <v>84652.804068610654</v>
      </c>
      <c r="N10" s="1155">
        <v>89218.377555604253</v>
      </c>
      <c r="O10" s="1155">
        <v>94956.541888948297</v>
      </c>
    </row>
    <row r="11" spans="1:17">
      <c r="A11" s="759"/>
      <c r="B11" s="907"/>
      <c r="C11" s="907"/>
      <c r="D11" s="907"/>
      <c r="E11" s="907"/>
      <c r="F11" s="907"/>
      <c r="G11" s="907"/>
      <c r="H11" s="907"/>
      <c r="I11" s="907"/>
      <c r="J11" s="907"/>
      <c r="K11" s="907"/>
      <c r="L11" s="907"/>
      <c r="M11" s="907"/>
      <c r="N11" s="759"/>
      <c r="O11" s="759"/>
    </row>
    <row r="15" spans="1:17">
      <c r="B15" s="1181"/>
      <c r="C15" s="1181"/>
      <c r="D15" s="1181"/>
      <c r="E15" s="1181"/>
      <c r="F15" s="1181"/>
      <c r="G15" s="1181"/>
      <c r="H15" s="1181"/>
      <c r="I15" s="1181"/>
      <c r="J15" s="1181"/>
      <c r="K15" s="1181"/>
      <c r="L15" s="1181"/>
      <c r="N15" s="795"/>
      <c r="O15" s="795"/>
    </row>
    <row r="17" spans="12:12">
      <c r="L17" s="1181"/>
    </row>
    <row r="18" spans="12:12">
      <c r="L18" s="1180"/>
    </row>
  </sheetData>
  <pageMargins left="0.7" right="0.7" top="0.75" bottom="0.75" header="0.3" footer="0.3"/>
  <pageSetup paperSize="9" scale="50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"/>
  <sheetViews>
    <sheetView showGridLines="0" workbookViewId="0">
      <selection activeCell="E8" sqref="E8"/>
    </sheetView>
  </sheetViews>
  <sheetFormatPr defaultRowHeight="15"/>
  <cols>
    <col min="1" max="1" width="45.7109375" style="758" customWidth="1"/>
    <col min="2" max="16384" width="9.140625" style="758"/>
  </cols>
  <sheetData>
    <row r="1" spans="1:9">
      <c r="A1" s="906" t="s">
        <v>837</v>
      </c>
      <c r="B1" s="900"/>
      <c r="C1" s="926"/>
      <c r="D1" s="926"/>
      <c r="E1" s="926"/>
      <c r="F1" s="900"/>
    </row>
    <row r="2" spans="1:9">
      <c r="A2" s="905"/>
      <c r="B2" s="925">
        <v>2016</v>
      </c>
      <c r="C2" s="925">
        <v>2017</v>
      </c>
      <c r="D2" s="925">
        <v>2018</v>
      </c>
      <c r="E2" s="925">
        <v>2019</v>
      </c>
      <c r="F2" s="900"/>
      <c r="H2" s="109"/>
      <c r="I2" s="109"/>
    </row>
    <row r="3" spans="1:9">
      <c r="A3" s="898" t="s">
        <v>836</v>
      </c>
      <c r="B3" s="923">
        <v>-2.532926340006552</v>
      </c>
      <c r="C3" s="924">
        <v>-1.778322665899863</v>
      </c>
      <c r="D3" s="924">
        <v>-1.0033949859160498</v>
      </c>
      <c r="E3" s="924">
        <v>-0.47411636765172394</v>
      </c>
      <c r="F3" s="898"/>
      <c r="H3" s="109"/>
      <c r="I3" s="109"/>
    </row>
    <row r="4" spans="1:9">
      <c r="A4" s="898" t="s">
        <v>835</v>
      </c>
      <c r="B4" s="923">
        <v>-1.9701542731426385</v>
      </c>
      <c r="C4" s="923">
        <v>-1.2900156287434239</v>
      </c>
      <c r="D4" s="923">
        <v>-0.44000603043587133</v>
      </c>
      <c r="E4" s="923">
        <v>0.15997019435169882</v>
      </c>
      <c r="F4" s="898"/>
      <c r="H4" s="109"/>
      <c r="I4" s="109"/>
    </row>
    <row r="5" spans="1:9">
      <c r="A5" s="904" t="s">
        <v>834</v>
      </c>
      <c r="B5" s="922">
        <f>B4-B3</f>
        <v>0.56277206686391357</v>
      </c>
      <c r="C5" s="922">
        <f>C4-C3</f>
        <v>0.48830703715643908</v>
      </c>
      <c r="D5" s="922">
        <f>D4-D3</f>
        <v>0.56338895548017853</v>
      </c>
      <c r="E5" s="922">
        <f>E4-E3</f>
        <v>0.63408656200342273</v>
      </c>
      <c r="F5" s="898"/>
      <c r="H5" s="595"/>
      <c r="I5" s="595"/>
    </row>
    <row r="6" spans="1:9">
      <c r="A6" s="921" t="s">
        <v>833</v>
      </c>
      <c r="B6" s="877">
        <v>0.61468204853108821</v>
      </c>
      <c r="C6" s="877">
        <v>0.26509707146382588</v>
      </c>
      <c r="D6" s="877">
        <v>0.36227293958076373</v>
      </c>
      <c r="E6" s="877">
        <v>0.15640510202201463</v>
      </c>
      <c r="F6" s="898"/>
      <c r="H6" s="595"/>
      <c r="I6" s="595"/>
    </row>
    <row r="7" spans="1:9" ht="23.25" customHeight="1">
      <c r="A7" s="1704" t="s">
        <v>832</v>
      </c>
      <c r="B7" s="1704"/>
      <c r="C7" s="1704"/>
      <c r="D7" s="1704"/>
      <c r="E7" s="1704"/>
      <c r="F7" s="898"/>
    </row>
    <row r="8" spans="1:9">
      <c r="A8" s="898"/>
      <c r="B8" s="898"/>
      <c r="C8" s="898"/>
      <c r="D8" s="898"/>
      <c r="E8" s="898"/>
      <c r="F8" s="898"/>
    </row>
    <row r="9" spans="1:9">
      <c r="A9" s="898"/>
      <c r="B9" s="898"/>
      <c r="C9" s="898"/>
      <c r="D9" s="898"/>
      <c r="E9" s="898"/>
      <c r="F9" s="898"/>
    </row>
  </sheetData>
  <mergeCells count="1">
    <mergeCell ref="A7:E7"/>
  </mergeCells>
  <pageMargins left="0.7" right="0.7" top="0.75" bottom="0.75" header="0.3" footer="0.3"/>
  <pageSetup paperSize="9" orientation="portrait" verticalDpi="0" r:id="rId1"/>
  <drawing r:id="rId2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B47"/>
  <sheetViews>
    <sheetView showGridLines="0" zoomScaleNormal="100" workbookViewId="0">
      <selection activeCell="B9" sqref="B9"/>
    </sheetView>
  </sheetViews>
  <sheetFormatPr defaultColWidth="7.7109375" defaultRowHeight="12" customHeight="1"/>
  <cols>
    <col min="1" max="1" width="63.85546875" style="536" bestFit="1" customWidth="1"/>
    <col min="2" max="3" width="7.7109375" style="536"/>
    <col min="4" max="4" width="7.85546875" style="536" customWidth="1"/>
    <col min="5" max="15" width="7.7109375" style="536"/>
    <col min="16" max="16" width="7.85546875" style="536" customWidth="1"/>
    <col min="17" max="25" width="7.7109375" style="536"/>
    <col min="26" max="26" width="7.85546875" style="536" customWidth="1"/>
    <col min="27" max="16384" width="7.7109375" style="536"/>
  </cols>
  <sheetData>
    <row r="1" spans="1:106" s="532" customFormat="1" ht="12" customHeight="1">
      <c r="A1" s="552" t="s">
        <v>560</v>
      </c>
      <c r="B1" s="553">
        <v>39448</v>
      </c>
      <c r="C1" s="553">
        <v>39479</v>
      </c>
      <c r="D1" s="553">
        <v>39508</v>
      </c>
      <c r="E1" s="553">
        <v>39539</v>
      </c>
      <c r="F1" s="553">
        <v>39569</v>
      </c>
      <c r="G1" s="553">
        <v>39600</v>
      </c>
      <c r="H1" s="553">
        <v>39630</v>
      </c>
      <c r="I1" s="553">
        <v>39661</v>
      </c>
      <c r="J1" s="553">
        <v>39692</v>
      </c>
      <c r="K1" s="553">
        <v>39722</v>
      </c>
      <c r="L1" s="553">
        <v>39753</v>
      </c>
      <c r="M1" s="553">
        <v>39783</v>
      </c>
      <c r="N1" s="553">
        <v>39814</v>
      </c>
      <c r="O1" s="553">
        <v>39845</v>
      </c>
      <c r="P1" s="553">
        <v>39873</v>
      </c>
      <c r="Q1" s="553">
        <v>39904</v>
      </c>
      <c r="R1" s="553">
        <v>39934</v>
      </c>
      <c r="S1" s="553">
        <v>39965</v>
      </c>
      <c r="T1" s="553">
        <v>39995</v>
      </c>
      <c r="U1" s="553">
        <v>40026</v>
      </c>
      <c r="V1" s="553">
        <v>40057</v>
      </c>
      <c r="W1" s="553">
        <v>40087</v>
      </c>
      <c r="X1" s="553">
        <v>40118</v>
      </c>
      <c r="Y1" s="553">
        <v>40148</v>
      </c>
      <c r="Z1" s="553">
        <v>40179</v>
      </c>
      <c r="AA1" s="553">
        <v>40210</v>
      </c>
      <c r="AB1" s="553">
        <v>40238</v>
      </c>
      <c r="AC1" s="553">
        <v>40269</v>
      </c>
      <c r="AD1" s="553">
        <v>40299</v>
      </c>
      <c r="AE1" s="553">
        <v>40330</v>
      </c>
      <c r="AF1" s="553">
        <v>40360</v>
      </c>
      <c r="AG1" s="553">
        <v>40391</v>
      </c>
      <c r="AH1" s="553">
        <v>40422</v>
      </c>
      <c r="AI1" s="553">
        <v>40452</v>
      </c>
      <c r="AJ1" s="553">
        <v>40483</v>
      </c>
      <c r="AK1" s="553">
        <v>40513</v>
      </c>
      <c r="AL1" s="553">
        <v>40544</v>
      </c>
      <c r="AM1" s="553">
        <v>40575</v>
      </c>
      <c r="AN1" s="553">
        <v>40603</v>
      </c>
      <c r="AO1" s="553">
        <v>40634</v>
      </c>
      <c r="AP1" s="553">
        <v>40664</v>
      </c>
      <c r="AQ1" s="553">
        <v>40695</v>
      </c>
      <c r="AR1" s="553">
        <v>40725</v>
      </c>
      <c r="AS1" s="553">
        <v>40756</v>
      </c>
      <c r="AT1" s="553">
        <v>40787</v>
      </c>
      <c r="AU1" s="553">
        <v>40817</v>
      </c>
      <c r="AV1" s="553">
        <v>40848</v>
      </c>
      <c r="AW1" s="553">
        <v>40878</v>
      </c>
      <c r="AX1" s="553">
        <v>40909</v>
      </c>
      <c r="AY1" s="553">
        <v>40940</v>
      </c>
      <c r="AZ1" s="553">
        <v>40969</v>
      </c>
      <c r="BA1" s="553">
        <v>41000</v>
      </c>
      <c r="BB1" s="553">
        <v>41030</v>
      </c>
      <c r="BC1" s="553">
        <v>41061</v>
      </c>
      <c r="BD1" s="553">
        <v>41091</v>
      </c>
      <c r="BE1" s="553">
        <v>41122</v>
      </c>
      <c r="BF1" s="553">
        <v>41153</v>
      </c>
      <c r="BG1" s="553">
        <v>41183</v>
      </c>
      <c r="BH1" s="553">
        <v>41214</v>
      </c>
      <c r="BI1" s="553">
        <v>41244</v>
      </c>
      <c r="BJ1" s="553">
        <v>41275</v>
      </c>
      <c r="BK1" s="553">
        <v>41306</v>
      </c>
      <c r="BL1" s="553">
        <v>41334</v>
      </c>
      <c r="BM1" s="553">
        <v>41365</v>
      </c>
      <c r="BN1" s="553">
        <v>41395</v>
      </c>
      <c r="BO1" s="553">
        <v>41426</v>
      </c>
      <c r="BP1" s="553">
        <v>41456</v>
      </c>
      <c r="BQ1" s="553">
        <v>41487</v>
      </c>
      <c r="BR1" s="553">
        <v>41518</v>
      </c>
      <c r="BS1" s="553">
        <v>41548</v>
      </c>
      <c r="BT1" s="553">
        <v>41579</v>
      </c>
      <c r="BU1" s="553">
        <v>41609</v>
      </c>
      <c r="BV1" s="553">
        <v>41640</v>
      </c>
      <c r="BW1" s="553">
        <v>41671</v>
      </c>
      <c r="BX1" s="553">
        <v>41699</v>
      </c>
      <c r="BY1" s="553">
        <v>41730</v>
      </c>
      <c r="BZ1" s="553">
        <v>41760</v>
      </c>
      <c r="CA1" s="553">
        <v>41791</v>
      </c>
      <c r="CB1" s="553">
        <v>41821</v>
      </c>
      <c r="CC1" s="553">
        <v>41852</v>
      </c>
      <c r="CD1" s="553">
        <v>41883</v>
      </c>
      <c r="CE1" s="553">
        <v>41913</v>
      </c>
      <c r="CF1" s="553">
        <v>41944</v>
      </c>
      <c r="CG1" s="553">
        <v>41974</v>
      </c>
      <c r="CH1" s="553">
        <v>42005</v>
      </c>
      <c r="CI1" s="553">
        <v>42036</v>
      </c>
      <c r="CJ1" s="553">
        <v>42064</v>
      </c>
      <c r="CK1" s="553">
        <v>42095</v>
      </c>
      <c r="CL1" s="553">
        <v>42125</v>
      </c>
      <c r="CM1" s="553">
        <v>42156</v>
      </c>
      <c r="CN1" s="553">
        <v>42186</v>
      </c>
      <c r="CO1" s="553">
        <v>42217</v>
      </c>
      <c r="CP1" s="553">
        <v>42248</v>
      </c>
      <c r="CQ1" s="553">
        <v>42278</v>
      </c>
      <c r="CR1" s="553">
        <v>42309</v>
      </c>
      <c r="CS1" s="553">
        <v>42339</v>
      </c>
      <c r="CT1" s="553">
        <v>42370</v>
      </c>
      <c r="CU1" s="553">
        <v>42401</v>
      </c>
      <c r="CV1" s="553">
        <v>42430</v>
      </c>
      <c r="CW1" s="553">
        <v>42461</v>
      </c>
      <c r="CX1" s="553">
        <v>42491</v>
      </c>
      <c r="CY1" s="553">
        <v>42522</v>
      </c>
      <c r="CZ1" s="553">
        <v>42552</v>
      </c>
      <c r="DA1" s="553">
        <v>42583</v>
      </c>
      <c r="DB1" s="553">
        <v>42614</v>
      </c>
    </row>
    <row r="2" spans="1:106" s="522" customFormat="1" ht="12" customHeight="1">
      <c r="A2" s="537" t="s">
        <v>553</v>
      </c>
      <c r="B2" s="538">
        <v>113378</v>
      </c>
      <c r="C2" s="538">
        <v>113767</v>
      </c>
      <c r="D2" s="538">
        <v>113298</v>
      </c>
      <c r="E2" s="538">
        <v>112151</v>
      </c>
      <c r="F2" s="538">
        <v>110395</v>
      </c>
      <c r="G2" s="538">
        <v>108557</v>
      </c>
      <c r="H2" s="538">
        <v>106343</v>
      </c>
      <c r="I2" s="538">
        <v>94722</v>
      </c>
      <c r="J2" s="538">
        <v>96407</v>
      </c>
      <c r="K2" s="538">
        <v>96359</v>
      </c>
      <c r="L2" s="538">
        <v>96851</v>
      </c>
      <c r="M2" s="538">
        <v>97557</v>
      </c>
      <c r="N2" s="538">
        <v>100201</v>
      </c>
      <c r="O2" s="538">
        <v>89443</v>
      </c>
      <c r="P2" s="538">
        <v>95518</v>
      </c>
      <c r="Q2" s="538">
        <v>99042</v>
      </c>
      <c r="R2" s="538">
        <v>100596</v>
      </c>
      <c r="S2" s="538">
        <v>101827</v>
      </c>
      <c r="T2" s="538">
        <v>103542</v>
      </c>
      <c r="U2" s="538">
        <v>105153</v>
      </c>
      <c r="V2" s="538">
        <v>106785</v>
      </c>
      <c r="W2" s="538">
        <v>107113</v>
      </c>
      <c r="X2" s="538">
        <v>108998</v>
      </c>
      <c r="Y2" s="538">
        <v>111651</v>
      </c>
      <c r="Z2" s="538">
        <v>113058</v>
      </c>
      <c r="AA2" s="538">
        <v>113175</v>
      </c>
      <c r="AB2" s="538">
        <v>117507</v>
      </c>
      <c r="AC2" s="538">
        <v>119447</v>
      </c>
      <c r="AD2" s="538">
        <v>119292</v>
      </c>
      <c r="AE2" s="538">
        <v>118532</v>
      </c>
      <c r="AF2" s="538">
        <v>118278</v>
      </c>
      <c r="AG2" s="538">
        <v>118383</v>
      </c>
      <c r="AH2" s="538">
        <v>118865</v>
      </c>
      <c r="AI2" s="538">
        <v>118366</v>
      </c>
      <c r="AJ2" s="538">
        <v>117672</v>
      </c>
      <c r="AK2" s="538">
        <v>117640</v>
      </c>
      <c r="AL2" s="538">
        <v>117017</v>
      </c>
      <c r="AM2" s="538">
        <v>114626</v>
      </c>
      <c r="AN2" s="538">
        <v>116985</v>
      </c>
      <c r="AO2" s="538">
        <v>117948</v>
      </c>
      <c r="AP2" s="538">
        <v>117205</v>
      </c>
      <c r="AQ2" s="538">
        <v>116372</v>
      </c>
      <c r="AR2" s="538">
        <v>115939</v>
      </c>
      <c r="AS2" s="538">
        <v>116390</v>
      </c>
      <c r="AT2" s="538">
        <v>116654</v>
      </c>
      <c r="AU2" s="538">
        <v>116245</v>
      </c>
      <c r="AV2" s="538">
        <v>115601</v>
      </c>
      <c r="AW2" s="538">
        <v>115932</v>
      </c>
      <c r="AX2" s="538">
        <v>116177</v>
      </c>
      <c r="AY2" s="538">
        <v>112535</v>
      </c>
      <c r="AZ2" s="538">
        <v>115441</v>
      </c>
      <c r="BA2" s="538">
        <v>116005</v>
      </c>
      <c r="BB2" s="538">
        <v>114779</v>
      </c>
      <c r="BC2" s="538">
        <v>114002</v>
      </c>
      <c r="BD2" s="538">
        <v>113457</v>
      </c>
      <c r="BE2" s="538">
        <v>113807</v>
      </c>
      <c r="BF2" s="538">
        <v>113980</v>
      </c>
      <c r="BG2" s="538">
        <v>114020</v>
      </c>
      <c r="BH2" s="538">
        <v>114018</v>
      </c>
      <c r="BI2" s="538">
        <v>115311</v>
      </c>
      <c r="BJ2" s="538">
        <v>115742</v>
      </c>
      <c r="BK2" s="538">
        <v>112602</v>
      </c>
      <c r="BL2" s="538">
        <v>115869</v>
      </c>
      <c r="BM2" s="538">
        <v>117216</v>
      </c>
      <c r="BN2" s="538">
        <v>116960</v>
      </c>
      <c r="BO2" s="538">
        <v>116226</v>
      </c>
      <c r="BP2" s="538">
        <v>116181</v>
      </c>
      <c r="BQ2" s="538">
        <v>116633</v>
      </c>
      <c r="BR2" s="538">
        <v>116739</v>
      </c>
      <c r="BS2" s="538">
        <v>116413</v>
      </c>
      <c r="BT2" s="538">
        <v>115487</v>
      </c>
      <c r="BU2" s="538">
        <v>115209</v>
      </c>
      <c r="BV2" s="538">
        <v>114454</v>
      </c>
      <c r="BW2" s="538">
        <v>106864</v>
      </c>
      <c r="BX2" s="538">
        <v>107950</v>
      </c>
      <c r="BY2" s="538">
        <v>107683</v>
      </c>
      <c r="BZ2" s="538">
        <v>106062</v>
      </c>
      <c r="CA2" s="538">
        <v>104269</v>
      </c>
      <c r="CB2" s="538">
        <v>101920</v>
      </c>
      <c r="CC2" s="538">
        <v>96697</v>
      </c>
      <c r="CD2" s="538">
        <v>93165</v>
      </c>
      <c r="CE2" s="538">
        <v>90699</v>
      </c>
      <c r="CF2" s="538">
        <v>88493</v>
      </c>
      <c r="CG2" s="538">
        <v>87471</v>
      </c>
      <c r="CH2" s="538">
        <v>86585</v>
      </c>
      <c r="CI2" s="538">
        <v>82516</v>
      </c>
      <c r="CJ2" s="538">
        <v>82439</v>
      </c>
      <c r="CK2" s="538">
        <v>81359</v>
      </c>
      <c r="CL2" s="538">
        <v>79043</v>
      </c>
      <c r="CM2" s="538">
        <v>75363</v>
      </c>
      <c r="CN2" s="538">
        <v>72987</v>
      </c>
      <c r="CO2" s="538">
        <v>71051</v>
      </c>
      <c r="CP2" s="538">
        <v>69667</v>
      </c>
      <c r="CQ2" s="538">
        <v>68609</v>
      </c>
      <c r="CR2" s="538">
        <v>66288</v>
      </c>
      <c r="CS2" s="538">
        <v>67056</v>
      </c>
      <c r="CT2" s="538">
        <v>66219</v>
      </c>
      <c r="CU2" s="538">
        <v>65239</v>
      </c>
      <c r="CV2" s="538">
        <v>64992</v>
      </c>
      <c r="CW2" s="538">
        <v>63862</v>
      </c>
      <c r="CX2" s="538">
        <v>62140</v>
      </c>
      <c r="CY2" s="538">
        <v>60518</v>
      </c>
      <c r="CZ2" s="538">
        <v>58961</v>
      </c>
      <c r="DA2" s="538">
        <v>57474</v>
      </c>
      <c r="DB2" s="538">
        <v>56754</v>
      </c>
    </row>
    <row r="3" spans="1:106" s="522" customFormat="1" ht="12" customHeight="1">
      <c r="A3" s="533" t="s">
        <v>554</v>
      </c>
      <c r="B3" s="534">
        <v>17449</v>
      </c>
      <c r="C3" s="534">
        <v>17311</v>
      </c>
      <c r="D3" s="534">
        <v>17140</v>
      </c>
      <c r="E3" s="534">
        <v>16902</v>
      </c>
      <c r="F3" s="534">
        <v>16692</v>
      </c>
      <c r="G3" s="534">
        <v>16321</v>
      </c>
      <c r="H3" s="534">
        <v>15804</v>
      </c>
      <c r="I3" s="534">
        <v>15189</v>
      </c>
      <c r="J3" s="534">
        <v>14966</v>
      </c>
      <c r="K3" s="534">
        <v>14834</v>
      </c>
      <c r="L3" s="534">
        <v>14825</v>
      </c>
      <c r="M3" s="534">
        <v>14957</v>
      </c>
      <c r="N3" s="534">
        <v>15330</v>
      </c>
      <c r="O3" s="534">
        <v>15722</v>
      </c>
      <c r="P3" s="534">
        <v>16316</v>
      </c>
      <c r="Q3" s="534">
        <v>16778</v>
      </c>
      <c r="R3" s="534">
        <v>17123</v>
      </c>
      <c r="S3" s="534">
        <v>17442</v>
      </c>
      <c r="T3" s="534">
        <v>17607</v>
      </c>
      <c r="U3" s="534">
        <v>17781</v>
      </c>
      <c r="V3" s="534">
        <v>18124</v>
      </c>
      <c r="W3" s="534">
        <v>18293</v>
      </c>
      <c r="X3" s="534">
        <v>18559</v>
      </c>
      <c r="Y3" s="534">
        <v>19051</v>
      </c>
      <c r="Z3" s="534">
        <v>19145</v>
      </c>
      <c r="AA3" s="534">
        <v>19462</v>
      </c>
      <c r="AB3" s="534">
        <v>19915</v>
      </c>
      <c r="AC3" s="534">
        <v>20244</v>
      </c>
      <c r="AD3" s="534">
        <v>20324</v>
      </c>
      <c r="AE3" s="534">
        <v>20234</v>
      </c>
      <c r="AF3" s="534">
        <v>20147</v>
      </c>
      <c r="AG3" s="534">
        <v>19989</v>
      </c>
      <c r="AH3" s="534">
        <v>20110</v>
      </c>
      <c r="AI3" s="534">
        <v>20189</v>
      </c>
      <c r="AJ3" s="534">
        <v>20177</v>
      </c>
      <c r="AK3" s="534">
        <v>20216</v>
      </c>
      <c r="AL3" s="534">
        <v>20063</v>
      </c>
      <c r="AM3" s="534">
        <v>20129</v>
      </c>
      <c r="AN3" s="534">
        <v>20244</v>
      </c>
      <c r="AO3" s="534">
        <v>20382</v>
      </c>
      <c r="AP3" s="534">
        <v>20243</v>
      </c>
      <c r="AQ3" s="534">
        <v>20168</v>
      </c>
      <c r="AR3" s="534">
        <v>20047</v>
      </c>
      <c r="AS3" s="534">
        <v>20009</v>
      </c>
      <c r="AT3" s="534">
        <v>20060</v>
      </c>
      <c r="AU3" s="534">
        <v>19997</v>
      </c>
      <c r="AV3" s="534">
        <v>19952</v>
      </c>
      <c r="AW3" s="534">
        <v>20101</v>
      </c>
      <c r="AX3" s="534">
        <v>19992</v>
      </c>
      <c r="AY3" s="534">
        <v>20057</v>
      </c>
      <c r="AZ3" s="534">
        <v>20279</v>
      </c>
      <c r="BA3" s="534">
        <v>20271</v>
      </c>
      <c r="BB3" s="534">
        <v>20116</v>
      </c>
      <c r="BC3" s="534">
        <v>20015</v>
      </c>
      <c r="BD3" s="534">
        <v>19826</v>
      </c>
      <c r="BE3" s="534">
        <v>19735</v>
      </c>
      <c r="BF3" s="534">
        <v>19719</v>
      </c>
      <c r="BG3" s="534">
        <v>19738</v>
      </c>
      <c r="BH3" s="534">
        <v>19770</v>
      </c>
      <c r="BI3" s="534">
        <v>19945</v>
      </c>
      <c r="BJ3" s="534">
        <v>19895</v>
      </c>
      <c r="BK3" s="534">
        <v>19960</v>
      </c>
      <c r="BL3" s="534">
        <v>20204</v>
      </c>
      <c r="BM3" s="534">
        <v>20455</v>
      </c>
      <c r="BN3" s="534">
        <v>20477</v>
      </c>
      <c r="BO3" s="534">
        <v>20511</v>
      </c>
      <c r="BP3" s="534">
        <v>20440</v>
      </c>
      <c r="BQ3" s="534">
        <v>20380</v>
      </c>
      <c r="BR3" s="534">
        <v>20400</v>
      </c>
      <c r="BS3" s="534">
        <v>20270</v>
      </c>
      <c r="BT3" s="534">
        <v>20175</v>
      </c>
      <c r="BU3" s="534">
        <v>20231</v>
      </c>
      <c r="BV3" s="534">
        <v>20112</v>
      </c>
      <c r="BW3" s="534">
        <v>19751</v>
      </c>
      <c r="BX3" s="534">
        <v>19821</v>
      </c>
      <c r="BY3" s="534">
        <v>19702</v>
      </c>
      <c r="BZ3" s="534">
        <v>19414</v>
      </c>
      <c r="CA3" s="534">
        <v>19153</v>
      </c>
      <c r="CB3" s="534">
        <v>18791</v>
      </c>
      <c r="CC3" s="534">
        <v>18107</v>
      </c>
      <c r="CD3" s="534">
        <v>17723</v>
      </c>
      <c r="CE3" s="534">
        <v>17468</v>
      </c>
      <c r="CF3" s="534">
        <v>17144</v>
      </c>
      <c r="CG3" s="534">
        <v>17074</v>
      </c>
      <c r="CH3" s="534">
        <v>16878</v>
      </c>
      <c r="CI3" s="534">
        <v>16750</v>
      </c>
      <c r="CJ3" s="534">
        <v>16729</v>
      </c>
      <c r="CK3" s="534">
        <v>16571</v>
      </c>
      <c r="CL3" s="534">
        <v>16238</v>
      </c>
      <c r="CM3" s="534">
        <v>15835</v>
      </c>
      <c r="CN3" s="534">
        <v>15451</v>
      </c>
      <c r="CO3" s="534">
        <v>15210</v>
      </c>
      <c r="CP3" s="534">
        <v>15045</v>
      </c>
      <c r="CQ3" s="534">
        <v>14836</v>
      </c>
      <c r="CR3" s="534">
        <v>14554</v>
      </c>
      <c r="CS3" s="534">
        <v>14607</v>
      </c>
      <c r="CT3" s="534">
        <v>14344</v>
      </c>
      <c r="CU3" s="534">
        <v>14110</v>
      </c>
      <c r="CV3" s="534">
        <v>14105</v>
      </c>
      <c r="CW3" s="534">
        <v>13934</v>
      </c>
      <c r="CX3" s="534">
        <v>13687</v>
      </c>
      <c r="CY3" s="534">
        <v>13492</v>
      </c>
      <c r="CZ3" s="534">
        <v>13196</v>
      </c>
      <c r="DA3" s="534">
        <v>12909</v>
      </c>
      <c r="DB3" s="534">
        <v>12734</v>
      </c>
    </row>
    <row r="4" spans="1:106" s="522" customFormat="1" ht="12" customHeight="1">
      <c r="A4" s="533" t="s">
        <v>555</v>
      </c>
      <c r="B4" s="534">
        <v>371</v>
      </c>
      <c r="C4" s="534">
        <v>377</v>
      </c>
      <c r="D4" s="534">
        <v>381</v>
      </c>
      <c r="E4" s="534">
        <v>369</v>
      </c>
      <c r="F4" s="534">
        <v>364</v>
      </c>
      <c r="G4" s="534">
        <v>351</v>
      </c>
      <c r="H4" s="534">
        <v>344</v>
      </c>
      <c r="I4" s="534">
        <v>327</v>
      </c>
      <c r="J4" s="534">
        <v>305</v>
      </c>
      <c r="K4" s="534">
        <v>297</v>
      </c>
      <c r="L4" s="534">
        <v>303</v>
      </c>
      <c r="M4" s="534">
        <v>314</v>
      </c>
      <c r="N4" s="534">
        <v>314</v>
      </c>
      <c r="O4" s="534">
        <v>312</v>
      </c>
      <c r="P4" s="534">
        <v>344</v>
      </c>
      <c r="Q4" s="534">
        <v>359</v>
      </c>
      <c r="R4" s="534">
        <v>380</v>
      </c>
      <c r="S4" s="534">
        <v>398</v>
      </c>
      <c r="T4" s="534">
        <v>388</v>
      </c>
      <c r="U4" s="534">
        <v>389</v>
      </c>
      <c r="V4" s="534">
        <v>386</v>
      </c>
      <c r="W4" s="534">
        <v>397</v>
      </c>
      <c r="X4" s="534">
        <v>403</v>
      </c>
      <c r="Y4" s="534">
        <v>417</v>
      </c>
      <c r="Z4" s="534">
        <v>433</v>
      </c>
      <c r="AA4" s="534">
        <v>432</v>
      </c>
      <c r="AB4" s="534">
        <v>447</v>
      </c>
      <c r="AC4" s="534">
        <v>444</v>
      </c>
      <c r="AD4" s="534">
        <v>448</v>
      </c>
      <c r="AE4" s="534">
        <v>445</v>
      </c>
      <c r="AF4" s="534">
        <v>443</v>
      </c>
      <c r="AG4" s="534">
        <v>436</v>
      </c>
      <c r="AH4" s="534">
        <v>449</v>
      </c>
      <c r="AI4" s="534">
        <v>459</v>
      </c>
      <c r="AJ4" s="534">
        <v>438</v>
      </c>
      <c r="AK4" s="534">
        <v>464</v>
      </c>
      <c r="AL4" s="534">
        <v>461</v>
      </c>
      <c r="AM4" s="534">
        <v>442</v>
      </c>
      <c r="AN4" s="534">
        <v>409</v>
      </c>
      <c r="AO4" s="534">
        <v>414</v>
      </c>
      <c r="AP4" s="534">
        <v>402</v>
      </c>
      <c r="AQ4" s="534">
        <v>402</v>
      </c>
      <c r="AR4" s="534">
        <v>405</v>
      </c>
      <c r="AS4" s="534">
        <v>399</v>
      </c>
      <c r="AT4" s="534">
        <v>417</v>
      </c>
      <c r="AU4" s="534">
        <v>410</v>
      </c>
      <c r="AV4" s="534">
        <v>400</v>
      </c>
      <c r="AW4" s="534">
        <v>412</v>
      </c>
      <c r="AX4" s="534">
        <v>402</v>
      </c>
      <c r="AY4" s="534">
        <v>383</v>
      </c>
      <c r="AZ4" s="534">
        <v>397</v>
      </c>
      <c r="BA4" s="534">
        <v>393</v>
      </c>
      <c r="BB4" s="534">
        <v>384</v>
      </c>
      <c r="BC4" s="534">
        <v>385</v>
      </c>
      <c r="BD4" s="534">
        <v>387</v>
      </c>
      <c r="BE4" s="534">
        <v>389</v>
      </c>
      <c r="BF4" s="534">
        <v>378</v>
      </c>
      <c r="BG4" s="534">
        <v>371</v>
      </c>
      <c r="BH4" s="534">
        <v>374</v>
      </c>
      <c r="BI4" s="534">
        <v>384</v>
      </c>
      <c r="BJ4" s="534">
        <v>379</v>
      </c>
      <c r="BK4" s="534">
        <v>381</v>
      </c>
      <c r="BL4" s="534">
        <v>384</v>
      </c>
      <c r="BM4" s="534">
        <v>396</v>
      </c>
      <c r="BN4" s="534">
        <v>410</v>
      </c>
      <c r="BO4" s="534">
        <v>409</v>
      </c>
      <c r="BP4" s="534">
        <v>420</v>
      </c>
      <c r="BQ4" s="534">
        <v>429</v>
      </c>
      <c r="BR4" s="534">
        <v>426</v>
      </c>
      <c r="BS4" s="534">
        <v>422</v>
      </c>
      <c r="BT4" s="534">
        <v>431</v>
      </c>
      <c r="BU4" s="534">
        <v>446</v>
      </c>
      <c r="BV4" s="534">
        <v>443</v>
      </c>
      <c r="BW4" s="534">
        <v>427</v>
      </c>
      <c r="BX4" s="534">
        <v>442</v>
      </c>
      <c r="BY4" s="534">
        <v>446</v>
      </c>
      <c r="BZ4" s="534">
        <v>444</v>
      </c>
      <c r="CA4" s="534">
        <v>438</v>
      </c>
      <c r="CB4" s="534">
        <v>423</v>
      </c>
      <c r="CC4" s="534">
        <v>422</v>
      </c>
      <c r="CD4" s="534">
        <v>430</v>
      </c>
      <c r="CE4" s="534">
        <v>420</v>
      </c>
      <c r="CF4" s="534">
        <v>415</v>
      </c>
      <c r="CG4" s="534">
        <v>423</v>
      </c>
      <c r="CH4" s="534">
        <v>419</v>
      </c>
      <c r="CI4" s="534">
        <v>419</v>
      </c>
      <c r="CJ4" s="534">
        <v>425</v>
      </c>
      <c r="CK4" s="534">
        <v>409</v>
      </c>
      <c r="CL4" s="534">
        <v>407</v>
      </c>
      <c r="CM4" s="534">
        <v>417</v>
      </c>
      <c r="CN4" s="534">
        <v>416</v>
      </c>
      <c r="CO4" s="534">
        <v>411</v>
      </c>
      <c r="CP4" s="534">
        <v>407</v>
      </c>
      <c r="CQ4" s="534">
        <v>398</v>
      </c>
      <c r="CR4" s="534">
        <v>383</v>
      </c>
      <c r="CS4" s="534">
        <v>383</v>
      </c>
      <c r="CT4" s="534">
        <v>380</v>
      </c>
      <c r="CU4" s="534">
        <v>366</v>
      </c>
      <c r="CV4" s="534">
        <v>383</v>
      </c>
      <c r="CW4" s="534">
        <v>377</v>
      </c>
      <c r="CX4" s="534">
        <v>374</v>
      </c>
      <c r="CY4" s="534">
        <v>372</v>
      </c>
      <c r="CZ4" s="534">
        <v>369</v>
      </c>
      <c r="DA4" s="534">
        <v>379</v>
      </c>
      <c r="DB4" s="534">
        <v>367</v>
      </c>
    </row>
    <row r="5" spans="1:106" s="522" customFormat="1" ht="12" customHeight="1">
      <c r="A5" s="533" t="s">
        <v>556</v>
      </c>
      <c r="B5" s="534">
        <v>17284</v>
      </c>
      <c r="C5" s="534">
        <v>17183</v>
      </c>
      <c r="D5" s="534">
        <v>17049</v>
      </c>
      <c r="E5" s="534">
        <v>16903</v>
      </c>
      <c r="F5" s="534">
        <v>16731</v>
      </c>
      <c r="G5" s="534">
        <v>16486</v>
      </c>
      <c r="H5" s="534">
        <v>16196</v>
      </c>
      <c r="I5" s="534">
        <v>14670</v>
      </c>
      <c r="J5" s="534">
        <v>14995</v>
      </c>
      <c r="K5" s="534">
        <v>15049</v>
      </c>
      <c r="L5" s="534">
        <v>15126</v>
      </c>
      <c r="M5" s="534">
        <v>15070</v>
      </c>
      <c r="N5" s="534">
        <v>15220</v>
      </c>
      <c r="O5" s="534">
        <v>12427</v>
      </c>
      <c r="P5" s="534">
        <v>13226</v>
      </c>
      <c r="Q5" s="534">
        <v>13550</v>
      </c>
      <c r="R5" s="534">
        <v>13638</v>
      </c>
      <c r="S5" s="534">
        <v>13704</v>
      </c>
      <c r="T5" s="534">
        <v>13777</v>
      </c>
      <c r="U5" s="534">
        <v>13923</v>
      </c>
      <c r="V5" s="534">
        <v>14116</v>
      </c>
      <c r="W5" s="534">
        <v>14159</v>
      </c>
      <c r="X5" s="534">
        <v>14388</v>
      </c>
      <c r="Y5" s="534">
        <v>14644</v>
      </c>
      <c r="Z5" s="534">
        <v>14758</v>
      </c>
      <c r="AA5" s="534">
        <v>14621</v>
      </c>
      <c r="AB5" s="534">
        <v>15215</v>
      </c>
      <c r="AC5" s="534">
        <v>15377</v>
      </c>
      <c r="AD5" s="534">
        <v>15318</v>
      </c>
      <c r="AE5" s="534">
        <v>15248</v>
      </c>
      <c r="AF5" s="534">
        <v>15250</v>
      </c>
      <c r="AG5" s="534">
        <v>15083</v>
      </c>
      <c r="AH5" s="534">
        <v>15067</v>
      </c>
      <c r="AI5" s="534">
        <v>15100</v>
      </c>
      <c r="AJ5" s="534">
        <v>15142</v>
      </c>
      <c r="AK5" s="534">
        <v>15081</v>
      </c>
      <c r="AL5" s="534">
        <v>14890</v>
      </c>
      <c r="AM5" s="534">
        <v>14439</v>
      </c>
      <c r="AN5" s="534">
        <v>14764</v>
      </c>
      <c r="AO5" s="534">
        <v>14780</v>
      </c>
      <c r="AP5" s="534">
        <v>14685</v>
      </c>
      <c r="AQ5" s="534">
        <v>14544</v>
      </c>
      <c r="AR5" s="534">
        <v>14421</v>
      </c>
      <c r="AS5" s="534">
        <v>14414</v>
      </c>
      <c r="AT5" s="534">
        <v>14393</v>
      </c>
      <c r="AU5" s="534">
        <v>14380</v>
      </c>
      <c r="AV5" s="534">
        <v>14266</v>
      </c>
      <c r="AW5" s="534">
        <v>14268</v>
      </c>
      <c r="AX5" s="534">
        <v>14276</v>
      </c>
      <c r="AY5" s="534">
        <v>13961</v>
      </c>
      <c r="AZ5" s="534">
        <v>14235</v>
      </c>
      <c r="BA5" s="534">
        <v>14286</v>
      </c>
      <c r="BB5" s="534">
        <v>14162</v>
      </c>
      <c r="BC5" s="534">
        <v>14062</v>
      </c>
      <c r="BD5" s="534">
        <v>13919</v>
      </c>
      <c r="BE5" s="534">
        <v>13810</v>
      </c>
      <c r="BF5" s="534">
        <v>13777</v>
      </c>
      <c r="BG5" s="534">
        <v>13807</v>
      </c>
      <c r="BH5" s="534">
        <v>13825</v>
      </c>
      <c r="BI5" s="534">
        <v>13947</v>
      </c>
      <c r="BJ5" s="534">
        <v>13950</v>
      </c>
      <c r="BK5" s="534">
        <v>13348</v>
      </c>
      <c r="BL5" s="534">
        <v>13645</v>
      </c>
      <c r="BM5" s="534">
        <v>13765</v>
      </c>
      <c r="BN5" s="534">
        <v>13687</v>
      </c>
      <c r="BO5" s="534">
        <v>13615</v>
      </c>
      <c r="BP5" s="534">
        <v>13521</v>
      </c>
      <c r="BQ5" s="534">
        <v>13484</v>
      </c>
      <c r="BR5" s="534">
        <v>13420</v>
      </c>
      <c r="BS5" s="534">
        <v>13454</v>
      </c>
      <c r="BT5" s="534">
        <v>13410</v>
      </c>
      <c r="BU5" s="534">
        <v>13391</v>
      </c>
      <c r="BV5" s="534">
        <v>13307</v>
      </c>
      <c r="BW5" s="534">
        <v>12265</v>
      </c>
      <c r="BX5" s="534">
        <v>12385</v>
      </c>
      <c r="BY5" s="534">
        <v>12311</v>
      </c>
      <c r="BZ5" s="534">
        <v>12130</v>
      </c>
      <c r="CA5" s="534">
        <v>11893</v>
      </c>
      <c r="CB5" s="534">
        <v>11642</v>
      </c>
      <c r="CC5" s="534">
        <v>11242</v>
      </c>
      <c r="CD5" s="534">
        <v>11077</v>
      </c>
      <c r="CE5" s="534">
        <v>10960</v>
      </c>
      <c r="CF5" s="534">
        <v>10824</v>
      </c>
      <c r="CG5" s="534">
        <v>10766</v>
      </c>
      <c r="CH5" s="534">
        <v>10665</v>
      </c>
      <c r="CI5" s="534">
        <v>10398</v>
      </c>
      <c r="CJ5" s="534">
        <v>10431</v>
      </c>
      <c r="CK5" s="534">
        <v>10406</v>
      </c>
      <c r="CL5" s="534">
        <v>10194</v>
      </c>
      <c r="CM5" s="534">
        <v>9808</v>
      </c>
      <c r="CN5" s="534">
        <v>9591</v>
      </c>
      <c r="CO5" s="534">
        <v>9394</v>
      </c>
      <c r="CP5" s="534">
        <v>9288</v>
      </c>
      <c r="CQ5" s="534">
        <v>9236</v>
      </c>
      <c r="CR5" s="534">
        <v>9110</v>
      </c>
      <c r="CS5" s="534">
        <v>9260</v>
      </c>
      <c r="CT5" s="534">
        <v>9081</v>
      </c>
      <c r="CU5" s="534">
        <v>8767</v>
      </c>
      <c r="CV5" s="534">
        <v>8824</v>
      </c>
      <c r="CW5" s="534">
        <v>8718</v>
      </c>
      <c r="CX5" s="534">
        <v>8528</v>
      </c>
      <c r="CY5" s="534">
        <v>8304</v>
      </c>
      <c r="CZ5" s="534">
        <v>8104</v>
      </c>
      <c r="DA5" s="534">
        <v>7994</v>
      </c>
      <c r="DB5" s="534">
        <v>7933</v>
      </c>
    </row>
    <row r="6" spans="1:106" s="522" customFormat="1" ht="12" customHeight="1">
      <c r="A6" s="533" t="s">
        <v>557</v>
      </c>
      <c r="B6" s="534">
        <v>26789</v>
      </c>
      <c r="C6" s="534">
        <v>26560</v>
      </c>
      <c r="D6" s="534">
        <v>26377</v>
      </c>
      <c r="E6" s="534">
        <v>25834</v>
      </c>
      <c r="F6" s="534">
        <v>25367</v>
      </c>
      <c r="G6" s="534">
        <v>23904</v>
      </c>
      <c r="H6" s="534">
        <v>23236</v>
      </c>
      <c r="I6" s="534">
        <v>22219</v>
      </c>
      <c r="J6" s="534">
        <v>21795</v>
      </c>
      <c r="K6" s="534">
        <v>21555</v>
      </c>
      <c r="L6" s="534">
        <v>21403</v>
      </c>
      <c r="M6" s="534">
        <v>21455</v>
      </c>
      <c r="N6" s="534">
        <v>21930</v>
      </c>
      <c r="O6" s="534">
        <v>22650</v>
      </c>
      <c r="P6" s="534">
        <v>23887</v>
      </c>
      <c r="Q6" s="534">
        <v>24883</v>
      </c>
      <c r="R6" s="534">
        <v>25454</v>
      </c>
      <c r="S6" s="534">
        <v>25944</v>
      </c>
      <c r="T6" s="534">
        <v>26471</v>
      </c>
      <c r="U6" s="534">
        <v>26857</v>
      </c>
      <c r="V6" s="534">
        <v>27241</v>
      </c>
      <c r="W6" s="534">
        <v>27511</v>
      </c>
      <c r="X6" s="534">
        <v>28044</v>
      </c>
      <c r="Y6" s="534">
        <v>29059</v>
      </c>
      <c r="Z6" s="534">
        <v>29479</v>
      </c>
      <c r="AA6" s="534">
        <v>30314</v>
      </c>
      <c r="AB6" s="534">
        <v>31206</v>
      </c>
      <c r="AC6" s="534">
        <v>31754</v>
      </c>
      <c r="AD6" s="534">
        <v>31823</v>
      </c>
      <c r="AE6" s="534">
        <v>31743</v>
      </c>
      <c r="AF6" s="534">
        <v>31491</v>
      </c>
      <c r="AG6" s="534">
        <v>31256</v>
      </c>
      <c r="AH6" s="534">
        <v>31240</v>
      </c>
      <c r="AI6" s="534">
        <v>31176</v>
      </c>
      <c r="AJ6" s="534">
        <v>31224</v>
      </c>
      <c r="AK6" s="534">
        <v>31459</v>
      </c>
      <c r="AL6" s="534">
        <v>30730</v>
      </c>
      <c r="AM6" s="534">
        <v>31455</v>
      </c>
      <c r="AN6" s="534">
        <v>30836</v>
      </c>
      <c r="AO6" s="534">
        <v>30897</v>
      </c>
      <c r="AP6" s="534">
        <v>30521</v>
      </c>
      <c r="AQ6" s="534">
        <v>30199</v>
      </c>
      <c r="AR6" s="534">
        <v>29910</v>
      </c>
      <c r="AS6" s="534">
        <v>29723</v>
      </c>
      <c r="AT6" s="534">
        <v>29597</v>
      </c>
      <c r="AU6" s="534">
        <v>29402</v>
      </c>
      <c r="AV6" s="534">
        <v>29060</v>
      </c>
      <c r="AW6" s="534">
        <v>29112</v>
      </c>
      <c r="AX6" s="534">
        <v>29031</v>
      </c>
      <c r="AY6" s="534">
        <v>29197</v>
      </c>
      <c r="AZ6" s="534">
        <v>29595</v>
      </c>
      <c r="BA6" s="534">
        <v>29606</v>
      </c>
      <c r="BB6" s="534">
        <v>29339</v>
      </c>
      <c r="BC6" s="534">
        <v>29202</v>
      </c>
      <c r="BD6" s="534">
        <v>28928</v>
      </c>
      <c r="BE6" s="534">
        <v>28758</v>
      </c>
      <c r="BF6" s="534">
        <v>28543</v>
      </c>
      <c r="BG6" s="534">
        <v>28345</v>
      </c>
      <c r="BH6" s="534">
        <v>28357</v>
      </c>
      <c r="BI6" s="534">
        <v>28622</v>
      </c>
      <c r="BJ6" s="534">
        <v>28785</v>
      </c>
      <c r="BK6" s="534">
        <v>29205</v>
      </c>
      <c r="BL6" s="534">
        <v>29749</v>
      </c>
      <c r="BM6" s="534">
        <v>30053</v>
      </c>
      <c r="BN6" s="534">
        <v>29948</v>
      </c>
      <c r="BO6" s="534">
        <v>29726</v>
      </c>
      <c r="BP6" s="534">
        <v>29510</v>
      </c>
      <c r="BQ6" s="534">
        <v>29335</v>
      </c>
      <c r="BR6" s="534">
        <v>29207</v>
      </c>
      <c r="BS6" s="534">
        <v>28980</v>
      </c>
      <c r="BT6" s="534">
        <v>28931</v>
      </c>
      <c r="BU6" s="534">
        <v>28975</v>
      </c>
      <c r="BV6" s="534">
        <v>28824</v>
      </c>
      <c r="BW6" s="534">
        <v>28271</v>
      </c>
      <c r="BX6" s="534">
        <v>28393</v>
      </c>
      <c r="BY6" s="534">
        <v>28355</v>
      </c>
      <c r="BZ6" s="534">
        <v>27767</v>
      </c>
      <c r="CA6" s="534">
        <v>27164</v>
      </c>
      <c r="CB6" s="534">
        <v>26338</v>
      </c>
      <c r="CC6" s="534">
        <v>25301</v>
      </c>
      <c r="CD6" s="534">
        <v>24867</v>
      </c>
      <c r="CE6" s="534">
        <v>24574</v>
      </c>
      <c r="CF6" s="534">
        <v>24219</v>
      </c>
      <c r="CG6" s="534">
        <v>24111</v>
      </c>
      <c r="CH6" s="534">
        <v>23868</v>
      </c>
      <c r="CI6" s="534">
        <v>23826</v>
      </c>
      <c r="CJ6" s="534">
        <v>24024</v>
      </c>
      <c r="CK6" s="534">
        <v>23811</v>
      </c>
      <c r="CL6" s="534">
        <v>23181</v>
      </c>
      <c r="CM6" s="534">
        <v>22449</v>
      </c>
      <c r="CN6" s="534">
        <v>21821</v>
      </c>
      <c r="CO6" s="534">
        <v>21346</v>
      </c>
      <c r="CP6" s="534">
        <v>20886</v>
      </c>
      <c r="CQ6" s="534">
        <v>20727</v>
      </c>
      <c r="CR6" s="534">
        <v>20345</v>
      </c>
      <c r="CS6" s="534">
        <v>20503</v>
      </c>
      <c r="CT6" s="534">
        <v>20159</v>
      </c>
      <c r="CU6" s="534">
        <v>20082</v>
      </c>
      <c r="CV6" s="534">
        <v>20053</v>
      </c>
      <c r="CW6" s="534">
        <v>19809</v>
      </c>
      <c r="CX6" s="534">
        <v>19370</v>
      </c>
      <c r="CY6" s="534">
        <v>19042</v>
      </c>
      <c r="CZ6" s="534">
        <v>18534</v>
      </c>
      <c r="DA6" s="534">
        <v>18196</v>
      </c>
      <c r="DB6" s="534">
        <v>17971</v>
      </c>
    </row>
    <row r="7" spans="1:106" s="522" customFormat="1" ht="12" customHeight="1">
      <c r="A7" s="539" t="s">
        <v>558</v>
      </c>
      <c r="B7" s="540">
        <v>4784</v>
      </c>
      <c r="C7" s="540">
        <v>4787</v>
      </c>
      <c r="D7" s="540">
        <v>4748</v>
      </c>
      <c r="E7" s="540">
        <v>4675</v>
      </c>
      <c r="F7" s="540">
        <v>4576</v>
      </c>
      <c r="G7" s="540">
        <v>4461</v>
      </c>
      <c r="H7" s="540">
        <v>4350</v>
      </c>
      <c r="I7" s="540">
        <v>4212</v>
      </c>
      <c r="J7" s="540">
        <v>4147</v>
      </c>
      <c r="K7" s="540">
        <v>4069</v>
      </c>
      <c r="L7" s="540">
        <v>4072</v>
      </c>
      <c r="M7" s="540">
        <v>4163</v>
      </c>
      <c r="N7" s="540">
        <v>4251</v>
      </c>
      <c r="O7" s="540">
        <v>4391</v>
      </c>
      <c r="P7" s="540">
        <v>4583</v>
      </c>
      <c r="Q7" s="540">
        <v>4711</v>
      </c>
      <c r="R7" s="540">
        <v>4770</v>
      </c>
      <c r="S7" s="540">
        <v>4829</v>
      </c>
      <c r="T7" s="540">
        <v>4855</v>
      </c>
      <c r="U7" s="540">
        <v>4897</v>
      </c>
      <c r="V7" s="540">
        <v>4944</v>
      </c>
      <c r="W7" s="540">
        <v>4950</v>
      </c>
      <c r="X7" s="540">
        <v>5018</v>
      </c>
      <c r="Y7" s="540">
        <v>5088</v>
      </c>
      <c r="Z7" s="540">
        <v>5117</v>
      </c>
      <c r="AA7" s="540">
        <v>5234</v>
      </c>
      <c r="AB7" s="540">
        <v>5338</v>
      </c>
      <c r="AC7" s="540">
        <v>5376</v>
      </c>
      <c r="AD7" s="540">
        <v>5424</v>
      </c>
      <c r="AE7" s="540">
        <v>5436</v>
      </c>
      <c r="AF7" s="540">
        <v>5441</v>
      </c>
      <c r="AG7" s="540">
        <v>5423</v>
      </c>
      <c r="AH7" s="540">
        <v>5450</v>
      </c>
      <c r="AI7" s="540">
        <v>5472</v>
      </c>
      <c r="AJ7" s="540">
        <v>5480</v>
      </c>
      <c r="AK7" s="540">
        <v>5531</v>
      </c>
      <c r="AL7" s="540">
        <v>5518</v>
      </c>
      <c r="AM7" s="540">
        <v>5573</v>
      </c>
      <c r="AN7" s="540">
        <v>5593</v>
      </c>
      <c r="AO7" s="540">
        <v>5594</v>
      </c>
      <c r="AP7" s="540">
        <v>5581</v>
      </c>
      <c r="AQ7" s="540">
        <v>5538</v>
      </c>
      <c r="AR7" s="540">
        <v>5502</v>
      </c>
      <c r="AS7" s="540">
        <v>5485</v>
      </c>
      <c r="AT7" s="540">
        <v>5448</v>
      </c>
      <c r="AU7" s="540">
        <v>5407</v>
      </c>
      <c r="AV7" s="540">
        <v>5395</v>
      </c>
      <c r="AW7" s="540">
        <v>5428</v>
      </c>
      <c r="AX7" s="540">
        <v>5445</v>
      </c>
      <c r="AY7" s="540">
        <v>5463</v>
      </c>
      <c r="AZ7" s="540">
        <v>5498</v>
      </c>
      <c r="BA7" s="540">
        <v>5496</v>
      </c>
      <c r="BB7" s="540">
        <v>5443</v>
      </c>
      <c r="BC7" s="540">
        <v>5429</v>
      </c>
      <c r="BD7" s="540">
        <v>5353</v>
      </c>
      <c r="BE7" s="540">
        <v>5346</v>
      </c>
      <c r="BF7" s="540">
        <v>5296</v>
      </c>
      <c r="BG7" s="540">
        <v>5231</v>
      </c>
      <c r="BH7" s="540">
        <v>5232</v>
      </c>
      <c r="BI7" s="540">
        <v>5286</v>
      </c>
      <c r="BJ7" s="540">
        <v>5288</v>
      </c>
      <c r="BK7" s="540">
        <v>5331</v>
      </c>
      <c r="BL7" s="540">
        <v>5368</v>
      </c>
      <c r="BM7" s="540">
        <v>5397</v>
      </c>
      <c r="BN7" s="540">
        <v>5413</v>
      </c>
      <c r="BO7" s="540">
        <v>5399</v>
      </c>
      <c r="BP7" s="540">
        <v>5365</v>
      </c>
      <c r="BQ7" s="540">
        <v>5346</v>
      </c>
      <c r="BR7" s="540">
        <v>5337</v>
      </c>
      <c r="BS7" s="540">
        <v>5241</v>
      </c>
      <c r="BT7" s="540">
        <v>5227</v>
      </c>
      <c r="BU7" s="540">
        <v>5220</v>
      </c>
      <c r="BV7" s="540">
        <v>5205</v>
      </c>
      <c r="BW7" s="540">
        <v>5188</v>
      </c>
      <c r="BX7" s="540">
        <v>5203</v>
      </c>
      <c r="BY7" s="540">
        <v>5200</v>
      </c>
      <c r="BZ7" s="540">
        <v>5172</v>
      </c>
      <c r="CA7" s="540">
        <v>5141</v>
      </c>
      <c r="CB7" s="540">
        <v>5084</v>
      </c>
      <c r="CC7" s="540">
        <v>5000</v>
      </c>
      <c r="CD7" s="540">
        <v>4928</v>
      </c>
      <c r="CE7" s="540">
        <v>4867</v>
      </c>
      <c r="CF7" s="540">
        <v>4839</v>
      </c>
      <c r="CG7" s="540">
        <v>4872</v>
      </c>
      <c r="CH7" s="540">
        <v>4833</v>
      </c>
      <c r="CI7" s="540">
        <v>4827</v>
      </c>
      <c r="CJ7" s="540">
        <v>4832</v>
      </c>
      <c r="CK7" s="540">
        <v>4809</v>
      </c>
      <c r="CL7" s="540">
        <v>4778</v>
      </c>
      <c r="CM7" s="540">
        <v>4644</v>
      </c>
      <c r="CN7" s="540">
        <v>4548</v>
      </c>
      <c r="CO7" s="540">
        <v>4462</v>
      </c>
      <c r="CP7" s="540">
        <v>4441</v>
      </c>
      <c r="CQ7" s="540">
        <v>4398</v>
      </c>
      <c r="CR7" s="540">
        <v>4354</v>
      </c>
      <c r="CS7" s="540">
        <v>4428</v>
      </c>
      <c r="CT7" s="540">
        <v>4392</v>
      </c>
      <c r="CU7" s="540">
        <v>4387</v>
      </c>
      <c r="CV7" s="540">
        <v>4413</v>
      </c>
      <c r="CW7" s="540">
        <v>4419</v>
      </c>
      <c r="CX7" s="540">
        <v>4403</v>
      </c>
      <c r="CY7" s="540">
        <v>4352</v>
      </c>
      <c r="CZ7" s="540">
        <v>4258</v>
      </c>
      <c r="DA7" s="540">
        <v>4214</v>
      </c>
      <c r="DB7" s="540">
        <v>4200</v>
      </c>
    </row>
    <row r="8" spans="1:106" s="522" customFormat="1" ht="12" customHeight="1">
      <c r="A8" s="541" t="s">
        <v>561</v>
      </c>
    </row>
    <row r="9" spans="1:106" s="535" customFormat="1" ht="12" customHeight="1">
      <c r="B9" s="128" t="s">
        <v>559</v>
      </c>
    </row>
    <row r="10" spans="1:106" s="535" customFormat="1" ht="12" customHeight="1"/>
    <row r="11" spans="1:106" s="535" customFormat="1" ht="12" customHeight="1"/>
    <row r="12" spans="1:106" s="535" customFormat="1" ht="12" customHeight="1"/>
    <row r="13" spans="1:106" s="535" customFormat="1" ht="12" customHeight="1"/>
    <row r="14" spans="1:106" s="535" customFormat="1" ht="12" customHeight="1"/>
    <row r="15" spans="1:106" s="535" customFormat="1" ht="12" customHeight="1"/>
    <row r="16" spans="1:106" s="535" customFormat="1" ht="12" customHeight="1"/>
    <row r="17" s="535" customFormat="1" ht="12" customHeight="1"/>
    <row r="18" s="535" customFormat="1" ht="12" customHeight="1"/>
    <row r="19" s="535" customFormat="1" ht="12" customHeight="1"/>
    <row r="20" s="535" customFormat="1" ht="12" customHeight="1"/>
    <row r="21" s="535" customFormat="1" ht="12" customHeight="1"/>
    <row r="22" s="535" customFormat="1" ht="12" customHeight="1"/>
    <row r="23" s="535" customFormat="1" ht="12" customHeight="1"/>
    <row r="24" s="535" customFormat="1" ht="12" customHeight="1"/>
    <row r="25" s="535" customFormat="1" ht="12" customHeight="1"/>
    <row r="26" s="535" customFormat="1" ht="12" customHeight="1"/>
    <row r="27" s="535" customFormat="1" ht="12" customHeight="1"/>
    <row r="28" s="535" customFormat="1" ht="12" customHeight="1"/>
    <row r="29" s="535" customFormat="1" ht="12" customHeight="1"/>
    <row r="30" s="535" customFormat="1" ht="12" customHeight="1"/>
    <row r="31" s="535" customFormat="1" ht="12" customHeight="1"/>
    <row r="32" s="535" customFormat="1" ht="12" customHeight="1"/>
    <row r="33" s="535" customFormat="1" ht="12" customHeight="1"/>
    <row r="34" s="535" customFormat="1" ht="12" customHeight="1"/>
    <row r="35" s="535" customFormat="1" ht="12" customHeight="1"/>
    <row r="36" s="535" customFormat="1" ht="12" customHeight="1"/>
    <row r="37" s="535" customFormat="1" ht="12" customHeight="1"/>
    <row r="38" s="535" customFormat="1" ht="12" customHeight="1"/>
    <row r="39" s="535" customFormat="1" ht="12" customHeight="1"/>
    <row r="40" s="535" customFormat="1" ht="12" customHeight="1"/>
    <row r="41" s="535" customFormat="1" ht="12" customHeight="1"/>
    <row r="42" s="535" customFormat="1" ht="12" customHeight="1"/>
    <row r="43" s="535" customFormat="1" ht="12" customHeight="1"/>
    <row r="44" s="535" customFormat="1" ht="12" customHeight="1"/>
    <row r="45" s="535" customFormat="1" ht="12" customHeight="1"/>
    <row r="46" s="535" customFormat="1" ht="12" customHeight="1"/>
    <row r="47" s="535" customFormat="1" ht="12" customHeight="1"/>
  </sheetData>
  <pageMargins left="0.7" right="0.7" top="0.75" bottom="0.75" header="0.3" footer="0.3"/>
  <drawing r:id="rId1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4"/>
  <sheetViews>
    <sheetView showGridLines="0" zoomScaleNormal="100" workbookViewId="0">
      <selection activeCell="B12" sqref="B12"/>
    </sheetView>
  </sheetViews>
  <sheetFormatPr defaultRowHeight="12"/>
  <cols>
    <col min="1" max="3" width="19" style="544" customWidth="1"/>
    <col min="4" max="8" width="19" style="543" customWidth="1"/>
    <col min="9" max="10" width="9.140625" style="543"/>
    <col min="11" max="11" width="15" style="543" customWidth="1"/>
    <col min="12" max="12" width="20" style="543" customWidth="1"/>
    <col min="13" max="16384" width="9.140625" style="543"/>
  </cols>
  <sheetData>
    <row r="1" spans="1:3">
      <c r="A1" s="554" t="s">
        <v>563</v>
      </c>
      <c r="B1" s="554" t="s">
        <v>17</v>
      </c>
      <c r="C1" s="554" t="s">
        <v>564</v>
      </c>
    </row>
    <row r="2" spans="1:3">
      <c r="A2" s="548">
        <v>2013</v>
      </c>
      <c r="B2" s="546">
        <v>273.64387110020544</v>
      </c>
      <c r="C2" s="546">
        <v>273.64387110020544</v>
      </c>
    </row>
    <row r="3" spans="1:3">
      <c r="A3" s="549">
        <v>2014</v>
      </c>
      <c r="B3" s="545">
        <v>244.45679572894284</v>
      </c>
      <c r="C3" s="545">
        <v>244.45679572894284</v>
      </c>
    </row>
    <row r="4" spans="1:3">
      <c r="A4" s="549">
        <v>2015</v>
      </c>
      <c r="B4" s="545">
        <v>213.18110151806641</v>
      </c>
      <c r="C4" s="545">
        <v>213.18110151806641</v>
      </c>
    </row>
    <row r="5" spans="1:3">
      <c r="A5" s="550" t="s">
        <v>114</v>
      </c>
      <c r="B5" s="545">
        <v>184.02288997606999</v>
      </c>
      <c r="C5" s="545">
        <v>193.920061</v>
      </c>
    </row>
    <row r="6" spans="1:3">
      <c r="A6" s="550" t="s">
        <v>221</v>
      </c>
      <c r="B6" s="545">
        <v>174.79479343048001</v>
      </c>
      <c r="C6" s="545">
        <v>197.39037300000001</v>
      </c>
    </row>
    <row r="7" spans="1:3">
      <c r="A7" s="550" t="s">
        <v>222</v>
      </c>
      <c r="B7" s="545">
        <v>174.79479343048001</v>
      </c>
      <c r="C7" s="545">
        <v>188.61853300000001</v>
      </c>
    </row>
    <row r="8" spans="1:3">
      <c r="A8" s="551" t="s">
        <v>223</v>
      </c>
      <c r="B8" s="547">
        <v>174.79479343048001</v>
      </c>
      <c r="C8" s="547">
        <v>185.05202299999999</v>
      </c>
    </row>
    <row r="12" spans="1:3" ht="12.75">
      <c r="B12" s="128" t="s">
        <v>415</v>
      </c>
    </row>
    <row r="14" spans="1:3" ht="12.75">
      <c r="B14" s="128"/>
    </row>
  </sheetData>
  <pageMargins left="0.7" right="0.7" top="0.75" bottom="0.75" header="0.3" footer="0.3"/>
  <pageSetup paperSize="9" orientation="portrait" r:id="rId1"/>
  <drawing r:id="rId2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P21"/>
  <sheetViews>
    <sheetView showGridLines="0" workbookViewId="0">
      <selection activeCell="B21" sqref="B21"/>
    </sheetView>
  </sheetViews>
  <sheetFormatPr defaultRowHeight="15"/>
  <cols>
    <col min="1" max="1" width="12.7109375" style="433" bestFit="1" customWidth="1"/>
    <col min="2" max="3" width="10" style="433" bestFit="1" customWidth="1"/>
    <col min="4" max="5" width="10.7109375" style="433" bestFit="1" customWidth="1"/>
    <col min="6" max="7" width="10" style="433" bestFit="1" customWidth="1"/>
    <col min="8" max="9" width="9.140625" style="433"/>
    <col min="10" max="10" width="13.140625" style="433" customWidth="1"/>
    <col min="11" max="16" width="12.140625" style="433" customWidth="1"/>
    <col min="17" max="16384" width="9.140625" style="433"/>
  </cols>
  <sheetData>
    <row r="2" spans="1:16" ht="39">
      <c r="A2" s="446" t="s">
        <v>449</v>
      </c>
      <c r="B2" s="461">
        <v>2012</v>
      </c>
      <c r="C2" s="461">
        <v>2013</v>
      </c>
      <c r="D2" s="461">
        <v>2015</v>
      </c>
      <c r="E2" s="461">
        <v>2016</v>
      </c>
      <c r="F2" s="461">
        <v>2017</v>
      </c>
      <c r="G2" s="461">
        <v>2019</v>
      </c>
      <c r="J2" s="446" t="s">
        <v>449</v>
      </c>
      <c r="K2" s="461">
        <v>2012</v>
      </c>
      <c r="L2" s="461">
        <v>2013</v>
      </c>
      <c r="M2" s="461">
        <v>2015</v>
      </c>
      <c r="N2" s="461">
        <v>2016</v>
      </c>
      <c r="O2" s="461">
        <v>2017</v>
      </c>
      <c r="P2" s="461">
        <v>2019</v>
      </c>
    </row>
    <row r="3" spans="1:16">
      <c r="A3" s="462">
        <v>4</v>
      </c>
      <c r="B3" s="463">
        <v>1.285053</v>
      </c>
      <c r="C3" s="463">
        <v>1.1234219999999999</v>
      </c>
      <c r="D3" s="463">
        <v>1.158096</v>
      </c>
      <c r="E3" s="463">
        <v>1.185041</v>
      </c>
      <c r="F3" s="463">
        <v>1.1641600000000001</v>
      </c>
      <c r="G3" s="463">
        <v>1.191719</v>
      </c>
      <c r="J3" s="462">
        <v>4</v>
      </c>
      <c r="K3" s="463">
        <v>25.022200000000002</v>
      </c>
      <c r="L3" s="463">
        <v>30.098459999999999</v>
      </c>
      <c r="M3" s="463">
        <v>28.102219999999999</v>
      </c>
      <c r="N3" s="463">
        <v>28.125319999999999</v>
      </c>
      <c r="O3" s="463">
        <v>28.05866</v>
      </c>
      <c r="P3" s="463">
        <v>28.084399999999999</v>
      </c>
    </row>
    <row r="4" spans="1:16">
      <c r="A4" s="462">
        <v>5</v>
      </c>
      <c r="B4" s="463">
        <v>0.1031301</v>
      </c>
      <c r="C4" s="463">
        <v>0.54402569999999995</v>
      </c>
      <c r="D4" s="463">
        <v>0.67931909999999995</v>
      </c>
      <c r="E4" s="463">
        <v>0.75463309999999995</v>
      </c>
      <c r="F4" s="463">
        <v>0.77315009999999995</v>
      </c>
      <c r="G4" s="463">
        <v>0.96442260000000002</v>
      </c>
      <c r="J4" s="462">
        <v>5</v>
      </c>
      <c r="K4" s="463">
        <v>29.112549999999999</v>
      </c>
      <c r="L4" s="463">
        <v>30.433589999999999</v>
      </c>
      <c r="M4" s="463">
        <v>25.9359</v>
      </c>
      <c r="N4" s="463">
        <v>25.99644</v>
      </c>
      <c r="O4" s="463">
        <v>25.808479999999999</v>
      </c>
      <c r="P4" s="463">
        <v>25.960940000000001</v>
      </c>
    </row>
    <row r="5" spans="1:16">
      <c r="A5" s="462">
        <v>6</v>
      </c>
      <c r="B5" s="463">
        <v>-1.2557320000000001</v>
      </c>
      <c r="C5" s="463">
        <v>-1.3164439999999999</v>
      </c>
      <c r="D5" s="463">
        <v>-0.35426740000000001</v>
      </c>
      <c r="E5" s="463">
        <v>-4.05289E-2</v>
      </c>
      <c r="F5" s="463">
        <v>0.1545021</v>
      </c>
      <c r="G5" s="463">
        <v>0.73990460000000002</v>
      </c>
      <c r="J5" s="462">
        <v>6</v>
      </c>
      <c r="K5" s="463">
        <v>34.488399999999999</v>
      </c>
      <c r="L5" s="463">
        <v>33.314329999999998</v>
      </c>
      <c r="M5" s="463">
        <v>29.52251</v>
      </c>
      <c r="N5" s="463">
        <v>29.7714</v>
      </c>
      <c r="O5" s="463">
        <v>29.897539999999999</v>
      </c>
      <c r="P5" s="463">
        <v>30.354790000000001</v>
      </c>
    </row>
    <row r="6" spans="1:16">
      <c r="A6" s="462">
        <v>7</v>
      </c>
      <c r="B6" s="463">
        <v>0.18158959999999999</v>
      </c>
      <c r="C6" s="463">
        <v>0.34577140000000001</v>
      </c>
      <c r="D6" s="463">
        <v>1.1416310000000001</v>
      </c>
      <c r="E6" s="463">
        <v>1.4126320000000001</v>
      </c>
      <c r="F6" s="463">
        <v>1.636687</v>
      </c>
      <c r="G6" s="463">
        <v>2.1677200000000001</v>
      </c>
      <c r="J6" s="462">
        <v>7</v>
      </c>
      <c r="K6" s="463">
        <v>33.769759999999998</v>
      </c>
      <c r="L6" s="463">
        <v>35.0578</v>
      </c>
      <c r="M6" s="463">
        <v>32.864930000000001</v>
      </c>
      <c r="N6" s="463">
        <v>33.07235</v>
      </c>
      <c r="O6" s="463">
        <v>33.199089999999998</v>
      </c>
      <c r="P6" s="463">
        <v>33.605269999999997</v>
      </c>
    </row>
    <row r="7" spans="1:16">
      <c r="A7" s="462">
        <v>8</v>
      </c>
      <c r="B7" s="463">
        <v>1.4135359999999999</v>
      </c>
      <c r="C7" s="463">
        <v>1.8034479999999999</v>
      </c>
      <c r="D7" s="463">
        <v>2.3656950000000001</v>
      </c>
      <c r="E7" s="463">
        <v>2.6318290000000002</v>
      </c>
      <c r="F7" s="463">
        <v>2.7790339999999998</v>
      </c>
      <c r="G7" s="463">
        <v>3.2300010000000001</v>
      </c>
      <c r="J7" s="462">
        <v>8</v>
      </c>
      <c r="K7" s="463">
        <v>36.121699999999997</v>
      </c>
      <c r="L7" s="463">
        <v>36.342689999999997</v>
      </c>
      <c r="M7" s="463">
        <v>36.027949999999997</v>
      </c>
      <c r="N7" s="463">
        <v>36.236759999999997</v>
      </c>
      <c r="O7" s="463">
        <v>36.326279999999997</v>
      </c>
      <c r="P7" s="463">
        <v>36.665320000000001</v>
      </c>
    </row>
    <row r="8" spans="1:16">
      <c r="A8" s="462">
        <v>9</v>
      </c>
      <c r="B8" s="463">
        <v>2.9871560000000001</v>
      </c>
      <c r="C8" s="463">
        <v>3.9102169999999998</v>
      </c>
      <c r="D8" s="463">
        <v>4.4188549999999998</v>
      </c>
      <c r="E8" s="463">
        <v>4.6649520000000004</v>
      </c>
      <c r="F8" s="463">
        <v>4.7385169999999999</v>
      </c>
      <c r="G8" s="463">
        <v>5.1917559999999998</v>
      </c>
      <c r="J8" s="462">
        <v>9</v>
      </c>
      <c r="K8" s="463">
        <v>36.99765</v>
      </c>
      <c r="L8" s="463">
        <v>38.112740000000002</v>
      </c>
      <c r="M8" s="463">
        <v>38.308779999999999</v>
      </c>
      <c r="N8" s="463">
        <v>38.495660000000001</v>
      </c>
      <c r="O8" s="463">
        <v>38.368009999999998</v>
      </c>
      <c r="P8" s="463">
        <v>38.705199999999998</v>
      </c>
    </row>
    <row r="9" spans="1:16">
      <c r="A9" s="462">
        <v>10</v>
      </c>
      <c r="B9" s="463">
        <v>3.5314730000000001</v>
      </c>
      <c r="C9" s="463">
        <v>4.0829620000000002</v>
      </c>
      <c r="D9" s="463">
        <v>4.4859830000000001</v>
      </c>
      <c r="E9" s="463">
        <v>4.6843959999999996</v>
      </c>
      <c r="F9" s="463">
        <v>4.8179990000000004</v>
      </c>
      <c r="G9" s="463">
        <v>5.2832689999999998</v>
      </c>
      <c r="J9" s="462">
        <v>10</v>
      </c>
      <c r="K9" s="463">
        <v>36.144559999999998</v>
      </c>
      <c r="L9" s="463">
        <v>38.052030000000002</v>
      </c>
      <c r="M9" s="463">
        <v>37.837780000000002</v>
      </c>
      <c r="N9" s="463">
        <v>37.987299999999998</v>
      </c>
      <c r="O9" s="463">
        <v>37.968809999999998</v>
      </c>
      <c r="P9" s="463">
        <v>38.319479999999999</v>
      </c>
    </row>
    <row r="10" spans="1:16">
      <c r="A10" s="462">
        <v>11</v>
      </c>
      <c r="B10" s="463">
        <v>4.2563610000000001</v>
      </c>
      <c r="C10" s="463">
        <v>5.236669</v>
      </c>
      <c r="D10" s="463">
        <v>5.725714</v>
      </c>
      <c r="E10" s="463">
        <v>5.9545630000000003</v>
      </c>
      <c r="F10" s="463">
        <v>6.127567</v>
      </c>
      <c r="G10" s="463">
        <v>6.5825139999999998</v>
      </c>
      <c r="J10" s="462">
        <v>11</v>
      </c>
      <c r="K10" s="463">
        <v>38.343809999999998</v>
      </c>
      <c r="L10" s="463">
        <v>39.079009999999997</v>
      </c>
      <c r="M10" s="463">
        <v>38.529800000000002</v>
      </c>
      <c r="N10" s="463">
        <v>38.703440000000001</v>
      </c>
      <c r="O10" s="463">
        <v>38.806339999999999</v>
      </c>
      <c r="P10" s="463">
        <v>39.150880000000001</v>
      </c>
    </row>
    <row r="11" spans="1:16">
      <c r="A11" s="462">
        <v>12</v>
      </c>
      <c r="B11" s="463">
        <v>6.2197209999999998</v>
      </c>
      <c r="C11" s="463">
        <v>6.7006560000000004</v>
      </c>
      <c r="D11" s="463">
        <v>7.2057700000000002</v>
      </c>
      <c r="E11" s="463">
        <v>7.4226660000000004</v>
      </c>
      <c r="F11" s="463">
        <v>7.6220699999999999</v>
      </c>
      <c r="G11" s="463">
        <v>8.0479649999999996</v>
      </c>
      <c r="J11" s="462">
        <v>12</v>
      </c>
      <c r="K11" s="463">
        <v>40.044020000000003</v>
      </c>
      <c r="L11" s="463">
        <v>40.496400000000001</v>
      </c>
      <c r="M11" s="463">
        <v>40.391170000000002</v>
      </c>
      <c r="N11" s="463">
        <v>40.553440000000002</v>
      </c>
      <c r="O11" s="463">
        <v>40.617629999999998</v>
      </c>
      <c r="P11" s="463">
        <v>40.936250000000001</v>
      </c>
    </row>
    <row r="12" spans="1:16">
      <c r="A12" s="462">
        <v>13</v>
      </c>
      <c r="B12" s="463">
        <v>4.8502239999999999</v>
      </c>
      <c r="C12" s="463">
        <v>5.5286359999999997</v>
      </c>
      <c r="D12" s="463">
        <v>5.978173</v>
      </c>
      <c r="E12" s="463">
        <v>6.2036239999999996</v>
      </c>
      <c r="F12" s="463">
        <v>6.1994410000000002</v>
      </c>
      <c r="G12" s="463">
        <v>6.6382510000000003</v>
      </c>
      <c r="J12" s="462">
        <v>13</v>
      </c>
      <c r="K12" s="463">
        <v>37.955739999999999</v>
      </c>
      <c r="L12" s="463">
        <v>38.989339999999999</v>
      </c>
      <c r="M12" s="463">
        <v>38.978560000000002</v>
      </c>
      <c r="N12" s="463">
        <v>39.150790000000001</v>
      </c>
      <c r="O12" s="463">
        <v>38.616370000000003</v>
      </c>
      <c r="P12" s="463">
        <v>38.951230000000002</v>
      </c>
    </row>
    <row r="13" spans="1:16">
      <c r="A13" s="462">
        <v>14</v>
      </c>
      <c r="B13" s="463">
        <v>5.283728</v>
      </c>
      <c r="C13" s="463">
        <v>6.0660369999999997</v>
      </c>
      <c r="D13" s="463">
        <v>6.5173759999999996</v>
      </c>
      <c r="E13" s="463">
        <v>6.7289640000000004</v>
      </c>
      <c r="F13" s="463">
        <v>6.8002070000000003</v>
      </c>
      <c r="G13" s="463">
        <v>7.1994319999999998</v>
      </c>
      <c r="J13" s="462">
        <v>14</v>
      </c>
      <c r="K13" s="463">
        <v>38.738950000000003</v>
      </c>
      <c r="L13" s="463">
        <v>39.404330000000002</v>
      </c>
      <c r="M13" s="463">
        <v>39.301990000000004</v>
      </c>
      <c r="N13" s="463">
        <v>39.463340000000002</v>
      </c>
      <c r="O13" s="463">
        <v>39.373730000000002</v>
      </c>
      <c r="P13" s="463">
        <v>39.67465</v>
      </c>
    </row>
    <row r="14" spans="1:16">
      <c r="A14" s="462">
        <v>15</v>
      </c>
      <c r="B14" s="463">
        <v>5.7856860000000001</v>
      </c>
      <c r="C14" s="463">
        <v>6.2798259999999999</v>
      </c>
      <c r="D14" s="463">
        <v>6.722855</v>
      </c>
      <c r="E14" s="463">
        <v>6.9274279999999999</v>
      </c>
      <c r="F14" s="463">
        <v>7.0158500000000004</v>
      </c>
      <c r="G14" s="463">
        <v>7.4096970000000004</v>
      </c>
      <c r="J14" s="462">
        <v>15</v>
      </c>
      <c r="K14" s="463">
        <v>39.716990000000003</v>
      </c>
      <c r="L14" s="463">
        <v>39.99783</v>
      </c>
      <c r="M14" s="463">
        <v>39.744100000000003</v>
      </c>
      <c r="N14" s="463">
        <v>39.899389999999997</v>
      </c>
      <c r="O14" s="463">
        <v>39.871639999999999</v>
      </c>
      <c r="P14" s="463">
        <v>40.170070000000003</v>
      </c>
    </row>
    <row r="15" spans="1:16">
      <c r="A15" s="462">
        <v>16</v>
      </c>
      <c r="B15" s="463">
        <v>7.8315950000000001</v>
      </c>
      <c r="C15" s="463">
        <v>8.2618500000000008</v>
      </c>
      <c r="D15" s="463">
        <v>8.655303</v>
      </c>
      <c r="E15" s="463">
        <v>8.8399789999999996</v>
      </c>
      <c r="F15" s="463">
        <v>8.9491910000000008</v>
      </c>
      <c r="G15" s="463">
        <v>9.3076310000000007</v>
      </c>
      <c r="J15" s="462">
        <v>16</v>
      </c>
      <c r="K15" s="463">
        <v>41.396859999999997</v>
      </c>
      <c r="L15" s="463">
        <v>41.816009999999999</v>
      </c>
      <c r="M15" s="463">
        <v>41.765149999999998</v>
      </c>
      <c r="N15" s="463">
        <v>41.904170000000001</v>
      </c>
      <c r="O15" s="463">
        <v>41.878419999999998</v>
      </c>
      <c r="P15" s="463">
        <v>42.149050000000003</v>
      </c>
    </row>
    <row r="16" spans="1:16">
      <c r="A16" s="462">
        <v>17</v>
      </c>
      <c r="B16" s="463">
        <v>7.4591969999999996</v>
      </c>
      <c r="C16" s="463">
        <v>7.7408330000000003</v>
      </c>
      <c r="D16" s="463">
        <v>8.1165870000000009</v>
      </c>
      <c r="E16" s="463">
        <v>8.2967209999999998</v>
      </c>
      <c r="F16" s="463">
        <v>8.4311749999999996</v>
      </c>
      <c r="G16" s="463">
        <v>8.7822510000000005</v>
      </c>
      <c r="J16" s="462">
        <v>17</v>
      </c>
      <c r="K16" s="463">
        <v>40.634399999999999</v>
      </c>
      <c r="L16" s="463">
        <v>40.993549999999999</v>
      </c>
      <c r="M16" s="463">
        <v>41.058570000000003</v>
      </c>
      <c r="N16" s="463">
        <v>41.193950000000001</v>
      </c>
      <c r="O16" s="463">
        <v>41.243180000000002</v>
      </c>
      <c r="P16" s="463">
        <v>41.50665</v>
      </c>
    </row>
    <row r="17" spans="1:16">
      <c r="A17" s="462">
        <v>18</v>
      </c>
      <c r="B17" s="463">
        <v>8.8742199999999993</v>
      </c>
      <c r="C17" s="463">
        <v>9.089461</v>
      </c>
      <c r="D17" s="463">
        <v>9.3443900000000006</v>
      </c>
      <c r="E17" s="463">
        <v>9.4944839999999999</v>
      </c>
      <c r="F17" s="463">
        <v>9.4764549999999996</v>
      </c>
      <c r="G17" s="463">
        <v>9.7707840000000008</v>
      </c>
      <c r="J17" s="462">
        <v>18</v>
      </c>
      <c r="K17" s="463">
        <v>41.500549999999997</v>
      </c>
      <c r="L17" s="463">
        <v>41.93242</v>
      </c>
      <c r="M17" s="463">
        <v>42.295749999999998</v>
      </c>
      <c r="N17" s="463">
        <v>42.409269999999999</v>
      </c>
      <c r="O17" s="463">
        <v>42.041289999999996</v>
      </c>
      <c r="P17" s="463">
        <v>42.263680000000001</v>
      </c>
    </row>
    <row r="18" spans="1:16">
      <c r="A18" s="462">
        <v>19</v>
      </c>
      <c r="B18" s="463">
        <v>9.7820289999999996</v>
      </c>
      <c r="C18" s="463">
        <v>9.8229039999999994</v>
      </c>
      <c r="D18" s="463">
        <v>10.10609</v>
      </c>
      <c r="E18" s="463">
        <v>10.26956</v>
      </c>
      <c r="F18" s="463">
        <v>10.27942</v>
      </c>
      <c r="G18" s="463">
        <v>10.60426</v>
      </c>
      <c r="J18" s="462">
        <v>19</v>
      </c>
      <c r="K18" s="463">
        <v>42.153779999999998</v>
      </c>
      <c r="L18" s="463">
        <v>42.554130000000001</v>
      </c>
      <c r="M18" s="463">
        <v>42.974069999999998</v>
      </c>
      <c r="N18" s="463">
        <v>43.09686</v>
      </c>
      <c r="O18" s="463">
        <v>42.81664</v>
      </c>
      <c r="P18" s="463">
        <v>43.060569999999998</v>
      </c>
    </row>
    <row r="19" spans="1:16">
      <c r="A19" s="462">
        <v>20</v>
      </c>
      <c r="B19" s="463">
        <v>12.21576</v>
      </c>
      <c r="C19" s="463">
        <v>12.44055</v>
      </c>
      <c r="D19" s="463">
        <v>12.57446</v>
      </c>
      <c r="E19" s="463">
        <v>12.706899999999999</v>
      </c>
      <c r="F19" s="463">
        <v>12.57138</v>
      </c>
      <c r="G19" s="463">
        <v>12.83778</v>
      </c>
      <c r="J19" s="462">
        <v>20</v>
      </c>
      <c r="K19" s="463">
        <v>41.71152</v>
      </c>
      <c r="L19" s="463">
        <v>43.248950000000001</v>
      </c>
      <c r="M19" s="463">
        <v>43.878880000000002</v>
      </c>
      <c r="N19" s="463">
        <v>43.980670000000003</v>
      </c>
      <c r="O19" s="463">
        <v>43.31662</v>
      </c>
      <c r="P19" s="463">
        <v>43.521180000000001</v>
      </c>
    </row>
    <row r="21" spans="1:16">
      <c r="B21" s="1678" t="s">
        <v>416</v>
      </c>
      <c r="C21" s="1678"/>
      <c r="D21" s="1678"/>
      <c r="E21" s="1678"/>
      <c r="F21" s="1678"/>
      <c r="G21" s="1678"/>
      <c r="H21" s="1678"/>
      <c r="J21" s="1789" t="s">
        <v>417</v>
      </c>
      <c r="K21" s="1789"/>
      <c r="L21" s="1789"/>
      <c r="M21" s="1789"/>
      <c r="N21" s="1789"/>
      <c r="O21" s="1789"/>
      <c r="P21" s="1789"/>
    </row>
  </sheetData>
  <mergeCells count="1">
    <mergeCell ref="J21:P21"/>
  </mergeCells>
  <pageMargins left="0.7" right="0.7" top="0.75" bottom="0.75" header="0.3" footer="0.3"/>
  <drawing r:id="rId1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I17"/>
  <sheetViews>
    <sheetView showGridLines="0" workbookViewId="0">
      <selection activeCell="B17" sqref="B17"/>
    </sheetView>
  </sheetViews>
  <sheetFormatPr defaultRowHeight="15"/>
  <cols>
    <col min="1" max="1" width="9.140625" style="433"/>
    <col min="2" max="2" width="30.5703125" style="433" bestFit="1" customWidth="1"/>
    <col min="3" max="3" width="26.28515625" style="433" bestFit="1" customWidth="1"/>
    <col min="4" max="4" width="23.7109375" style="433" bestFit="1" customWidth="1"/>
    <col min="5" max="6" width="9.140625" style="433"/>
    <col min="7" max="7" width="30.5703125" style="433" bestFit="1" customWidth="1"/>
    <col min="8" max="8" width="26.28515625" style="433" bestFit="1" customWidth="1"/>
    <col min="9" max="9" width="23.7109375" style="433" bestFit="1" customWidth="1"/>
    <col min="10" max="16384" width="9.140625" style="433"/>
  </cols>
  <sheetData>
    <row r="2" spans="1:9">
      <c r="B2" s="464" t="s">
        <v>458</v>
      </c>
      <c r="C2" s="464" t="s">
        <v>459</v>
      </c>
      <c r="D2" s="464" t="s">
        <v>460</v>
      </c>
      <c r="G2" s="464" t="s">
        <v>458</v>
      </c>
      <c r="H2" s="464" t="s">
        <v>459</v>
      </c>
      <c r="I2" s="464" t="s">
        <v>460</v>
      </c>
    </row>
    <row r="3" spans="1:9">
      <c r="A3" s="465">
        <v>2008</v>
      </c>
      <c r="B3" s="463">
        <v>4.3772149999999996</v>
      </c>
      <c r="C3" s="463">
        <v>5.6826000000000003E-3</v>
      </c>
      <c r="D3" s="463">
        <v>4.3957410000000001</v>
      </c>
      <c r="F3" s="465">
        <v>2008</v>
      </c>
      <c r="G3" s="463">
        <v>42.211799999999997</v>
      </c>
      <c r="H3" s="463">
        <v>32.062759999999997</v>
      </c>
      <c r="I3" s="463">
        <v>5.3699440000000003</v>
      </c>
    </row>
    <row r="4" spans="1:9">
      <c r="A4" s="465">
        <v>2009</v>
      </c>
      <c r="B4" s="463">
        <v>2.3313280000000001</v>
      </c>
      <c r="C4" s="463">
        <v>-0.32624510000000001</v>
      </c>
      <c r="D4" s="463">
        <v>3.2510270000000001</v>
      </c>
      <c r="F4" s="465">
        <v>2009</v>
      </c>
      <c r="G4" s="463">
        <v>40.711410000000001</v>
      </c>
      <c r="H4" s="463">
        <v>31.030850000000001</v>
      </c>
      <c r="I4" s="463">
        <v>4.2361950000000004</v>
      </c>
    </row>
    <row r="5" spans="1:9">
      <c r="A5" s="465">
        <v>2010</v>
      </c>
      <c r="B5" s="463">
        <v>2.7289829999999999</v>
      </c>
      <c r="C5" s="463">
        <v>-0.34866429999999998</v>
      </c>
      <c r="D5" s="463">
        <v>3.4782419999999998</v>
      </c>
      <c r="F5" s="465">
        <v>2010</v>
      </c>
      <c r="G5" s="463">
        <v>39.233469999999997</v>
      </c>
      <c r="H5" s="463">
        <v>31.071650000000002</v>
      </c>
      <c r="I5" s="463">
        <v>4.4611349999999996</v>
      </c>
    </row>
    <row r="6" spans="1:9">
      <c r="A6" s="465">
        <v>2011</v>
      </c>
      <c r="B6" s="463">
        <v>4.4582990000000002</v>
      </c>
      <c r="C6" s="463">
        <v>-0.27875100000000003</v>
      </c>
      <c r="D6" s="463">
        <v>4.5422739999999999</v>
      </c>
      <c r="F6" s="465">
        <v>2011</v>
      </c>
      <c r="G6" s="463">
        <v>39.023560000000003</v>
      </c>
      <c r="H6" s="463">
        <v>31.861969999999999</v>
      </c>
      <c r="I6" s="463">
        <v>5.5152270000000003</v>
      </c>
    </row>
    <row r="7" spans="1:9">
      <c r="A7" s="465">
        <v>2012</v>
      </c>
      <c r="B7" s="463">
        <v>4.6801940000000002</v>
      </c>
      <c r="C7" s="463">
        <v>-0.27330719999999997</v>
      </c>
      <c r="D7" s="463">
        <v>4.6211089999999997</v>
      </c>
      <c r="F7" s="465">
        <v>2012</v>
      </c>
      <c r="G7" s="463">
        <v>39.187800000000003</v>
      </c>
      <c r="H7" s="463">
        <v>31.86741</v>
      </c>
      <c r="I7" s="463">
        <v>5.5923160000000003</v>
      </c>
    </row>
    <row r="8" spans="1:9">
      <c r="A8" s="465">
        <v>2013</v>
      </c>
      <c r="B8" s="463">
        <v>4.9677319999999998</v>
      </c>
      <c r="C8" s="463">
        <v>-0.15415029999999999</v>
      </c>
      <c r="D8" s="463">
        <v>4.7491380000000003</v>
      </c>
      <c r="F8" s="465">
        <v>2013</v>
      </c>
      <c r="G8" s="463">
        <v>39.3643</v>
      </c>
      <c r="H8" s="463">
        <v>33.061019999999999</v>
      </c>
      <c r="I8" s="463">
        <v>22.240020000000001</v>
      </c>
    </row>
    <row r="9" spans="1:9">
      <c r="A9" s="465">
        <v>2014</v>
      </c>
      <c r="B9" s="463">
        <v>5.1915250000000004</v>
      </c>
      <c r="C9" s="463">
        <v>-0.24360789999999999</v>
      </c>
      <c r="D9" s="463">
        <v>4.9228389999999997</v>
      </c>
      <c r="F9" s="465">
        <v>2014</v>
      </c>
      <c r="G9" s="463">
        <v>39.534570000000002</v>
      </c>
      <c r="H9" s="463">
        <v>33.62856</v>
      </c>
      <c r="I9" s="463">
        <v>22.385339999999999</v>
      </c>
    </row>
    <row r="10" spans="1:9">
      <c r="A10" s="465">
        <v>2015</v>
      </c>
      <c r="B10" s="463">
        <v>5.4732469999999998</v>
      </c>
      <c r="C10" s="463">
        <v>-0.26910260000000003</v>
      </c>
      <c r="D10" s="463">
        <v>4.9633229999999999</v>
      </c>
      <c r="F10" s="465">
        <v>2015</v>
      </c>
      <c r="G10" s="463">
        <v>37.72128</v>
      </c>
      <c r="H10" s="463">
        <v>34.038559999999997</v>
      </c>
      <c r="I10" s="463">
        <v>22.29316</v>
      </c>
    </row>
    <row r="11" spans="1:9">
      <c r="A11" s="465">
        <v>2016</v>
      </c>
      <c r="B11" s="463">
        <v>5.6822720000000002</v>
      </c>
      <c r="C11" s="463">
        <v>-0.20324500000000001</v>
      </c>
      <c r="D11" s="463">
        <v>5.0021789999999999</v>
      </c>
      <c r="F11" s="465">
        <v>2016</v>
      </c>
      <c r="G11" s="463">
        <v>37.878889999999998</v>
      </c>
      <c r="H11" s="463">
        <v>34.104410000000001</v>
      </c>
      <c r="I11" s="463">
        <v>22.324950000000001</v>
      </c>
    </row>
    <row r="12" spans="1:9">
      <c r="A12" s="465">
        <v>2017</v>
      </c>
      <c r="B12" s="463">
        <v>5.8781330000000001</v>
      </c>
      <c r="C12" s="463">
        <v>-1.0391550000000001</v>
      </c>
      <c r="D12" s="463">
        <v>5.0437570000000003</v>
      </c>
      <c r="F12" s="465">
        <v>2017</v>
      </c>
      <c r="G12" s="463">
        <v>38.026629999999997</v>
      </c>
      <c r="H12" s="463">
        <v>32.040120000000002</v>
      </c>
      <c r="I12" s="463">
        <v>22.35905</v>
      </c>
    </row>
    <row r="13" spans="1:9">
      <c r="A13" s="465">
        <v>2018</v>
      </c>
      <c r="B13" s="463">
        <v>6.0836110000000003</v>
      </c>
      <c r="C13" s="463">
        <v>-1.018993</v>
      </c>
      <c r="D13" s="463">
        <v>5.1617980000000001</v>
      </c>
      <c r="F13" s="465">
        <v>2018</v>
      </c>
      <c r="G13" s="463">
        <v>38.182380000000002</v>
      </c>
      <c r="H13" s="463">
        <v>32.060279999999999</v>
      </c>
      <c r="I13" s="463">
        <v>22.457059999999998</v>
      </c>
    </row>
    <row r="14" spans="1:9">
      <c r="A14" s="465">
        <v>2019</v>
      </c>
      <c r="B14" s="463">
        <v>6.2986820000000003</v>
      </c>
      <c r="C14" s="463">
        <v>-0.998062</v>
      </c>
      <c r="D14" s="463">
        <v>5.2073689999999999</v>
      </c>
      <c r="F14" s="465">
        <v>2019</v>
      </c>
      <c r="G14" s="463">
        <v>38.344990000000003</v>
      </c>
      <c r="H14" s="463">
        <v>32.081209999999999</v>
      </c>
      <c r="I14" s="463">
        <v>22.494499999999999</v>
      </c>
    </row>
    <row r="17" spans="2:9">
      <c r="B17" s="1678" t="s">
        <v>418</v>
      </c>
      <c r="C17" s="1678"/>
      <c r="D17" s="1678"/>
      <c r="F17" s="1789" t="s">
        <v>419</v>
      </c>
      <c r="G17" s="1789"/>
      <c r="H17" s="1789"/>
      <c r="I17" s="1789"/>
    </row>
  </sheetData>
  <mergeCells count="1">
    <mergeCell ref="F17:I17"/>
  </mergeCells>
  <pageMargins left="0.7" right="0.7" top="0.75" bottom="0.75" header="0.3" footer="0.3"/>
  <drawing r:id="rId1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K16"/>
  <sheetViews>
    <sheetView showGridLines="0" workbookViewId="0">
      <selection activeCell="B16" sqref="B16"/>
    </sheetView>
  </sheetViews>
  <sheetFormatPr defaultRowHeight="15"/>
  <cols>
    <col min="1" max="1" width="9.140625" style="433"/>
    <col min="2" max="2" width="15.28515625" style="433" bestFit="1" customWidth="1"/>
    <col min="3" max="3" width="23.140625" style="433" bestFit="1" customWidth="1"/>
    <col min="4" max="4" width="29.85546875" style="433" bestFit="1" customWidth="1"/>
    <col min="5" max="5" width="28" style="433" bestFit="1" customWidth="1"/>
    <col min="6" max="7" width="9.140625" style="433"/>
    <col min="8" max="8" width="15.28515625" style="433" bestFit="1" customWidth="1"/>
    <col min="9" max="9" width="23.140625" style="433" bestFit="1" customWidth="1"/>
    <col min="10" max="10" width="29.85546875" style="433" bestFit="1" customWidth="1"/>
    <col min="11" max="11" width="28" style="433" bestFit="1" customWidth="1"/>
    <col min="12" max="16384" width="9.140625" style="433"/>
  </cols>
  <sheetData>
    <row r="2" spans="1:11">
      <c r="B2" s="464" t="s">
        <v>462</v>
      </c>
      <c r="C2" s="464" t="s">
        <v>463</v>
      </c>
      <c r="D2" s="464" t="s">
        <v>464</v>
      </c>
      <c r="E2" s="464" t="s">
        <v>465</v>
      </c>
      <c r="H2" s="464" t="s">
        <v>462</v>
      </c>
      <c r="I2" s="464" t="s">
        <v>463</v>
      </c>
      <c r="J2" s="464" t="s">
        <v>464</v>
      </c>
      <c r="K2" s="464" t="s">
        <v>465</v>
      </c>
    </row>
    <row r="3" spans="1:11">
      <c r="A3" s="465">
        <v>2008</v>
      </c>
      <c r="B3" s="463">
        <v>5.2026000000000003</v>
      </c>
      <c r="C3" s="463">
        <v>5.3758699999999999</v>
      </c>
      <c r="D3" s="463">
        <v>1.3361229999999999</v>
      </c>
      <c r="E3" s="463">
        <v>7.5588340000000001</v>
      </c>
      <c r="G3" s="465">
        <v>2008</v>
      </c>
      <c r="H3" s="463">
        <v>38.771099999999997</v>
      </c>
      <c r="I3" s="463">
        <v>38.524970000000003</v>
      </c>
      <c r="J3" s="463">
        <v>36.612000000000002</v>
      </c>
      <c r="K3" s="463">
        <v>38.967120000000001</v>
      </c>
    </row>
    <row r="4" spans="1:11">
      <c r="A4" s="465">
        <v>2009</v>
      </c>
      <c r="B4" s="463">
        <v>3.584721</v>
      </c>
      <c r="C4" s="463">
        <v>3.7349410000000001</v>
      </c>
      <c r="D4" s="463">
        <v>-0.11488810000000001</v>
      </c>
      <c r="E4" s="463">
        <v>5.8397750000000004</v>
      </c>
      <c r="G4" s="465">
        <v>2009</v>
      </c>
      <c r="H4" s="463">
        <v>37.515169999999998</v>
      </c>
      <c r="I4" s="463">
        <v>37.198770000000003</v>
      </c>
      <c r="J4" s="463">
        <v>35.377160000000003</v>
      </c>
      <c r="K4" s="463">
        <v>37.565269999999998</v>
      </c>
    </row>
    <row r="5" spans="1:11">
      <c r="A5" s="465">
        <v>2010</v>
      </c>
      <c r="B5" s="463">
        <v>3.9195489999999999</v>
      </c>
      <c r="C5" s="463">
        <v>4.0158079999999998</v>
      </c>
      <c r="D5" s="463">
        <v>-7.1244000000000004E-3</v>
      </c>
      <c r="E5" s="463">
        <v>6.3914249999999999</v>
      </c>
      <c r="G5" s="465">
        <v>2010</v>
      </c>
      <c r="H5" s="463">
        <v>36.948929999999997</v>
      </c>
      <c r="I5" s="463">
        <v>36.853839999999998</v>
      </c>
      <c r="J5" s="463">
        <v>34.452590000000001</v>
      </c>
      <c r="K5" s="463">
        <v>36.975239999999999</v>
      </c>
    </row>
    <row r="6" spans="1:11">
      <c r="A6" s="465">
        <v>2011</v>
      </c>
      <c r="B6" s="463">
        <v>5.6273200000000001</v>
      </c>
      <c r="C6" s="463">
        <v>5.669861</v>
      </c>
      <c r="D6" s="463">
        <v>1.2641210000000001</v>
      </c>
      <c r="E6" s="463">
        <v>8.0236389999999993</v>
      </c>
      <c r="G6" s="465">
        <v>2011</v>
      </c>
      <c r="H6" s="463">
        <v>37.204129999999999</v>
      </c>
      <c r="I6" s="463">
        <v>38.353209999999997</v>
      </c>
      <c r="J6" s="463">
        <v>35.00412</v>
      </c>
      <c r="K6" s="463">
        <v>37.955069999999999</v>
      </c>
    </row>
    <row r="7" spans="1:11">
      <c r="A7" s="465">
        <v>2012</v>
      </c>
      <c r="B7" s="463">
        <v>5.8360390000000004</v>
      </c>
      <c r="C7" s="463">
        <v>5.8985289999999999</v>
      </c>
      <c r="D7" s="463">
        <v>1.338849</v>
      </c>
      <c r="E7" s="463">
        <v>8.2376360000000002</v>
      </c>
      <c r="G7" s="465">
        <v>2012</v>
      </c>
      <c r="H7" s="463">
        <v>37.360750000000003</v>
      </c>
      <c r="I7" s="463">
        <v>38.527880000000003</v>
      </c>
      <c r="J7" s="463">
        <v>35.05782</v>
      </c>
      <c r="K7" s="463">
        <v>38.117089999999997</v>
      </c>
    </row>
    <row r="8" spans="1:11">
      <c r="A8" s="465">
        <v>2013</v>
      </c>
      <c r="B8" s="463">
        <v>5.7616519999999998</v>
      </c>
      <c r="C8" s="463">
        <v>6.8002219999999998</v>
      </c>
      <c r="D8" s="463">
        <v>2.3813439999999999</v>
      </c>
      <c r="E8" s="463">
        <v>9.4686160000000008</v>
      </c>
      <c r="G8" s="465">
        <v>2013</v>
      </c>
      <c r="H8" s="463">
        <v>39.440939999999998</v>
      </c>
      <c r="I8" s="463">
        <v>39.44285</v>
      </c>
      <c r="J8" s="463">
        <v>36.936</v>
      </c>
      <c r="K8" s="463">
        <v>39.782229999999998</v>
      </c>
    </row>
    <row r="9" spans="1:11">
      <c r="A9" s="465">
        <v>2014</v>
      </c>
      <c r="B9" s="463">
        <v>5.9718080000000002</v>
      </c>
      <c r="C9" s="463">
        <v>7.0010500000000002</v>
      </c>
      <c r="D9" s="463">
        <v>2.507457</v>
      </c>
      <c r="E9" s="463">
        <v>9.6567329999999991</v>
      </c>
      <c r="G9" s="465">
        <v>2014</v>
      </c>
      <c r="H9" s="463">
        <v>39.64584</v>
      </c>
      <c r="I9" s="463">
        <v>39.68571</v>
      </c>
      <c r="J9" s="463">
        <v>37.160690000000002</v>
      </c>
      <c r="K9" s="463">
        <v>40.021389999999997</v>
      </c>
    </row>
    <row r="10" spans="1:11">
      <c r="A10" s="465">
        <v>2015</v>
      </c>
      <c r="B10" s="463">
        <v>6.1926569999999996</v>
      </c>
      <c r="C10" s="463">
        <v>7.2150869999999996</v>
      </c>
      <c r="D10" s="463">
        <v>2.7015539999999998</v>
      </c>
      <c r="E10" s="463">
        <v>9.9504929999999998</v>
      </c>
      <c r="G10" s="465">
        <v>2015</v>
      </c>
      <c r="H10" s="463">
        <v>38.589849999999998</v>
      </c>
      <c r="I10" s="463">
        <v>38.867570000000001</v>
      </c>
      <c r="J10" s="463">
        <v>36.534649999999999</v>
      </c>
      <c r="K10" s="463">
        <v>38.435360000000003</v>
      </c>
    </row>
    <row r="11" spans="1:11">
      <c r="A11" s="465">
        <v>2016</v>
      </c>
      <c r="B11" s="463">
        <v>6.3738760000000001</v>
      </c>
      <c r="C11" s="463">
        <v>7.4122000000000003</v>
      </c>
      <c r="D11" s="463">
        <v>2.8868860000000001</v>
      </c>
      <c r="E11" s="463">
        <v>10.115740000000001</v>
      </c>
      <c r="G11" s="465">
        <v>2016</v>
      </c>
      <c r="H11" s="463">
        <v>38.727550000000001</v>
      </c>
      <c r="I11" s="463">
        <v>39.02055</v>
      </c>
      <c r="J11" s="463">
        <v>36.67642</v>
      </c>
      <c r="K11" s="463">
        <v>38.562100000000001</v>
      </c>
    </row>
    <row r="12" spans="1:11">
      <c r="A12" s="465">
        <v>2017</v>
      </c>
      <c r="B12" s="463">
        <v>6.4818639999999998</v>
      </c>
      <c r="C12" s="463">
        <v>7.455292</v>
      </c>
      <c r="D12" s="463">
        <v>2.93154</v>
      </c>
      <c r="E12" s="463">
        <v>10.166919999999999</v>
      </c>
      <c r="G12" s="465">
        <v>2017</v>
      </c>
      <c r="H12" s="463">
        <v>38.705300000000001</v>
      </c>
      <c r="I12" s="463">
        <v>38.875770000000003</v>
      </c>
      <c r="J12" s="463">
        <v>36.441229999999997</v>
      </c>
      <c r="K12" s="463">
        <v>38.662790000000001</v>
      </c>
    </row>
    <row r="13" spans="1:11">
      <c r="A13" s="465">
        <v>2018</v>
      </c>
      <c r="B13" s="463">
        <v>6.6548699999999998</v>
      </c>
      <c r="C13" s="463">
        <v>7.6350389999999999</v>
      </c>
      <c r="D13" s="463">
        <v>3.1061179999999999</v>
      </c>
      <c r="E13" s="463">
        <v>10.322979999999999</v>
      </c>
      <c r="G13" s="465">
        <v>2018</v>
      </c>
      <c r="H13" s="463">
        <v>38.835839999999997</v>
      </c>
      <c r="I13" s="463">
        <v>39.01276</v>
      </c>
      <c r="J13" s="463">
        <v>36.574150000000003</v>
      </c>
      <c r="K13" s="463">
        <v>38.781829999999999</v>
      </c>
    </row>
    <row r="14" spans="1:11">
      <c r="A14" s="465">
        <v>2019</v>
      </c>
      <c r="B14" s="463">
        <v>6.835744</v>
      </c>
      <c r="C14" s="463">
        <v>7.8242770000000004</v>
      </c>
      <c r="D14" s="463">
        <v>3.2876120000000002</v>
      </c>
      <c r="E14" s="463">
        <v>10.48189</v>
      </c>
      <c r="G14" s="465">
        <v>2019</v>
      </c>
      <c r="H14" s="463">
        <v>38.972360000000002</v>
      </c>
      <c r="I14" s="463">
        <v>39.1571</v>
      </c>
      <c r="J14" s="463">
        <v>36.712380000000003</v>
      </c>
      <c r="K14" s="463">
        <v>38.904559999999996</v>
      </c>
    </row>
    <row r="16" spans="1:11">
      <c r="B16" s="1678" t="s">
        <v>461</v>
      </c>
      <c r="C16" s="1678"/>
      <c r="D16" s="1678"/>
      <c r="E16" s="1678"/>
      <c r="F16" s="1678"/>
      <c r="G16" s="1789" t="s">
        <v>421</v>
      </c>
      <c r="H16" s="1789"/>
      <c r="I16" s="1789"/>
      <c r="J16" s="1789"/>
      <c r="K16" s="1789"/>
    </row>
  </sheetData>
  <mergeCells count="1">
    <mergeCell ref="G16:K16"/>
  </mergeCells>
  <pageMargins left="0.7" right="0.7" top="0.75" bottom="0.75" header="0.3" footer="0.3"/>
  <drawing r:id="rId1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33"/>
  <sheetViews>
    <sheetView showGridLines="0" workbookViewId="0">
      <selection activeCell="J1" sqref="J1"/>
    </sheetView>
  </sheetViews>
  <sheetFormatPr defaultRowHeight="12.75"/>
  <sheetData>
    <row r="1" spans="1:20">
      <c r="B1" s="1641"/>
      <c r="C1" s="1641"/>
      <c r="D1" s="1641"/>
      <c r="E1" s="1641"/>
      <c r="F1" s="1641"/>
      <c r="G1" s="1641"/>
      <c r="J1" s="1679" t="s">
        <v>422</v>
      </c>
    </row>
    <row r="2" spans="1:20" ht="36">
      <c r="A2" s="1642"/>
      <c r="B2" s="1643" t="s">
        <v>1450</v>
      </c>
      <c r="C2" s="1643" t="s">
        <v>1451</v>
      </c>
      <c r="D2" s="1643" t="s">
        <v>1452</v>
      </c>
      <c r="E2" s="1643" t="s">
        <v>1453</v>
      </c>
      <c r="F2" s="1643" t="s">
        <v>1454</v>
      </c>
      <c r="G2" s="1643" t="s">
        <v>1455</v>
      </c>
    </row>
    <row r="3" spans="1:20">
      <c r="A3" s="1644">
        <v>2000</v>
      </c>
      <c r="B3" s="1645">
        <v>57</v>
      </c>
      <c r="C3" s="1645">
        <v>56</v>
      </c>
      <c r="D3" s="1645">
        <v>55</v>
      </c>
      <c r="E3" s="1645">
        <v>54</v>
      </c>
      <c r="F3" s="1646">
        <v>53</v>
      </c>
      <c r="G3" s="1645">
        <v>60</v>
      </c>
      <c r="S3" s="1574"/>
      <c r="T3" s="1574"/>
    </row>
    <row r="4" spans="1:20">
      <c r="A4" s="1644">
        <v>2001</v>
      </c>
      <c r="B4" s="1645">
        <v>57</v>
      </c>
      <c r="C4" s="1645">
        <v>56</v>
      </c>
      <c r="D4" s="1645">
        <v>55</v>
      </c>
      <c r="E4" s="1645">
        <v>54</v>
      </c>
      <c r="F4" s="1646">
        <v>53</v>
      </c>
      <c r="G4" s="1645">
        <v>60</v>
      </c>
      <c r="S4" s="1574"/>
      <c r="T4" s="1574"/>
    </row>
    <row r="5" spans="1:20">
      <c r="A5" s="1644">
        <v>2002</v>
      </c>
      <c r="B5" s="1645">
        <v>57</v>
      </c>
      <c r="C5" s="1645">
        <v>56</v>
      </c>
      <c r="D5" s="1645">
        <v>55</v>
      </c>
      <c r="E5" s="1645">
        <v>54</v>
      </c>
      <c r="F5" s="1646">
        <v>53</v>
      </c>
      <c r="G5" s="1645">
        <v>60</v>
      </c>
      <c r="S5" s="1574"/>
      <c r="T5" s="1574"/>
    </row>
    <row r="6" spans="1:20">
      <c r="A6" s="1644">
        <v>2003</v>
      </c>
      <c r="B6" s="1645">
        <v>57</v>
      </c>
      <c r="C6" s="1645">
        <v>56</v>
      </c>
      <c r="D6" s="1645">
        <v>55</v>
      </c>
      <c r="E6" s="1645">
        <v>54</v>
      </c>
      <c r="F6" s="1646">
        <v>53</v>
      </c>
      <c r="G6" s="1645">
        <v>60</v>
      </c>
    </row>
    <row r="7" spans="1:20">
      <c r="A7" s="1644">
        <v>2004</v>
      </c>
      <c r="B7" s="1645">
        <v>57.428571428571431</v>
      </c>
      <c r="C7" s="1645">
        <v>56.428571428571431</v>
      </c>
      <c r="D7" s="1645">
        <v>55.428571428571431</v>
      </c>
      <c r="E7" s="1645">
        <v>54.428571428571431</v>
      </c>
      <c r="F7" s="1646">
        <v>53.428571428571431</v>
      </c>
      <c r="G7" s="1645">
        <v>60.428571428571431</v>
      </c>
    </row>
    <row r="8" spans="1:20">
      <c r="A8" s="1644">
        <v>2005</v>
      </c>
      <c r="B8" s="1645">
        <v>57.857142857142861</v>
      </c>
      <c r="C8" s="1645">
        <v>56.857142857142861</v>
      </c>
      <c r="D8" s="1645">
        <v>55.857142857142861</v>
      </c>
      <c r="E8" s="1645">
        <v>54.857142857142861</v>
      </c>
      <c r="F8" s="1646">
        <v>53.857142857142861</v>
      </c>
      <c r="G8" s="1645">
        <v>60.857142857142861</v>
      </c>
    </row>
    <row r="9" spans="1:20">
      <c r="A9" s="1644">
        <v>2006</v>
      </c>
      <c r="B9" s="1645">
        <v>58.285714285714292</v>
      </c>
      <c r="C9" s="1645">
        <v>57.285714285714292</v>
      </c>
      <c r="D9" s="1645">
        <v>56.285714285714292</v>
      </c>
      <c r="E9" s="1645">
        <v>55.285714285714292</v>
      </c>
      <c r="F9" s="1646">
        <v>54.285714285714292</v>
      </c>
      <c r="G9" s="1645">
        <v>61.285714285714292</v>
      </c>
    </row>
    <row r="10" spans="1:20">
      <c r="A10" s="1644">
        <v>2007</v>
      </c>
      <c r="B10" s="1645">
        <v>58.714285714285722</v>
      </c>
      <c r="C10" s="1645">
        <v>57.714285714285722</v>
      </c>
      <c r="D10" s="1645">
        <v>56.714285714285722</v>
      </c>
      <c r="E10" s="1645">
        <v>55.714285714285722</v>
      </c>
      <c r="F10" s="1646">
        <v>54.714285714285722</v>
      </c>
      <c r="G10" s="1645">
        <v>61.714285714285722</v>
      </c>
    </row>
    <row r="11" spans="1:20">
      <c r="A11" s="1644">
        <v>2008</v>
      </c>
      <c r="B11" s="1645">
        <v>59.142857142857153</v>
      </c>
      <c r="C11" s="1645">
        <v>58.142857142857153</v>
      </c>
      <c r="D11" s="1645">
        <v>57.142857142857153</v>
      </c>
      <c r="E11" s="1645">
        <v>56.142857142857153</v>
      </c>
      <c r="F11" s="1646">
        <v>55.142857142857153</v>
      </c>
      <c r="G11" s="1645">
        <v>62</v>
      </c>
    </row>
    <row r="12" spans="1:20">
      <c r="A12" s="1644">
        <v>2009</v>
      </c>
      <c r="B12" s="1645">
        <v>59.571428571428584</v>
      </c>
      <c r="C12" s="1645">
        <v>58.571428571428584</v>
      </c>
      <c r="D12" s="1645">
        <v>57.571428571428584</v>
      </c>
      <c r="E12" s="1645">
        <v>56.571428571428584</v>
      </c>
      <c r="F12" s="1646">
        <v>55.571428571428584</v>
      </c>
      <c r="G12" s="1645">
        <v>62</v>
      </c>
    </row>
    <row r="13" spans="1:20">
      <c r="A13" s="1644">
        <v>2010</v>
      </c>
      <c r="B13" s="1645">
        <v>60</v>
      </c>
      <c r="C13" s="1645">
        <v>59</v>
      </c>
      <c r="D13" s="1645">
        <v>58</v>
      </c>
      <c r="E13" s="1645">
        <v>57</v>
      </c>
      <c r="F13" s="1646">
        <v>56</v>
      </c>
      <c r="G13" s="1645">
        <v>62</v>
      </c>
    </row>
    <row r="14" spans="1:20">
      <c r="A14" s="1644">
        <v>2011</v>
      </c>
      <c r="B14" s="1645">
        <v>60.428571428571416</v>
      </c>
      <c r="C14" s="1645">
        <v>59.428571428571431</v>
      </c>
      <c r="D14" s="1645">
        <v>58.428571428571431</v>
      </c>
      <c r="E14" s="1645">
        <v>57.428571428571431</v>
      </c>
      <c r="F14" s="1646">
        <v>56.428571428571431</v>
      </c>
      <c r="G14" s="1645">
        <v>62</v>
      </c>
    </row>
    <row r="15" spans="1:20">
      <c r="A15" s="1644">
        <v>2012</v>
      </c>
      <c r="B15" s="1645">
        <v>60.857142857142833</v>
      </c>
      <c r="C15" s="1645">
        <v>59.857142857142861</v>
      </c>
      <c r="D15" s="1645">
        <v>58.857142857142861</v>
      </c>
      <c r="E15" s="1645">
        <v>57.857142857142861</v>
      </c>
      <c r="F15" s="1646">
        <v>56.857142857142861</v>
      </c>
      <c r="G15" s="1645">
        <v>62</v>
      </c>
    </row>
    <row r="16" spans="1:20">
      <c r="A16" s="1644">
        <v>2013</v>
      </c>
      <c r="B16" s="1645">
        <v>61.285714285714249</v>
      </c>
      <c r="C16" s="1645">
        <v>60.285714285714292</v>
      </c>
      <c r="D16" s="1645">
        <v>59.285714285714292</v>
      </c>
      <c r="E16" s="1645">
        <v>58.285714285714292</v>
      </c>
      <c r="F16" s="1646">
        <v>57.285714285714292</v>
      </c>
      <c r="G16" s="1645">
        <v>62</v>
      </c>
    </row>
    <row r="17" spans="1:7">
      <c r="A17" s="1644">
        <v>2014</v>
      </c>
      <c r="B17" s="1645">
        <v>61.714285714285666</v>
      </c>
      <c r="C17" s="1645">
        <v>60.714285714285722</v>
      </c>
      <c r="D17" s="1645">
        <v>59.714285714285722</v>
      </c>
      <c r="E17" s="1645">
        <v>58.714285714285722</v>
      </c>
      <c r="F17" s="1646">
        <v>57.714285714285722</v>
      </c>
      <c r="G17" s="1645">
        <v>62</v>
      </c>
    </row>
    <row r="18" spans="1:7">
      <c r="A18" s="1644">
        <v>2015</v>
      </c>
      <c r="B18" s="1645">
        <v>62</v>
      </c>
      <c r="C18" s="1645">
        <v>61.142857142857153</v>
      </c>
      <c r="D18" s="1645">
        <v>60.142857142857153</v>
      </c>
      <c r="E18" s="1645">
        <v>59.142857142857153</v>
      </c>
      <c r="F18" s="1646">
        <v>58.142857142857153</v>
      </c>
      <c r="G18" s="1645">
        <v>62</v>
      </c>
    </row>
    <row r="19" spans="1:7">
      <c r="A19" s="1644">
        <v>2016</v>
      </c>
      <c r="B19" s="1645">
        <v>62</v>
      </c>
      <c r="C19" s="1645">
        <v>61.571428571428598</v>
      </c>
      <c r="D19" s="1645">
        <v>60.571428571428584</v>
      </c>
      <c r="E19" s="1645">
        <v>59.571428571428584</v>
      </c>
      <c r="F19" s="1646">
        <v>58.571428571428584</v>
      </c>
      <c r="G19" s="1645">
        <v>62</v>
      </c>
    </row>
    <row r="20" spans="1:7">
      <c r="A20" s="1644">
        <v>2017</v>
      </c>
      <c r="B20" s="1645">
        <v>62.194631809322502</v>
      </c>
      <c r="C20" s="1645">
        <v>62.194631809322502</v>
      </c>
      <c r="D20" s="1645">
        <v>61</v>
      </c>
      <c r="E20" s="1645">
        <v>60</v>
      </c>
      <c r="F20" s="1646">
        <v>59</v>
      </c>
      <c r="G20" s="1645">
        <v>62.194631809322502</v>
      </c>
    </row>
    <row r="21" spans="1:7">
      <c r="A21" s="1644">
        <v>2018</v>
      </c>
      <c r="B21" s="1645">
        <v>62.422790738226801</v>
      </c>
      <c r="C21" s="1645">
        <v>62.422790738226801</v>
      </c>
      <c r="D21" s="1645">
        <v>61.428571428571416</v>
      </c>
      <c r="E21" s="1645">
        <v>60.428571428571416</v>
      </c>
      <c r="F21" s="1646">
        <v>59.428571428571431</v>
      </c>
      <c r="G21" s="1645">
        <v>62.422790738226801</v>
      </c>
    </row>
    <row r="22" spans="1:7">
      <c r="A22" s="1644">
        <v>2019</v>
      </c>
      <c r="B22" s="1645">
        <v>62.577027850766697</v>
      </c>
      <c r="C22" s="1645">
        <v>62.577027850766697</v>
      </c>
      <c r="D22" s="1645">
        <v>61.857142857142833</v>
      </c>
      <c r="E22" s="1645">
        <v>60.857142857142833</v>
      </c>
      <c r="F22" s="1646">
        <v>59.857142857142861</v>
      </c>
      <c r="G22" s="1645">
        <v>62.577027850766697</v>
      </c>
    </row>
    <row r="23" spans="1:7">
      <c r="A23" s="1644">
        <v>2020</v>
      </c>
      <c r="B23" s="1645">
        <v>62.750117752357099</v>
      </c>
      <c r="C23" s="1645">
        <v>62.750117752357099</v>
      </c>
      <c r="D23" s="1645">
        <v>62.750117752357099</v>
      </c>
      <c r="E23" s="1645">
        <v>61.285714285714249</v>
      </c>
      <c r="F23" s="1646">
        <v>60.285714285714292</v>
      </c>
      <c r="G23" s="1645">
        <v>62.750117752357099</v>
      </c>
    </row>
    <row r="24" spans="1:7">
      <c r="A24" s="1644">
        <v>2021</v>
      </c>
      <c r="B24" s="1645">
        <v>62.911582584021097</v>
      </c>
      <c r="C24" s="1645">
        <v>62.911582584021097</v>
      </c>
      <c r="D24" s="1645">
        <v>62.911582584021097</v>
      </c>
      <c r="E24" s="1645">
        <v>61.714285714285666</v>
      </c>
      <c r="F24" s="1646">
        <v>60.714285714285722</v>
      </c>
      <c r="G24" s="1645">
        <v>62.911582584021097</v>
      </c>
    </row>
    <row r="25" spans="1:7">
      <c r="A25" s="1644">
        <v>2022</v>
      </c>
      <c r="B25" s="1645">
        <v>63.042079689462703</v>
      </c>
      <c r="C25" s="1645">
        <v>63.042079689462703</v>
      </c>
      <c r="D25" s="1645">
        <v>63.042079689462703</v>
      </c>
      <c r="E25" s="1645">
        <v>63.042079689462703</v>
      </c>
      <c r="F25" s="1646">
        <v>61.142857142857153</v>
      </c>
      <c r="G25" s="1645">
        <v>63.042079689462703</v>
      </c>
    </row>
    <row r="26" spans="1:7">
      <c r="A26" s="1644">
        <v>2023</v>
      </c>
      <c r="B26" s="1645">
        <v>63.169613436610803</v>
      </c>
      <c r="C26" s="1645">
        <v>63.169613436610803</v>
      </c>
      <c r="D26" s="1645">
        <v>63.169613436610803</v>
      </c>
      <c r="E26" s="1645">
        <v>63.169613436610803</v>
      </c>
      <c r="F26" s="1646">
        <v>61.571428571428584</v>
      </c>
      <c r="G26" s="1645">
        <v>63.169613436610803</v>
      </c>
    </row>
    <row r="27" spans="1:7">
      <c r="A27" s="1644">
        <v>2024</v>
      </c>
      <c r="B27" s="1645">
        <v>63.297737179001302</v>
      </c>
      <c r="C27" s="1645">
        <v>63.297737179001302</v>
      </c>
      <c r="D27" s="1645">
        <v>63.297737179001302</v>
      </c>
      <c r="E27" s="1645">
        <v>63.297737179001302</v>
      </c>
      <c r="F27" s="1646">
        <v>63.297737179001302</v>
      </c>
      <c r="G27" s="1645">
        <v>63.297737179001302</v>
      </c>
    </row>
    <row r="28" spans="1:7">
      <c r="A28" s="1644">
        <v>2025</v>
      </c>
      <c r="B28" s="1645">
        <v>63.426534695823598</v>
      </c>
      <c r="C28" s="1645">
        <v>63.426534695823598</v>
      </c>
      <c r="D28" s="1645">
        <v>63.426534695823598</v>
      </c>
      <c r="E28" s="1645">
        <v>63.426534695823598</v>
      </c>
      <c r="F28" s="1646">
        <v>63.426534695823598</v>
      </c>
      <c r="G28" s="1645">
        <v>63.426534695823598</v>
      </c>
    </row>
    <row r="29" spans="1:7">
      <c r="A29" s="1644">
        <v>2026</v>
      </c>
      <c r="B29" s="1645">
        <v>63.5558195254388</v>
      </c>
      <c r="C29" s="1645">
        <v>63.5558195254388</v>
      </c>
      <c r="D29" s="1645">
        <v>63.5558195254388</v>
      </c>
      <c r="E29" s="1645">
        <v>63.5558195254388</v>
      </c>
      <c r="F29" s="1646">
        <v>63.5558195254388</v>
      </c>
      <c r="G29" s="1645">
        <v>63.5558195254388</v>
      </c>
    </row>
    <row r="30" spans="1:7">
      <c r="A30" s="1644">
        <v>2027</v>
      </c>
      <c r="B30" s="1645">
        <v>63.685384176728299</v>
      </c>
      <c r="C30" s="1645">
        <v>63.685384176728299</v>
      </c>
      <c r="D30" s="1645">
        <v>63.685384176728299</v>
      </c>
      <c r="E30" s="1645">
        <v>63.685384176728299</v>
      </c>
      <c r="F30" s="1646">
        <v>63.685384176728299</v>
      </c>
      <c r="G30" s="1645">
        <v>63.685384176728299</v>
      </c>
    </row>
    <row r="31" spans="1:7">
      <c r="A31" s="1644">
        <v>2028</v>
      </c>
      <c r="B31" s="1645">
        <v>63.815208140654001</v>
      </c>
      <c r="C31" s="1645">
        <v>63.815208140654001</v>
      </c>
      <c r="D31" s="1645">
        <v>63.815208140654001</v>
      </c>
      <c r="E31" s="1645">
        <v>63.815208140654001</v>
      </c>
      <c r="F31" s="1646">
        <v>63.815208140654001</v>
      </c>
      <c r="G31" s="1645">
        <v>63.815208140654001</v>
      </c>
    </row>
    <row r="32" spans="1:7">
      <c r="A32" s="1644">
        <v>2029</v>
      </c>
      <c r="B32" s="1645">
        <v>63.945384130370002</v>
      </c>
      <c r="C32" s="1645">
        <v>63.945384130370002</v>
      </c>
      <c r="D32" s="1645">
        <v>63.945384130370002</v>
      </c>
      <c r="E32" s="1645">
        <v>63.945384130370002</v>
      </c>
      <c r="F32" s="1646">
        <v>63.945384130370002</v>
      </c>
      <c r="G32" s="1645">
        <v>63.945384130370002</v>
      </c>
    </row>
    <row r="33" spans="1:7">
      <c r="A33" s="1644">
        <v>2030</v>
      </c>
      <c r="B33" s="1645">
        <v>64.075541794668794</v>
      </c>
      <c r="C33" s="1645">
        <v>64.075541794668794</v>
      </c>
      <c r="D33" s="1645">
        <v>64.075541794668794</v>
      </c>
      <c r="E33" s="1645">
        <v>64.075541794668794</v>
      </c>
      <c r="F33" s="1646">
        <v>64.075541794668794</v>
      </c>
      <c r="G33" s="1645">
        <v>64.075541794668794</v>
      </c>
    </row>
  </sheetData>
  <pageMargins left="0.7" right="0.7" top="0.75" bottom="0.75" header="0.3" footer="0.3"/>
  <drawing r:id="rId1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K425"/>
  <sheetViews>
    <sheetView showGridLines="0" tabSelected="1" workbookViewId="0">
      <pane xSplit="2" ySplit="4" topLeftCell="C5" activePane="bottomRight" state="frozen"/>
      <selection activeCell="G34" sqref="G34"/>
      <selection pane="topRight" activeCell="G34" sqref="G34"/>
      <selection pane="bottomLeft" activeCell="G34" sqref="G34"/>
      <selection pane="bottomRight"/>
    </sheetView>
  </sheetViews>
  <sheetFormatPr defaultColWidth="9.140625" defaultRowHeight="12.75"/>
  <cols>
    <col min="1" max="1" width="43" style="927" customWidth="1"/>
    <col min="2" max="15" width="9.140625" style="927" customWidth="1"/>
    <col min="16" max="16" width="9.140625" style="927"/>
    <col min="17" max="22" width="9.140625" style="927" customWidth="1"/>
    <col min="23" max="23" width="9.140625" style="1361" customWidth="1"/>
    <col min="24" max="29" width="9.140625" style="927" customWidth="1"/>
    <col min="30" max="16384" width="9.140625" style="927"/>
  </cols>
  <sheetData>
    <row r="1" spans="1:31">
      <c r="A1" s="792" t="s">
        <v>1428</v>
      </c>
    </row>
    <row r="2" spans="1:31">
      <c r="A2" s="1796"/>
      <c r="B2" s="1796"/>
      <c r="C2" s="1390"/>
      <c r="D2" s="1804" t="s">
        <v>1336</v>
      </c>
      <c r="E2" s="1804"/>
      <c r="F2" s="1804"/>
      <c r="G2" s="1805"/>
      <c r="H2" s="1804" t="s">
        <v>1042</v>
      </c>
      <c r="I2" s="1804"/>
      <c r="J2" s="1804"/>
      <c r="K2" s="1804"/>
      <c r="M2" s="1804" t="s">
        <v>1335</v>
      </c>
      <c r="N2" s="1804"/>
      <c r="O2" s="1804"/>
      <c r="P2" s="1804"/>
      <c r="Q2" s="1804"/>
      <c r="R2" s="1805"/>
      <c r="S2" s="1796" t="s">
        <v>1345</v>
      </c>
      <c r="T2" s="1796"/>
      <c r="U2" s="1796"/>
      <c r="V2" s="1412"/>
      <c r="X2" s="1804" t="s">
        <v>1427</v>
      </c>
      <c r="Y2" s="1804"/>
      <c r="Z2" s="1804"/>
      <c r="AA2" s="1804"/>
      <c r="AC2" s="1574"/>
      <c r="AD2" s="1574"/>
      <c r="AE2" s="1574"/>
    </row>
    <row r="3" spans="1:31" ht="12.75" customHeight="1">
      <c r="A3" s="1389" t="s">
        <v>1334</v>
      </c>
      <c r="B3" s="1792" t="s">
        <v>1333</v>
      </c>
      <c r="C3" s="1808" t="s">
        <v>540</v>
      </c>
      <c r="D3" s="1792" t="s">
        <v>1332</v>
      </c>
      <c r="E3" s="1792" t="s">
        <v>983</v>
      </c>
      <c r="F3" s="1792" t="s">
        <v>982</v>
      </c>
      <c r="G3" s="1801" t="s">
        <v>981</v>
      </c>
      <c r="H3" s="1792" t="s">
        <v>541</v>
      </c>
      <c r="I3" s="1792" t="s">
        <v>542</v>
      </c>
      <c r="J3" s="1792" t="s">
        <v>543</v>
      </c>
      <c r="K3" s="1792" t="s">
        <v>544</v>
      </c>
      <c r="M3" s="1793" t="s">
        <v>1331</v>
      </c>
      <c r="N3" s="1794"/>
      <c r="O3" s="1794" t="s">
        <v>1330</v>
      </c>
      <c r="P3" s="1792" t="s">
        <v>1153</v>
      </c>
      <c r="Q3" s="1792" t="s">
        <v>1152</v>
      </c>
      <c r="R3" s="1801" t="s">
        <v>1151</v>
      </c>
      <c r="S3" s="1802">
        <v>2017</v>
      </c>
      <c r="T3" s="1797">
        <v>2018</v>
      </c>
      <c r="U3" s="1799">
        <v>2019</v>
      </c>
      <c r="V3" s="1790" t="s">
        <v>1344</v>
      </c>
      <c r="W3" s="1628"/>
      <c r="X3" s="1793" t="str">
        <f>P3</f>
        <v>2017 NPC</v>
      </c>
      <c r="Y3" s="1806" t="s">
        <v>1426</v>
      </c>
      <c r="Z3" s="1793" t="s">
        <v>1425</v>
      </c>
      <c r="AA3" s="1790" t="s">
        <v>865</v>
      </c>
      <c r="AC3" s="1574"/>
      <c r="AD3" s="1574"/>
      <c r="AE3" s="1574"/>
    </row>
    <row r="4" spans="1:31">
      <c r="A4" s="1389"/>
      <c r="B4" s="1792"/>
      <c r="C4" s="1808"/>
      <c r="D4" s="1792"/>
      <c r="E4" s="1792"/>
      <c r="F4" s="1792"/>
      <c r="G4" s="1801"/>
      <c r="H4" s="1792"/>
      <c r="I4" s="1792"/>
      <c r="J4" s="1792"/>
      <c r="K4" s="1792"/>
      <c r="M4" s="1388" t="s">
        <v>1329</v>
      </c>
      <c r="N4" s="1387" t="s">
        <v>1328</v>
      </c>
      <c r="O4" s="1794"/>
      <c r="P4" s="1792"/>
      <c r="Q4" s="1792"/>
      <c r="R4" s="1801"/>
      <c r="S4" s="1803"/>
      <c r="T4" s="1798"/>
      <c r="U4" s="1800"/>
      <c r="V4" s="1791"/>
      <c r="W4" s="1628"/>
      <c r="X4" s="1793"/>
      <c r="Y4" s="1794"/>
      <c r="Z4" s="1793"/>
      <c r="AA4" s="1807"/>
      <c r="AC4" s="1574"/>
      <c r="AD4" s="1574"/>
      <c r="AE4" s="1574"/>
    </row>
    <row r="5" spans="1:31">
      <c r="A5" s="1429" t="s">
        <v>26</v>
      </c>
      <c r="B5" s="1567" t="s">
        <v>1148</v>
      </c>
      <c r="C5" s="1552">
        <f t="shared" ref="C5:K5" si="0">C6+C20+C28+C29+C36+C55+C45</f>
        <v>33720.138411630003</v>
      </c>
      <c r="D5" s="1564">
        <f t="shared" si="0"/>
        <v>32072.483999999997</v>
      </c>
      <c r="E5" s="1565">
        <f t="shared" si="0"/>
        <v>33414.498</v>
      </c>
      <c r="F5" s="1565">
        <f t="shared" si="0"/>
        <v>35242.601000000002</v>
      </c>
      <c r="G5" s="1566">
        <f t="shared" si="0"/>
        <v>36479.315305999997</v>
      </c>
      <c r="H5" s="1565">
        <f t="shared" si="0"/>
        <v>32192.950175107853</v>
      </c>
      <c r="I5" s="1565">
        <f t="shared" si="0"/>
        <v>33804.296375082631</v>
      </c>
      <c r="J5" s="1565">
        <f t="shared" si="0"/>
        <v>35145.475966708087</v>
      </c>
      <c r="K5" s="1566">
        <f t="shared" si="0"/>
        <v>36485.453745762548</v>
      </c>
      <c r="L5" s="1156"/>
      <c r="M5" s="1564">
        <f t="shared" ref="M5:U5" si="1">M6+M20+M28+M29+M36+M55+M45</f>
        <v>-121.623</v>
      </c>
      <c r="N5" s="1566">
        <f t="shared" si="1"/>
        <v>121.70857510785542</v>
      </c>
      <c r="O5" s="1552">
        <f t="shared" si="1"/>
        <v>32072.569575107853</v>
      </c>
      <c r="P5" s="1564">
        <f t="shared" si="1"/>
        <v>33720.813051444638</v>
      </c>
      <c r="Q5" s="1565">
        <f t="shared" si="1"/>
        <v>35233.051848159157</v>
      </c>
      <c r="R5" s="1565">
        <f t="shared" si="1"/>
        <v>36853.269882844252</v>
      </c>
      <c r="S5" s="1627">
        <f t="shared" si="1"/>
        <v>-306.31505144463819</v>
      </c>
      <c r="T5" s="1565">
        <f t="shared" si="1"/>
        <v>9.5491518408478271</v>
      </c>
      <c r="U5" s="1565">
        <f t="shared" si="1"/>
        <v>-373.95457684424218</v>
      </c>
      <c r="V5" s="1626">
        <f t="shared" ref="V5:V36" si="2">P5-O5</f>
        <v>1648.2434763367855</v>
      </c>
      <c r="W5" s="1175"/>
      <c r="X5" s="1564">
        <f>X6+X20+X29+X36+X55+X45</f>
        <v>33720.813051444638</v>
      </c>
      <c r="Y5" s="1565">
        <f>Y6+Y20+Y29+Y36+Y55+Y45</f>
        <v>33775.156396744642</v>
      </c>
      <c r="Z5" s="1564">
        <f>Z6+Z20+Z29+Z36+Z55+Z45</f>
        <v>54.34334530000389</v>
      </c>
      <c r="AA5" s="1563">
        <f t="shared" ref="AA5:AA44" si="3">Z5/$Y$172*100</f>
        <v>6.4701094003707868E-2</v>
      </c>
      <c r="AB5" s="1574"/>
      <c r="AC5" s="934"/>
      <c r="AD5" s="1574"/>
      <c r="AE5" s="1574"/>
    </row>
    <row r="6" spans="1:31" s="1477" customFormat="1">
      <c r="A6" s="1445" t="s">
        <v>901</v>
      </c>
      <c r="B6" s="1589" t="s">
        <v>1415</v>
      </c>
      <c r="C6" s="1595">
        <v>8505.7839999999997</v>
      </c>
      <c r="D6" s="1592">
        <v>8688.1</v>
      </c>
      <c r="E6" s="1593">
        <v>9138.4</v>
      </c>
      <c r="F6" s="1593">
        <v>9441.7000000000007</v>
      </c>
      <c r="G6" s="1596">
        <v>9856.5</v>
      </c>
      <c r="H6" s="1593">
        <f>SUM(H7:H19)</f>
        <v>8752.639000000001</v>
      </c>
      <c r="I6" s="1593">
        <f>SUM(I7:I19)</f>
        <v>9193.7405220204455</v>
      </c>
      <c r="J6" s="1593">
        <f>SUM(J7:J19)</f>
        <v>9501.2310092373737</v>
      </c>
      <c r="K6" s="1596">
        <f>SUM(K7:K19)</f>
        <v>9917.7676859044732</v>
      </c>
      <c r="L6" s="1594"/>
      <c r="M6" s="1592">
        <f>SUM(M7:M19)</f>
        <v>0</v>
      </c>
      <c r="N6" s="1596">
        <f>SUM(N7:N19)</f>
        <v>64.539000000000001</v>
      </c>
      <c r="O6" s="1595">
        <f t="shared" ref="O6:O42" si="4">D6+M6+N6</f>
        <v>8752.639000000001</v>
      </c>
      <c r="P6" s="1592">
        <f t="shared" ref="P6:U6" si="5">SUM(P7:P19)</f>
        <v>9106.3154337710785</v>
      </c>
      <c r="Q6" s="1593">
        <f t="shared" si="5"/>
        <v>9423.5873621535575</v>
      </c>
      <c r="R6" s="1593">
        <f t="shared" si="5"/>
        <v>9775.6610098719884</v>
      </c>
      <c r="S6" s="1592">
        <f t="shared" si="5"/>
        <v>32.084566228922071</v>
      </c>
      <c r="T6" s="1593">
        <f t="shared" si="5"/>
        <v>18.112637846445224</v>
      </c>
      <c r="U6" s="1593">
        <f t="shared" si="5"/>
        <v>80.838990128016064</v>
      </c>
      <c r="V6" s="1595">
        <f t="shared" si="2"/>
        <v>353.67643377107743</v>
      </c>
      <c r="W6" s="1175"/>
      <c r="X6" s="1592">
        <f>SUM(X7:X19)</f>
        <v>9106.3154337710785</v>
      </c>
      <c r="Y6" s="1593">
        <f>SUM(Y7:Y19)</f>
        <v>9255.059244</v>
      </c>
      <c r="Z6" s="1592">
        <f t="shared" ref="Z6:Z44" si="6">Y6-X6</f>
        <v>148.74381022892157</v>
      </c>
      <c r="AA6" s="1591">
        <f t="shared" si="3"/>
        <v>0.17709412615219419</v>
      </c>
      <c r="AB6" s="1590"/>
      <c r="AC6" s="934"/>
      <c r="AD6" s="1590"/>
      <c r="AE6" s="1590"/>
    </row>
    <row r="7" spans="1:31">
      <c r="A7" s="1207" t="s">
        <v>1309</v>
      </c>
      <c r="B7" s="859"/>
      <c r="C7" s="1578">
        <v>5420.17284268</v>
      </c>
      <c r="D7" s="1580">
        <v>5513.8959999999997</v>
      </c>
      <c r="E7" s="1579">
        <v>5759.7039999999997</v>
      </c>
      <c r="F7" s="1579">
        <v>5978.598</v>
      </c>
      <c r="G7" s="1581">
        <v>6265.3419999999996</v>
      </c>
      <c r="H7" s="1579">
        <f t="shared" ref="H7:K14" si="7">D7</f>
        <v>5513.8959999999997</v>
      </c>
      <c r="I7" s="1579">
        <f t="shared" si="7"/>
        <v>5759.7039999999997</v>
      </c>
      <c r="J7" s="1579">
        <f t="shared" si="7"/>
        <v>5978.598</v>
      </c>
      <c r="K7" s="1581">
        <f t="shared" si="7"/>
        <v>6265.3419999999996</v>
      </c>
      <c r="L7" s="1175"/>
      <c r="M7" s="1580"/>
      <c r="N7" s="1581"/>
      <c r="O7" s="1578">
        <f t="shared" si="4"/>
        <v>5513.8959999999997</v>
      </c>
      <c r="P7" s="1580">
        <v>5840.304313639379</v>
      </c>
      <c r="Q7" s="1579">
        <v>6073.7226343240654</v>
      </c>
      <c r="R7" s="1579">
        <v>6326.9899863895562</v>
      </c>
      <c r="S7" s="1580">
        <f t="shared" ref="S7:S19" si="8">E7-P7</f>
        <v>-80.600313639379237</v>
      </c>
      <c r="T7" s="1579">
        <f t="shared" ref="T7:T19" si="9">F7-Q7</f>
        <v>-95.124634324065482</v>
      </c>
      <c r="U7" s="1579">
        <f t="shared" ref="U7:U19" si="10">G7-R7</f>
        <v>-61.647986389556536</v>
      </c>
      <c r="V7" s="1578">
        <f t="shared" si="2"/>
        <v>326.40831363937923</v>
      </c>
      <c r="W7" s="1175"/>
      <c r="X7" s="1580">
        <f t="shared" ref="X7:X19" si="11">P7</f>
        <v>5840.304313639379</v>
      </c>
      <c r="Y7" s="1579">
        <f t="shared" ref="Y7:Y14" si="12">E7</f>
        <v>5759.7039999999997</v>
      </c>
      <c r="Z7" s="1580">
        <f t="shared" si="6"/>
        <v>-80.600313639379237</v>
      </c>
      <c r="AA7" s="1586">
        <f t="shared" si="3"/>
        <v>-9.5962595617193988E-2</v>
      </c>
      <c r="AB7" s="1574"/>
      <c r="AC7" s="934"/>
      <c r="AD7" s="1574"/>
      <c r="AE7" s="1574"/>
    </row>
    <row r="8" spans="1:31">
      <c r="A8" s="1207" t="s">
        <v>1308</v>
      </c>
      <c r="B8" s="859"/>
      <c r="C8" s="1578">
        <v>2108.2236376400001</v>
      </c>
      <c r="D8" s="1580">
        <v>2168.8580000000002</v>
      </c>
      <c r="E8" s="1579">
        <v>2259.7530000000002</v>
      </c>
      <c r="F8" s="1579">
        <v>2320.1750000000002</v>
      </c>
      <c r="G8" s="1581">
        <v>2417.7159999999999</v>
      </c>
      <c r="H8" s="1579">
        <f t="shared" si="7"/>
        <v>2168.8580000000002</v>
      </c>
      <c r="I8" s="1579">
        <f t="shared" si="7"/>
        <v>2259.7530000000002</v>
      </c>
      <c r="J8" s="1579">
        <f t="shared" si="7"/>
        <v>2320.1750000000002</v>
      </c>
      <c r="K8" s="1581">
        <f t="shared" si="7"/>
        <v>2417.7159999999999</v>
      </c>
      <c r="L8" s="1175"/>
      <c r="M8" s="1580"/>
      <c r="N8" s="1581"/>
      <c r="O8" s="1578">
        <f t="shared" si="4"/>
        <v>2168.8580000000002</v>
      </c>
      <c r="P8" s="1580">
        <v>2238.9454598504713</v>
      </c>
      <c r="Q8" s="1579">
        <v>2298.7594399100662</v>
      </c>
      <c r="R8" s="1579">
        <v>2369.9476396139316</v>
      </c>
      <c r="S8" s="1580">
        <f t="shared" si="8"/>
        <v>20.807540149528904</v>
      </c>
      <c r="T8" s="1579">
        <f t="shared" si="9"/>
        <v>21.415560089933933</v>
      </c>
      <c r="U8" s="1579">
        <f t="shared" si="10"/>
        <v>47.768360386068252</v>
      </c>
      <c r="V8" s="1578">
        <f t="shared" si="2"/>
        <v>70.087459850471078</v>
      </c>
      <c r="W8" s="1175"/>
      <c r="X8" s="1580">
        <f t="shared" si="11"/>
        <v>2238.9454598504713</v>
      </c>
      <c r="Y8" s="1579">
        <f t="shared" si="12"/>
        <v>2259.7530000000002</v>
      </c>
      <c r="Z8" s="1580">
        <f t="shared" si="6"/>
        <v>20.807540149528904</v>
      </c>
      <c r="AA8" s="1586">
        <f t="shared" si="3"/>
        <v>2.4773421727508165E-2</v>
      </c>
      <c r="AB8" s="1574"/>
      <c r="AC8" s="934"/>
      <c r="AD8" s="1574"/>
      <c r="AE8" s="1574"/>
    </row>
    <row r="9" spans="1:31">
      <c r="A9" s="1207" t="s">
        <v>1307</v>
      </c>
      <c r="B9" s="859"/>
      <c r="C9" s="1578">
        <v>217.11566062</v>
      </c>
      <c r="D9" s="1580">
        <v>222.10098000000002</v>
      </c>
      <c r="E9" s="1579">
        <v>226.10959</v>
      </c>
      <c r="F9" s="1579">
        <v>229.98151999999999</v>
      </c>
      <c r="G9" s="1581">
        <v>234.35126</v>
      </c>
      <c r="H9" s="1579">
        <f t="shared" si="7"/>
        <v>222.10098000000002</v>
      </c>
      <c r="I9" s="1579">
        <f t="shared" si="7"/>
        <v>226.10959</v>
      </c>
      <c r="J9" s="1579">
        <f t="shared" si="7"/>
        <v>229.98151999999999</v>
      </c>
      <c r="K9" s="1581">
        <f t="shared" si="7"/>
        <v>234.35126</v>
      </c>
      <c r="L9" s="1175"/>
      <c r="M9" s="1580"/>
      <c r="N9" s="1581"/>
      <c r="O9" s="1578">
        <f t="shared" si="4"/>
        <v>222.10098000000002</v>
      </c>
      <c r="P9" s="1580">
        <f>337.477*67/100</f>
        <v>226.10959</v>
      </c>
      <c r="Q9" s="1579">
        <f>343.256*67/100</f>
        <v>229.98151999999999</v>
      </c>
      <c r="R9" s="1579">
        <f>350.79610425879*67/100</f>
        <v>235.03338985338931</v>
      </c>
      <c r="S9" s="1580">
        <f t="shared" si="8"/>
        <v>0</v>
      </c>
      <c r="T9" s="1579">
        <f t="shared" si="9"/>
        <v>0</v>
      </c>
      <c r="U9" s="1579">
        <f t="shared" si="10"/>
        <v>-0.68212985338931276</v>
      </c>
      <c r="V9" s="1578">
        <f t="shared" si="2"/>
        <v>4.008609999999976</v>
      </c>
      <c r="W9" s="1175"/>
      <c r="X9" s="1580">
        <f t="shared" si="11"/>
        <v>226.10959</v>
      </c>
      <c r="Y9" s="1579">
        <f t="shared" si="12"/>
        <v>226.10959</v>
      </c>
      <c r="Z9" s="1580">
        <f t="shared" si="6"/>
        <v>0</v>
      </c>
      <c r="AA9" s="1586">
        <f t="shared" si="3"/>
        <v>0</v>
      </c>
      <c r="AB9" s="1574"/>
      <c r="AC9" s="934"/>
      <c r="AD9" s="1574"/>
      <c r="AE9" s="1574"/>
    </row>
    <row r="10" spans="1:31">
      <c r="A10" s="1207" t="s">
        <v>1306</v>
      </c>
      <c r="B10" s="859"/>
      <c r="C10" s="1578">
        <v>142.08440791000001</v>
      </c>
      <c r="D10" s="1580">
        <v>146.41300000000001</v>
      </c>
      <c r="E10" s="1579">
        <v>152.673</v>
      </c>
      <c r="F10" s="1579">
        <v>160.90700000000001</v>
      </c>
      <c r="G10" s="1581">
        <v>171.255</v>
      </c>
      <c r="H10" s="1579">
        <f t="shared" si="7"/>
        <v>146.41300000000001</v>
      </c>
      <c r="I10" s="1579">
        <f t="shared" si="7"/>
        <v>152.673</v>
      </c>
      <c r="J10" s="1579">
        <f t="shared" si="7"/>
        <v>160.90700000000001</v>
      </c>
      <c r="K10" s="1581">
        <f t="shared" si="7"/>
        <v>171.255</v>
      </c>
      <c r="L10" s="1175"/>
      <c r="M10" s="1580"/>
      <c r="N10" s="1581"/>
      <c r="O10" s="1578">
        <f t="shared" si="4"/>
        <v>146.41300000000001</v>
      </c>
      <c r="P10" s="1580">
        <v>153.10508560229982</v>
      </c>
      <c r="Q10" s="1579">
        <v>161.51805836493841</v>
      </c>
      <c r="R10" s="1579">
        <v>172.70927600192158</v>
      </c>
      <c r="S10" s="1580">
        <f t="shared" si="8"/>
        <v>-0.4320856022998214</v>
      </c>
      <c r="T10" s="1579">
        <f t="shared" si="9"/>
        <v>-0.61105836493840116</v>
      </c>
      <c r="U10" s="1579">
        <f t="shared" si="10"/>
        <v>-1.4542760019215848</v>
      </c>
      <c r="V10" s="1578">
        <f t="shared" si="2"/>
        <v>6.6920856022998123</v>
      </c>
      <c r="W10" s="1175"/>
      <c r="X10" s="1580">
        <f t="shared" si="11"/>
        <v>153.10508560229982</v>
      </c>
      <c r="Y10" s="1579">
        <f t="shared" si="12"/>
        <v>152.673</v>
      </c>
      <c r="Z10" s="1580">
        <f t="shared" si="6"/>
        <v>-0.4320856022998214</v>
      </c>
      <c r="AA10" s="1586">
        <f t="shared" si="3"/>
        <v>-5.1444037936412194E-4</v>
      </c>
      <c r="AB10" s="1574"/>
      <c r="AC10" s="934"/>
      <c r="AD10" s="1574"/>
      <c r="AE10" s="1574"/>
    </row>
    <row r="11" spans="1:31">
      <c r="A11" s="1207" t="s">
        <v>1305</v>
      </c>
      <c r="B11" s="859"/>
      <c r="C11" s="1578">
        <v>11.277473024999999</v>
      </c>
      <c r="D11" s="1580">
        <v>11.787000000000001</v>
      </c>
      <c r="E11" s="1579">
        <v>11.735850000000001</v>
      </c>
      <c r="F11" s="1579">
        <v>11.735850000000001</v>
      </c>
      <c r="G11" s="1581">
        <v>11.735850000000001</v>
      </c>
      <c r="H11" s="1579">
        <f t="shared" si="7"/>
        <v>11.787000000000001</v>
      </c>
      <c r="I11" s="1579">
        <f t="shared" si="7"/>
        <v>11.735850000000001</v>
      </c>
      <c r="J11" s="1579">
        <f t="shared" si="7"/>
        <v>11.735850000000001</v>
      </c>
      <c r="K11" s="1581">
        <f t="shared" si="7"/>
        <v>11.735850000000001</v>
      </c>
      <c r="L11" s="1175"/>
      <c r="M11" s="1580"/>
      <c r="N11" s="1581"/>
      <c r="O11" s="1578">
        <f t="shared" si="4"/>
        <v>11.787000000000001</v>
      </c>
      <c r="P11" s="1580">
        <f>78.4604271379899*15/100</f>
        <v>11.769064070698484</v>
      </c>
      <c r="Q11" s="1579">
        <f>78.5361194255963*15/100</f>
        <v>11.780417913839445</v>
      </c>
      <c r="R11" s="1579">
        <f>78.9033957847324*15/100</f>
        <v>11.835509367709861</v>
      </c>
      <c r="S11" s="1580">
        <f t="shared" si="8"/>
        <v>-3.3214070698482701E-2</v>
      </c>
      <c r="T11" s="1579">
        <f t="shared" si="9"/>
        <v>-4.4567913839443918E-2</v>
      </c>
      <c r="U11" s="1579">
        <f t="shared" si="10"/>
        <v>-9.9659367709859836E-2</v>
      </c>
      <c r="V11" s="1578">
        <f t="shared" si="2"/>
        <v>-1.7935929301517106E-2</v>
      </c>
      <c r="W11" s="1175"/>
      <c r="X11" s="1580">
        <f t="shared" si="11"/>
        <v>11.769064070698484</v>
      </c>
      <c r="Y11" s="1579">
        <f t="shared" si="12"/>
        <v>11.735850000000001</v>
      </c>
      <c r="Z11" s="1580">
        <f t="shared" si="6"/>
        <v>-3.3214070698482701E-2</v>
      </c>
      <c r="AA11" s="1586">
        <f t="shared" si="3"/>
        <v>-3.9544615787725057E-5</v>
      </c>
      <c r="AB11" s="1574"/>
      <c r="AC11" s="934"/>
      <c r="AD11" s="1574"/>
      <c r="AE11" s="1574"/>
    </row>
    <row r="12" spans="1:31">
      <c r="A12" s="1207" t="s">
        <v>1304</v>
      </c>
      <c r="B12" s="859"/>
      <c r="C12" s="1578">
        <v>110.28934038</v>
      </c>
      <c r="D12" s="1580">
        <v>119.986</v>
      </c>
      <c r="E12" s="1579">
        <v>126.69199999999999</v>
      </c>
      <c r="F12" s="1579">
        <v>131.57499999999999</v>
      </c>
      <c r="G12" s="1581">
        <v>138.71199999999999</v>
      </c>
      <c r="H12" s="1579">
        <f t="shared" si="7"/>
        <v>119.986</v>
      </c>
      <c r="I12" s="1579">
        <f t="shared" si="7"/>
        <v>126.69199999999999</v>
      </c>
      <c r="J12" s="1579">
        <f t="shared" si="7"/>
        <v>131.57499999999999</v>
      </c>
      <c r="K12" s="1581">
        <f t="shared" si="7"/>
        <v>138.71199999999999</v>
      </c>
      <c r="L12" s="1175"/>
      <c r="M12" s="1580"/>
      <c r="N12" s="1581"/>
      <c r="O12" s="1578">
        <f t="shared" si="4"/>
        <v>119.986</v>
      </c>
      <c r="P12" s="1580">
        <v>63.345999999999997</v>
      </c>
      <c r="Q12" s="1579">
        <v>65.787499999999994</v>
      </c>
      <c r="R12" s="1579">
        <v>69.355999999999995</v>
      </c>
      <c r="S12" s="1580">
        <f t="shared" si="8"/>
        <v>63.345999999999997</v>
      </c>
      <c r="T12" s="1579">
        <f t="shared" si="9"/>
        <v>65.787499999999994</v>
      </c>
      <c r="U12" s="1579">
        <f t="shared" si="10"/>
        <v>69.355999999999995</v>
      </c>
      <c r="V12" s="1578">
        <f t="shared" si="2"/>
        <v>-56.640000000000008</v>
      </c>
      <c r="W12" s="1175"/>
      <c r="X12" s="1580">
        <f t="shared" si="11"/>
        <v>63.345999999999997</v>
      </c>
      <c r="Y12" s="1579">
        <f t="shared" si="12"/>
        <v>126.69199999999999</v>
      </c>
      <c r="Z12" s="1580">
        <f t="shared" si="6"/>
        <v>63.345999999999997</v>
      </c>
      <c r="AA12" s="1586">
        <f t="shared" si="3"/>
        <v>7.5419639297740926E-2</v>
      </c>
      <c r="AB12" s="1574"/>
      <c r="AC12" s="934"/>
      <c r="AD12" s="1574"/>
      <c r="AE12" s="1574"/>
    </row>
    <row r="13" spans="1:31">
      <c r="A13" s="1207" t="s">
        <v>1414</v>
      </c>
      <c r="B13" s="859"/>
      <c r="C13" s="1578">
        <v>170.19069078000001</v>
      </c>
      <c r="D13" s="1580">
        <v>165</v>
      </c>
      <c r="E13" s="1579">
        <v>187.9</v>
      </c>
      <c r="F13" s="1579">
        <v>187.9</v>
      </c>
      <c r="G13" s="1581">
        <v>187.9</v>
      </c>
      <c r="H13" s="1579">
        <f t="shared" si="7"/>
        <v>165</v>
      </c>
      <c r="I13" s="1579">
        <f t="shared" si="7"/>
        <v>187.9</v>
      </c>
      <c r="J13" s="1579">
        <f t="shared" si="7"/>
        <v>187.9</v>
      </c>
      <c r="K13" s="1581">
        <f t="shared" si="7"/>
        <v>187.9</v>
      </c>
      <c r="L13" s="1175"/>
      <c r="M13" s="1580"/>
      <c r="N13" s="1581"/>
      <c r="O13" s="1578">
        <f t="shared" si="4"/>
        <v>165</v>
      </c>
      <c r="P13" s="1580">
        <f>E13-17.8</f>
        <v>170.1</v>
      </c>
      <c r="Q13" s="1579">
        <f>F13-17.8</f>
        <v>170.1</v>
      </c>
      <c r="R13" s="1579">
        <f>G13-17.8</f>
        <v>170.1</v>
      </c>
      <c r="S13" s="1580">
        <f t="shared" si="8"/>
        <v>17.800000000000011</v>
      </c>
      <c r="T13" s="1579">
        <f t="shared" si="9"/>
        <v>17.800000000000011</v>
      </c>
      <c r="U13" s="1579">
        <f t="shared" si="10"/>
        <v>17.800000000000011</v>
      </c>
      <c r="V13" s="1578">
        <f t="shared" si="2"/>
        <v>5.0999999999999943</v>
      </c>
      <c r="W13" s="1175"/>
      <c r="X13" s="1580">
        <f t="shared" si="11"/>
        <v>170.1</v>
      </c>
      <c r="Y13" s="1579">
        <f t="shared" si="12"/>
        <v>187.9</v>
      </c>
      <c r="Z13" s="1580">
        <f t="shared" si="6"/>
        <v>17.800000000000011</v>
      </c>
      <c r="AA13" s="1586">
        <f t="shared" si="3"/>
        <v>2.1192649567451607E-2</v>
      </c>
      <c r="AB13" s="1574"/>
      <c r="AC13" s="934"/>
      <c r="AD13" s="1574"/>
      <c r="AE13" s="1574"/>
    </row>
    <row r="14" spans="1:31">
      <c r="A14" s="1207" t="s">
        <v>1302</v>
      </c>
      <c r="B14" s="859"/>
      <c r="C14" s="1578">
        <v>30.440794260000001</v>
      </c>
      <c r="D14" s="1580">
        <v>35</v>
      </c>
      <c r="E14" s="1579">
        <v>39.723768999999997</v>
      </c>
      <c r="F14" s="1579">
        <v>42.204329999999999</v>
      </c>
      <c r="G14" s="1581">
        <v>45.238199999999999</v>
      </c>
      <c r="H14" s="1579">
        <f t="shared" si="7"/>
        <v>35</v>
      </c>
      <c r="I14" s="1579">
        <f t="shared" si="7"/>
        <v>39.723768999999997</v>
      </c>
      <c r="J14" s="1579">
        <f t="shared" si="7"/>
        <v>42.204329999999999</v>
      </c>
      <c r="K14" s="1581">
        <f t="shared" si="7"/>
        <v>45.238199999999999</v>
      </c>
      <c r="L14" s="1175"/>
      <c r="M14" s="1580"/>
      <c r="N14" s="1581"/>
      <c r="O14" s="1578">
        <f t="shared" si="4"/>
        <v>35</v>
      </c>
      <c r="P14" s="1580">
        <f>E14*1.00283013762944</f>
        <v>39.836192733430074</v>
      </c>
      <c r="Q14" s="1579">
        <f>F14*1.00379758720838</f>
        <v>42.364604623746246</v>
      </c>
      <c r="R14" s="1579">
        <f>G14*1.00849187470101</f>
        <v>45.622357126099232</v>
      </c>
      <c r="S14" s="1580">
        <f t="shared" si="8"/>
        <v>-0.11242373343007728</v>
      </c>
      <c r="T14" s="1579">
        <f t="shared" si="9"/>
        <v>-0.1602746237462469</v>
      </c>
      <c r="U14" s="1579">
        <f t="shared" si="10"/>
        <v>-0.38415712609923247</v>
      </c>
      <c r="V14" s="1578">
        <f t="shared" si="2"/>
        <v>4.8361927334300745</v>
      </c>
      <c r="W14" s="1175"/>
      <c r="X14" s="1580">
        <f t="shared" si="11"/>
        <v>39.836192733430074</v>
      </c>
      <c r="Y14" s="1579">
        <f t="shared" si="12"/>
        <v>39.723768999999997</v>
      </c>
      <c r="Z14" s="1580">
        <f t="shared" si="6"/>
        <v>-0.11242373343007728</v>
      </c>
      <c r="AA14" s="1586">
        <f t="shared" si="3"/>
        <v>-1.3385150481169778E-4</v>
      </c>
      <c r="AB14" s="1574"/>
      <c r="AC14" s="934"/>
      <c r="AD14" s="1574"/>
      <c r="AE14" s="1574"/>
    </row>
    <row r="15" spans="1:31">
      <c r="A15" s="1207" t="s">
        <v>1301</v>
      </c>
      <c r="B15" s="859"/>
      <c r="C15" s="1578">
        <v>47.68</v>
      </c>
      <c r="D15" s="1580">
        <v>0</v>
      </c>
      <c r="E15" s="1579">
        <v>0</v>
      </c>
      <c r="F15" s="1579">
        <v>0</v>
      </c>
      <c r="G15" s="1581">
        <v>0</v>
      </c>
      <c r="H15" s="1579">
        <v>64.539000000000001</v>
      </c>
      <c r="I15" s="1579">
        <v>55.340522020445498</v>
      </c>
      <c r="J15" s="1579">
        <v>59.531009237373198</v>
      </c>
      <c r="K15" s="1581">
        <v>61.267685904472899</v>
      </c>
      <c r="L15" s="1175"/>
      <c r="M15" s="1580"/>
      <c r="N15" s="1581">
        <v>64.539000000000001</v>
      </c>
      <c r="O15" s="1578">
        <f t="shared" si="4"/>
        <v>64.539000000000001</v>
      </c>
      <c r="P15" s="1580">
        <f>-E129-61.319</f>
        <v>55.340243999999998</v>
      </c>
      <c r="Q15" s="1579">
        <f>-F129-57.128</f>
        <v>59.531244000000001</v>
      </c>
      <c r="R15" s="1579">
        <f>-G129-55.392</f>
        <v>61.267243999999998</v>
      </c>
      <c r="S15" s="1580">
        <f t="shared" si="8"/>
        <v>-55.340243999999998</v>
      </c>
      <c r="T15" s="1579">
        <f t="shared" si="9"/>
        <v>-59.531244000000001</v>
      </c>
      <c r="U15" s="1579">
        <f t="shared" si="10"/>
        <v>-61.267243999999998</v>
      </c>
      <c r="V15" s="1578">
        <f t="shared" si="2"/>
        <v>-9.198756000000003</v>
      </c>
      <c r="W15" s="1175"/>
      <c r="X15" s="1580">
        <f t="shared" si="11"/>
        <v>55.340243999999998</v>
      </c>
      <c r="Y15" s="1579">
        <f>-E129</f>
        <v>116.659244</v>
      </c>
      <c r="Z15" s="1580">
        <f t="shared" si="6"/>
        <v>61.319000000000003</v>
      </c>
      <c r="AA15" s="1586">
        <f t="shared" si="3"/>
        <v>7.3006296563290135E-2</v>
      </c>
      <c r="AB15" s="1574"/>
      <c r="AC15" s="934"/>
      <c r="AD15" s="1574"/>
      <c r="AE15" s="1574"/>
    </row>
    <row r="16" spans="1:31">
      <c r="A16" s="1207" t="s">
        <v>1413</v>
      </c>
      <c r="B16" s="859"/>
      <c r="C16" s="1625">
        <v>8.6029999999999998</v>
      </c>
      <c r="D16" s="1624">
        <v>8.48</v>
      </c>
      <c r="E16" s="1623">
        <v>8.8000000000000007</v>
      </c>
      <c r="F16" s="1623">
        <v>9.1470000000000002</v>
      </c>
      <c r="G16" s="1622">
        <v>9.1470000000000002</v>
      </c>
      <c r="H16" s="1623">
        <f t="shared" ref="H16:K19" si="13">D16</f>
        <v>8.48</v>
      </c>
      <c r="I16" s="1623">
        <f t="shared" si="13"/>
        <v>8.8000000000000007</v>
      </c>
      <c r="J16" s="1623">
        <f t="shared" si="13"/>
        <v>9.1470000000000002</v>
      </c>
      <c r="K16" s="1622">
        <f t="shared" si="13"/>
        <v>9.1470000000000002</v>
      </c>
      <c r="L16" s="1175"/>
      <c r="M16" s="1580"/>
      <c r="N16" s="1581"/>
      <c r="O16" s="1578">
        <f t="shared" si="4"/>
        <v>8.48</v>
      </c>
      <c r="P16" s="1580">
        <f t="shared" ref="P16:R17" si="14">E16</f>
        <v>8.8000000000000007</v>
      </c>
      <c r="Q16" s="1579">
        <f t="shared" si="14"/>
        <v>9.1470000000000002</v>
      </c>
      <c r="R16" s="1579">
        <f t="shared" si="14"/>
        <v>9.1470000000000002</v>
      </c>
      <c r="S16" s="1580">
        <f t="shared" si="8"/>
        <v>0</v>
      </c>
      <c r="T16" s="1579">
        <f t="shared" si="9"/>
        <v>0</v>
      </c>
      <c r="U16" s="1579">
        <f t="shared" si="10"/>
        <v>0</v>
      </c>
      <c r="V16" s="1578">
        <f t="shared" si="2"/>
        <v>0.32000000000000028</v>
      </c>
      <c r="W16" s="1175"/>
      <c r="X16" s="1580">
        <f t="shared" si="11"/>
        <v>8.8000000000000007</v>
      </c>
      <c r="Y16" s="1579">
        <f>E16</f>
        <v>8.8000000000000007</v>
      </c>
      <c r="Z16" s="1580">
        <f t="shared" si="6"/>
        <v>0</v>
      </c>
      <c r="AA16" s="1586">
        <f t="shared" si="3"/>
        <v>0</v>
      </c>
      <c r="AB16" s="1574"/>
      <c r="AC16" s="934"/>
      <c r="AD16" s="1574"/>
      <c r="AE16" s="1574"/>
    </row>
    <row r="17" spans="1:31">
      <c r="A17" s="1207" t="s">
        <v>1299</v>
      </c>
      <c r="B17" s="859"/>
      <c r="C17" s="1625">
        <v>33.51</v>
      </c>
      <c r="D17" s="1624">
        <v>9.6</v>
      </c>
      <c r="E17" s="1623">
        <v>9.6</v>
      </c>
      <c r="F17" s="1623">
        <v>9.6</v>
      </c>
      <c r="G17" s="1622">
        <v>9.6</v>
      </c>
      <c r="H17" s="1623">
        <f t="shared" si="13"/>
        <v>9.6</v>
      </c>
      <c r="I17" s="1623">
        <f t="shared" si="13"/>
        <v>9.6</v>
      </c>
      <c r="J17" s="1623">
        <f t="shared" si="13"/>
        <v>9.6</v>
      </c>
      <c r="K17" s="1622">
        <f t="shared" si="13"/>
        <v>9.6</v>
      </c>
      <c r="L17" s="1175"/>
      <c r="M17" s="1580"/>
      <c r="N17" s="1581"/>
      <c r="O17" s="1578">
        <f t="shared" si="4"/>
        <v>9.6</v>
      </c>
      <c r="P17" s="1580">
        <f t="shared" si="14"/>
        <v>9.6</v>
      </c>
      <c r="Q17" s="1579">
        <f t="shared" si="14"/>
        <v>9.6</v>
      </c>
      <c r="R17" s="1579">
        <f t="shared" si="14"/>
        <v>9.6</v>
      </c>
      <c r="S17" s="1580">
        <f t="shared" si="8"/>
        <v>0</v>
      </c>
      <c r="T17" s="1579">
        <f t="shared" si="9"/>
        <v>0</v>
      </c>
      <c r="U17" s="1579">
        <f t="shared" si="10"/>
        <v>0</v>
      </c>
      <c r="V17" s="1578">
        <f t="shared" si="2"/>
        <v>0</v>
      </c>
      <c r="W17" s="1175"/>
      <c r="X17" s="1580">
        <f t="shared" si="11"/>
        <v>9.6</v>
      </c>
      <c r="Y17" s="1579">
        <f>E17</f>
        <v>9.6</v>
      </c>
      <c r="Z17" s="1580">
        <f t="shared" si="6"/>
        <v>0</v>
      </c>
      <c r="AA17" s="1586">
        <f t="shared" si="3"/>
        <v>0</v>
      </c>
      <c r="AB17" s="1574"/>
      <c r="AC17" s="934"/>
      <c r="AD17" s="1574"/>
      <c r="AE17" s="1574"/>
    </row>
    <row r="18" spans="1:31">
      <c r="A18" s="1207" t="s">
        <v>1404</v>
      </c>
      <c r="B18" s="859"/>
      <c r="C18" s="1578">
        <v>0</v>
      </c>
      <c r="D18" s="1580">
        <v>54.274999999999999</v>
      </c>
      <c r="E18" s="1579">
        <v>120.83</v>
      </c>
      <c r="F18" s="1579">
        <v>125.387</v>
      </c>
      <c r="G18" s="1581">
        <v>131.04</v>
      </c>
      <c r="H18" s="1579">
        <f t="shared" si="13"/>
        <v>54.274999999999999</v>
      </c>
      <c r="I18" s="1579">
        <f t="shared" si="13"/>
        <v>120.83</v>
      </c>
      <c r="J18" s="1579">
        <f t="shared" si="13"/>
        <v>125.387</v>
      </c>
      <c r="K18" s="1581">
        <f t="shared" si="13"/>
        <v>131.04</v>
      </c>
      <c r="L18" s="1175"/>
      <c r="M18" s="1580"/>
      <c r="N18" s="1581"/>
      <c r="O18" s="1578">
        <f t="shared" si="4"/>
        <v>54.274999999999999</v>
      </c>
      <c r="P18" s="1580">
        <v>56.355463874801011</v>
      </c>
      <c r="Q18" s="1579">
        <v>58.590923016899197</v>
      </c>
      <c r="R18" s="1579">
        <v>61.348587519378569</v>
      </c>
      <c r="S18" s="1580">
        <f t="shared" si="8"/>
        <v>64.474536125198995</v>
      </c>
      <c r="T18" s="1579">
        <f t="shared" si="9"/>
        <v>66.796076983100804</v>
      </c>
      <c r="U18" s="1579">
        <f t="shared" si="10"/>
        <v>69.691412480621423</v>
      </c>
      <c r="V18" s="1578">
        <f t="shared" si="2"/>
        <v>2.080463874801012</v>
      </c>
      <c r="W18" s="1175"/>
      <c r="X18" s="1580">
        <f t="shared" si="11"/>
        <v>56.355463874801011</v>
      </c>
      <c r="Y18" s="1579">
        <f>E18</f>
        <v>120.83</v>
      </c>
      <c r="Z18" s="1580">
        <f t="shared" si="6"/>
        <v>64.474536125198995</v>
      </c>
      <c r="AA18" s="1586">
        <f t="shared" si="3"/>
        <v>7.6763272478951705E-2</v>
      </c>
      <c r="AB18" s="1574"/>
      <c r="AC18" s="934"/>
      <c r="AD18" s="1574"/>
      <c r="AE18" s="1574"/>
    </row>
    <row r="19" spans="1:31">
      <c r="A19" s="1207" t="s">
        <v>1285</v>
      </c>
      <c r="B19" s="859"/>
      <c r="C19" s="1578">
        <f>C6-SUM(C7:C18)</f>
        <v>206.19615270500071</v>
      </c>
      <c r="D19" s="1580">
        <f>D6-SUM(D7:D18)</f>
        <v>232.70401999999922</v>
      </c>
      <c r="E19" s="1579">
        <f>E6-SUM(E7:E18)</f>
        <v>234.878791000001</v>
      </c>
      <c r="F19" s="1579">
        <f>F6-SUM(F7:F18)</f>
        <v>234.48929999999928</v>
      </c>
      <c r="G19" s="1581">
        <f>G6-SUM(G7:G18)</f>
        <v>234.46269000000211</v>
      </c>
      <c r="H19" s="1579">
        <f t="shared" si="13"/>
        <v>232.70401999999922</v>
      </c>
      <c r="I19" s="1579">
        <f t="shared" si="13"/>
        <v>234.878791000001</v>
      </c>
      <c r="J19" s="1579">
        <f t="shared" si="13"/>
        <v>234.48929999999928</v>
      </c>
      <c r="K19" s="1581">
        <f t="shared" si="13"/>
        <v>234.46269000000211</v>
      </c>
      <c r="L19" s="1175"/>
      <c r="M19" s="1580"/>
      <c r="N19" s="1581"/>
      <c r="O19" s="1578">
        <f t="shared" si="4"/>
        <v>232.70401999999922</v>
      </c>
      <c r="P19" s="1580">
        <f>O19</f>
        <v>232.70401999999922</v>
      </c>
      <c r="Q19" s="1579">
        <f>P19</f>
        <v>232.70401999999922</v>
      </c>
      <c r="R19" s="1579">
        <f>Q19</f>
        <v>232.70401999999922</v>
      </c>
      <c r="S19" s="1580">
        <f t="shared" si="8"/>
        <v>2.1747710000017832</v>
      </c>
      <c r="T19" s="1579">
        <f t="shared" si="9"/>
        <v>1.785280000000057</v>
      </c>
      <c r="U19" s="1579">
        <f t="shared" si="10"/>
        <v>1.7586700000028941</v>
      </c>
      <c r="V19" s="1578">
        <f t="shared" si="2"/>
        <v>0</v>
      </c>
      <c r="W19" s="1175"/>
      <c r="X19" s="1580">
        <f t="shared" si="11"/>
        <v>232.70401999999922</v>
      </c>
      <c r="Y19" s="1579">
        <f>E19</f>
        <v>234.878791000001</v>
      </c>
      <c r="Z19" s="1580">
        <f t="shared" si="6"/>
        <v>2.1747710000017832</v>
      </c>
      <c r="AA19" s="1586">
        <f t="shared" si="3"/>
        <v>2.5892786344097786E-3</v>
      </c>
      <c r="AB19" s="1574"/>
      <c r="AC19" s="934"/>
      <c r="AD19" s="1574"/>
      <c r="AE19" s="1574"/>
    </row>
    <row r="20" spans="1:31" s="1477" customFormat="1">
      <c r="A20" s="1445" t="s">
        <v>900</v>
      </c>
      <c r="B20" s="1589" t="s">
        <v>1412</v>
      </c>
      <c r="C20" s="1595">
        <v>5825.1839999999993</v>
      </c>
      <c r="D20" s="1599">
        <v>6256.9</v>
      </c>
      <c r="E20" s="1593">
        <v>6488.9</v>
      </c>
      <c r="F20" s="1593">
        <v>6938.5</v>
      </c>
      <c r="G20" s="1596">
        <v>7380.3</v>
      </c>
      <c r="H20" s="1593">
        <f>SUM(H21:H27)</f>
        <v>6256.9</v>
      </c>
      <c r="I20" s="1593">
        <f>SUM(I21:I27)</f>
        <v>6488.9</v>
      </c>
      <c r="J20" s="1593">
        <f>SUM(J21:J27)</f>
        <v>6938.5</v>
      </c>
      <c r="K20" s="1596">
        <f>SUM(K21:K27)</f>
        <v>7380.3</v>
      </c>
      <c r="L20" s="1594"/>
      <c r="M20" s="1592">
        <f>SUM(M21:M27)</f>
        <v>0</v>
      </c>
      <c r="N20" s="1596">
        <f>SUM(N21:N27)</f>
        <v>0</v>
      </c>
      <c r="O20" s="1595">
        <f t="shared" si="4"/>
        <v>6256.9</v>
      </c>
      <c r="P20" s="1592">
        <f t="shared" ref="P20:U20" si="15">SUM(P21:P27)</f>
        <v>6511.3927206526605</v>
      </c>
      <c r="Q20" s="1593">
        <f t="shared" si="15"/>
        <v>6918.0917667673502</v>
      </c>
      <c r="R20" s="1593">
        <f t="shared" si="15"/>
        <v>7446.0622658778602</v>
      </c>
      <c r="S20" s="1592">
        <f t="shared" si="15"/>
        <v>-22.492720652661859</v>
      </c>
      <c r="T20" s="1593">
        <f t="shared" si="15"/>
        <v>20.408233232650872</v>
      </c>
      <c r="U20" s="1593">
        <f t="shared" si="15"/>
        <v>-65.762265877861523</v>
      </c>
      <c r="V20" s="1595">
        <f t="shared" si="2"/>
        <v>254.49272065266086</v>
      </c>
      <c r="W20" s="1175"/>
      <c r="X20" s="1592">
        <f>SUM(X21:X27)</f>
        <v>6511.3927206526605</v>
      </c>
      <c r="Y20" s="1593">
        <f>SUM(Y21:Y27)</f>
        <v>6488.9</v>
      </c>
      <c r="Z20" s="1592">
        <f t="shared" si="6"/>
        <v>-22.492720652660864</v>
      </c>
      <c r="AA20" s="1591">
        <f t="shared" si="3"/>
        <v>-2.6779794753394537E-2</v>
      </c>
      <c r="AB20" s="1590"/>
      <c r="AC20" s="934"/>
      <c r="AD20" s="1590"/>
      <c r="AE20" s="1590"/>
    </row>
    <row r="21" spans="1:31">
      <c r="A21" s="1207" t="s">
        <v>1297</v>
      </c>
      <c r="B21" s="859"/>
      <c r="C21" s="1578">
        <v>2464.4065920304201</v>
      </c>
      <c r="D21" s="1584">
        <v>2653.03</v>
      </c>
      <c r="E21" s="1579">
        <v>2815.1619999999998</v>
      </c>
      <c r="F21" s="1579">
        <v>2999.3029999999999</v>
      </c>
      <c r="G21" s="1581">
        <v>3204.2559999999999</v>
      </c>
      <c r="H21" s="1579">
        <f t="shared" ref="H21:K28" si="16">D21</f>
        <v>2653.03</v>
      </c>
      <c r="I21" s="1579">
        <f t="shared" si="16"/>
        <v>2815.1619999999998</v>
      </c>
      <c r="J21" s="1579">
        <f t="shared" si="16"/>
        <v>2999.3029999999999</v>
      </c>
      <c r="K21" s="1581">
        <f t="shared" si="16"/>
        <v>3204.2559999999999</v>
      </c>
      <c r="L21" s="1175"/>
      <c r="M21" s="1584"/>
      <c r="N21" s="1582"/>
      <c r="O21" s="1578">
        <f t="shared" si="4"/>
        <v>2653.03</v>
      </c>
      <c r="P21" s="1580">
        <v>2833.32535652772</v>
      </c>
      <c r="Q21" s="1579">
        <v>3027.6832856461942</v>
      </c>
      <c r="R21" s="1579">
        <v>3251.1677428603052</v>
      </c>
      <c r="S21" s="1580">
        <f t="shared" ref="S21:U27" si="17">E21-P21</f>
        <v>-18.163356527720225</v>
      </c>
      <c r="T21" s="1579">
        <f t="shared" si="17"/>
        <v>-28.380285646194352</v>
      </c>
      <c r="U21" s="1579">
        <f t="shared" si="17"/>
        <v>-46.911742860305367</v>
      </c>
      <c r="V21" s="1578">
        <f t="shared" si="2"/>
        <v>180.29535652771983</v>
      </c>
      <c r="W21" s="1175"/>
      <c r="X21" s="1580">
        <f t="shared" ref="X21:X28" si="18">P21</f>
        <v>2833.32535652772</v>
      </c>
      <c r="Y21" s="1579">
        <f t="shared" ref="Y21:Y28" si="19">E21</f>
        <v>2815.1619999999998</v>
      </c>
      <c r="Z21" s="1580">
        <f t="shared" si="6"/>
        <v>-18.163356527720225</v>
      </c>
      <c r="AA21" s="1586">
        <f t="shared" si="3"/>
        <v>-2.1625261228126913E-2</v>
      </c>
      <c r="AB21" s="1574"/>
      <c r="AC21" s="934"/>
      <c r="AD21" s="1574"/>
      <c r="AE21" s="1574"/>
    </row>
    <row r="22" spans="1:31">
      <c r="A22" s="1207" t="s">
        <v>1296</v>
      </c>
      <c r="B22" s="859"/>
      <c r="C22" s="1578">
        <v>2860</v>
      </c>
      <c r="D22" s="1584">
        <v>3070.942</v>
      </c>
      <c r="E22" s="1579">
        <v>3005.0250000000001</v>
      </c>
      <c r="F22" s="1579">
        <v>3191.337</v>
      </c>
      <c r="G22" s="1581">
        <v>3467.558</v>
      </c>
      <c r="H22" s="1579">
        <f t="shared" si="16"/>
        <v>3070.942</v>
      </c>
      <c r="I22" s="1579">
        <f t="shared" si="16"/>
        <v>3005.0250000000001</v>
      </c>
      <c r="J22" s="1579">
        <f t="shared" si="16"/>
        <v>3191.337</v>
      </c>
      <c r="K22" s="1581">
        <f t="shared" si="16"/>
        <v>3467.558</v>
      </c>
      <c r="L22" s="1175"/>
      <c r="M22" s="1580"/>
      <c r="N22" s="1581"/>
      <c r="O22" s="1578">
        <f t="shared" si="4"/>
        <v>3070.942</v>
      </c>
      <c r="P22" s="1580">
        <v>3222.4298169847516</v>
      </c>
      <c r="Q22" s="1579">
        <v>3417.2375078616815</v>
      </c>
      <c r="R22" s="1579">
        <v>3713.668053749675</v>
      </c>
      <c r="S22" s="1580">
        <f t="shared" si="17"/>
        <v>-217.40481698475151</v>
      </c>
      <c r="T22" s="1579">
        <f t="shared" si="17"/>
        <v>-225.90050786168149</v>
      </c>
      <c r="U22" s="1579">
        <f t="shared" si="17"/>
        <v>-246.11005374967499</v>
      </c>
      <c r="V22" s="1578">
        <f t="shared" si="2"/>
        <v>151.48781698475159</v>
      </c>
      <c r="W22" s="1175"/>
      <c r="X22" s="1580">
        <f t="shared" si="18"/>
        <v>3222.4298169847516</v>
      </c>
      <c r="Y22" s="1579">
        <f t="shared" si="19"/>
        <v>3005.0250000000001</v>
      </c>
      <c r="Z22" s="1580">
        <f t="shared" si="6"/>
        <v>-217.40481698475151</v>
      </c>
      <c r="AA22" s="1586">
        <f t="shared" si="3"/>
        <v>-0.25884180340639251</v>
      </c>
      <c r="AB22" s="1574"/>
      <c r="AC22" s="934"/>
      <c r="AD22" s="1574"/>
      <c r="AE22" s="1574"/>
    </row>
    <row r="23" spans="1:31">
      <c r="A23" s="1207" t="s">
        <v>1295</v>
      </c>
      <c r="B23" s="859"/>
      <c r="C23" s="1578">
        <v>162.00453797</v>
      </c>
      <c r="D23" s="1584">
        <v>174.61099999999999</v>
      </c>
      <c r="E23" s="1579">
        <v>190.024</v>
      </c>
      <c r="F23" s="1579">
        <v>261.24400000000003</v>
      </c>
      <c r="G23" s="1581">
        <v>268.79899999999998</v>
      </c>
      <c r="H23" s="1579">
        <f t="shared" si="16"/>
        <v>174.61099999999999</v>
      </c>
      <c r="I23" s="1579">
        <f t="shared" si="16"/>
        <v>190.024</v>
      </c>
      <c r="J23" s="1579">
        <f t="shared" si="16"/>
        <v>261.24400000000003</v>
      </c>
      <c r="K23" s="1581">
        <f t="shared" si="16"/>
        <v>268.79899999999998</v>
      </c>
      <c r="L23" s="1175"/>
      <c r="M23" s="1584"/>
      <c r="N23" s="1582"/>
      <c r="O23" s="1578">
        <f t="shared" si="4"/>
        <v>174.61099999999999</v>
      </c>
      <c r="P23" s="1580">
        <v>190.5617940728971</v>
      </c>
      <c r="Q23" s="1579">
        <v>206.12381174771707</v>
      </c>
      <c r="R23" s="1579">
        <v>211.37888844545714</v>
      </c>
      <c r="S23" s="1580">
        <f t="shared" si="17"/>
        <v>-0.5377940728970998</v>
      </c>
      <c r="T23" s="1579">
        <f t="shared" si="17"/>
        <v>55.120188252282958</v>
      </c>
      <c r="U23" s="1579">
        <f t="shared" si="17"/>
        <v>57.420111554542842</v>
      </c>
      <c r="V23" s="1578">
        <f t="shared" si="2"/>
        <v>15.950794072897111</v>
      </c>
      <c r="W23" s="1175"/>
      <c r="X23" s="1580">
        <f t="shared" si="18"/>
        <v>190.5617940728971</v>
      </c>
      <c r="Y23" s="1579">
        <f t="shared" si="19"/>
        <v>190.024</v>
      </c>
      <c r="Z23" s="1580">
        <f t="shared" si="6"/>
        <v>-0.5377940728970998</v>
      </c>
      <c r="AA23" s="1586">
        <f t="shared" si="3"/>
        <v>-6.4029670372813213E-4</v>
      </c>
      <c r="AB23" s="1574"/>
      <c r="AC23" s="934"/>
      <c r="AD23" s="1574"/>
      <c r="AE23" s="1574"/>
    </row>
    <row r="24" spans="1:31">
      <c r="A24" s="1207" t="s">
        <v>1294</v>
      </c>
      <c r="B24" s="859"/>
      <c r="C24" s="1578">
        <v>106.93756352</v>
      </c>
      <c r="D24" s="1584">
        <v>109.39302000000002</v>
      </c>
      <c r="E24" s="1579">
        <v>111.36741000000001</v>
      </c>
      <c r="F24" s="1579">
        <v>113.27447999999998</v>
      </c>
      <c r="G24" s="1581">
        <v>115.42674000000001</v>
      </c>
      <c r="H24" s="1579">
        <f t="shared" si="16"/>
        <v>109.39302000000002</v>
      </c>
      <c r="I24" s="1579">
        <f t="shared" si="16"/>
        <v>111.36741000000001</v>
      </c>
      <c r="J24" s="1579">
        <f t="shared" si="16"/>
        <v>113.27447999999998</v>
      </c>
      <c r="K24" s="1581">
        <f t="shared" si="16"/>
        <v>115.42674000000001</v>
      </c>
      <c r="L24" s="1175"/>
      <c r="M24" s="1584"/>
      <c r="N24" s="1582"/>
      <c r="O24" s="1578">
        <f t="shared" si="4"/>
        <v>109.39302000000002</v>
      </c>
      <c r="P24" s="1580">
        <f>337.477*33/100</f>
        <v>111.36741000000001</v>
      </c>
      <c r="Q24" s="1579">
        <f>343.256*33/100</f>
        <v>113.27447999999998</v>
      </c>
      <c r="R24" s="1579">
        <f>350.79610425879*33/100</f>
        <v>115.76271440540071</v>
      </c>
      <c r="S24" s="1580">
        <f t="shared" si="17"/>
        <v>0</v>
      </c>
      <c r="T24" s="1579">
        <f t="shared" si="17"/>
        <v>0</v>
      </c>
      <c r="U24" s="1579">
        <f t="shared" si="17"/>
        <v>-0.33597440540070522</v>
      </c>
      <c r="V24" s="1578">
        <f t="shared" si="2"/>
        <v>1.9743899999999854</v>
      </c>
      <c r="W24" s="1175"/>
      <c r="X24" s="1580">
        <f t="shared" si="18"/>
        <v>111.36741000000001</v>
      </c>
      <c r="Y24" s="1579">
        <f t="shared" si="19"/>
        <v>111.36741000000001</v>
      </c>
      <c r="Z24" s="1580">
        <f t="shared" si="6"/>
        <v>0</v>
      </c>
      <c r="AA24" s="1586">
        <f t="shared" si="3"/>
        <v>0</v>
      </c>
      <c r="AB24" s="1574"/>
      <c r="AC24" s="934"/>
      <c r="AD24" s="1574"/>
      <c r="AE24" s="1574"/>
    </row>
    <row r="25" spans="1:31">
      <c r="A25" s="1207" t="s">
        <v>1293</v>
      </c>
      <c r="B25" s="859"/>
      <c r="C25" s="1578">
        <v>63.905680474999997</v>
      </c>
      <c r="D25" s="1584">
        <v>66.793000000000006</v>
      </c>
      <c r="E25" s="1583">
        <v>66.503150000000005</v>
      </c>
      <c r="F25" s="1583">
        <v>66.503150000000005</v>
      </c>
      <c r="G25" s="1582">
        <v>66.503150000000005</v>
      </c>
      <c r="H25" s="1579">
        <f t="shared" si="16"/>
        <v>66.793000000000006</v>
      </c>
      <c r="I25" s="1579">
        <f t="shared" si="16"/>
        <v>66.503150000000005</v>
      </c>
      <c r="J25" s="1579">
        <f t="shared" si="16"/>
        <v>66.503150000000005</v>
      </c>
      <c r="K25" s="1581">
        <f t="shared" si="16"/>
        <v>66.503150000000005</v>
      </c>
      <c r="L25" s="1175"/>
      <c r="M25" s="1584"/>
      <c r="N25" s="1582"/>
      <c r="O25" s="1578">
        <f t="shared" si="4"/>
        <v>66.793000000000006</v>
      </c>
      <c r="P25" s="1580">
        <f>78.4604271379899*85/100</f>
        <v>66.691363067291419</v>
      </c>
      <c r="Q25" s="1579">
        <f>78.5361194255963*85/100</f>
        <v>66.755701511756854</v>
      </c>
      <c r="R25" s="1579">
        <f>78.9033957847324*85/100</f>
        <v>67.067886417022535</v>
      </c>
      <c r="S25" s="1580">
        <f t="shared" si="17"/>
        <v>-0.1882130672914144</v>
      </c>
      <c r="T25" s="1579">
        <f t="shared" si="17"/>
        <v>-0.25255151175684887</v>
      </c>
      <c r="U25" s="1579">
        <f t="shared" si="17"/>
        <v>-0.56473641702253019</v>
      </c>
      <c r="V25" s="1578">
        <f t="shared" si="2"/>
        <v>-0.10163693270858687</v>
      </c>
      <c r="W25" s="1175"/>
      <c r="X25" s="1580">
        <f t="shared" si="18"/>
        <v>66.691363067291419</v>
      </c>
      <c r="Y25" s="1579">
        <f t="shared" si="19"/>
        <v>66.503150000000005</v>
      </c>
      <c r="Z25" s="1580">
        <f t="shared" si="6"/>
        <v>-0.1882130672914144</v>
      </c>
      <c r="AA25" s="1586">
        <f t="shared" si="3"/>
        <v>-2.2408615613045678E-4</v>
      </c>
      <c r="AB25" s="1574"/>
      <c r="AC25" s="934"/>
      <c r="AD25" s="1574"/>
      <c r="AE25" s="1574"/>
    </row>
    <row r="26" spans="1:31">
      <c r="A26" s="1207" t="s">
        <v>1292</v>
      </c>
      <c r="B26" s="859"/>
      <c r="C26" s="1578">
        <v>90.326407570000001</v>
      </c>
      <c r="D26" s="1584">
        <v>95.114000000000004</v>
      </c>
      <c r="E26" s="1583">
        <v>211.6</v>
      </c>
      <c r="F26" s="1583">
        <v>217.6</v>
      </c>
      <c r="G26" s="1582">
        <v>168.75</v>
      </c>
      <c r="H26" s="1579">
        <f t="shared" si="16"/>
        <v>95.114000000000004</v>
      </c>
      <c r="I26" s="1579">
        <f t="shared" si="16"/>
        <v>211.6</v>
      </c>
      <c r="J26" s="1579">
        <f t="shared" si="16"/>
        <v>217.6</v>
      </c>
      <c r="K26" s="1581">
        <f t="shared" si="16"/>
        <v>168.75</v>
      </c>
      <c r="L26" s="1175"/>
      <c r="M26" s="1584"/>
      <c r="N26" s="1582"/>
      <c r="O26" s="1578">
        <f t="shared" si="4"/>
        <v>95.114000000000004</v>
      </c>
      <c r="P26" s="1580">
        <f>E26-211.6</f>
        <v>0</v>
      </c>
      <c r="Q26" s="1579">
        <f>F26-217.6</f>
        <v>0</v>
      </c>
      <c r="R26" s="1579">
        <f>G26-168.75</f>
        <v>0</v>
      </c>
      <c r="S26" s="1580">
        <f t="shared" si="17"/>
        <v>211.6</v>
      </c>
      <c r="T26" s="1579">
        <f t="shared" si="17"/>
        <v>217.6</v>
      </c>
      <c r="U26" s="1579">
        <f t="shared" si="17"/>
        <v>168.75</v>
      </c>
      <c r="V26" s="1578">
        <f t="shared" si="2"/>
        <v>-95.114000000000004</v>
      </c>
      <c r="W26" s="1175"/>
      <c r="X26" s="1580">
        <f t="shared" si="18"/>
        <v>0</v>
      </c>
      <c r="Y26" s="1579">
        <f t="shared" si="19"/>
        <v>211.6</v>
      </c>
      <c r="Z26" s="1580">
        <f t="shared" si="6"/>
        <v>211.6</v>
      </c>
      <c r="AA26" s="1586">
        <f t="shared" si="3"/>
        <v>0.25193059822880653</v>
      </c>
      <c r="AB26" s="1574"/>
      <c r="AC26" s="934"/>
      <c r="AD26" s="1574"/>
      <c r="AE26" s="1574"/>
    </row>
    <row r="27" spans="1:31">
      <c r="A27" s="1207" t="s">
        <v>1285</v>
      </c>
      <c r="B27" s="859"/>
      <c r="C27" s="1585">
        <f>C20-SUM(C21:C26)</f>
        <v>77.603218434578594</v>
      </c>
      <c r="D27" s="1584">
        <f>D20-SUM(D21:D26)</f>
        <v>87.016980000000331</v>
      </c>
      <c r="E27" s="1583">
        <f>E20-SUM(E21:E26)</f>
        <v>89.218439999998736</v>
      </c>
      <c r="F27" s="1583">
        <f>F20-SUM(F21:F26)</f>
        <v>89.238370000000941</v>
      </c>
      <c r="G27" s="1582">
        <f>G20-SUM(G21:G26)</f>
        <v>89.007109999999557</v>
      </c>
      <c r="H27" s="1579">
        <f t="shared" si="16"/>
        <v>87.016980000000331</v>
      </c>
      <c r="I27" s="1579">
        <f t="shared" si="16"/>
        <v>89.218439999998736</v>
      </c>
      <c r="J27" s="1579">
        <f t="shared" si="16"/>
        <v>89.238370000000941</v>
      </c>
      <c r="K27" s="1581">
        <f t="shared" si="16"/>
        <v>89.007109999999557</v>
      </c>
      <c r="L27" s="1175"/>
      <c r="M27" s="1580"/>
      <c r="N27" s="1581"/>
      <c r="O27" s="1578">
        <f t="shared" si="4"/>
        <v>87.016980000000331</v>
      </c>
      <c r="P27" s="1580">
        <f>O27</f>
        <v>87.016980000000331</v>
      </c>
      <c r="Q27" s="1579">
        <f>P27</f>
        <v>87.016980000000331</v>
      </c>
      <c r="R27" s="1579">
        <f>Q27</f>
        <v>87.016980000000331</v>
      </c>
      <c r="S27" s="1580">
        <f t="shared" si="17"/>
        <v>2.2014599999984057</v>
      </c>
      <c r="T27" s="1579">
        <f t="shared" si="17"/>
        <v>2.2213900000006106</v>
      </c>
      <c r="U27" s="1579">
        <f t="shared" si="17"/>
        <v>1.9901299999992261</v>
      </c>
      <c r="V27" s="1578">
        <f t="shared" si="2"/>
        <v>0</v>
      </c>
      <c r="W27" s="1175"/>
      <c r="X27" s="1580">
        <f t="shared" si="18"/>
        <v>87.016980000000331</v>
      </c>
      <c r="Y27" s="1579">
        <f t="shared" si="19"/>
        <v>89.218439999998736</v>
      </c>
      <c r="Z27" s="1580">
        <f t="shared" si="6"/>
        <v>2.2014599999984057</v>
      </c>
      <c r="AA27" s="1586">
        <f t="shared" si="3"/>
        <v>2.6210545121757413E-3</v>
      </c>
      <c r="AB27" s="1574"/>
      <c r="AC27" s="934"/>
      <c r="AD27" s="1574"/>
      <c r="AE27" s="1574"/>
    </row>
    <row r="28" spans="1:31" s="1477" customFormat="1">
      <c r="A28" s="1445" t="s">
        <v>899</v>
      </c>
      <c r="B28" s="1589" t="s">
        <v>1411</v>
      </c>
      <c r="C28" s="1595">
        <v>-6.0000000000000001E-3</v>
      </c>
      <c r="D28" s="1592">
        <v>0</v>
      </c>
      <c r="E28" s="1593">
        <v>0</v>
      </c>
      <c r="F28" s="1593">
        <v>0</v>
      </c>
      <c r="G28" s="1596">
        <v>0</v>
      </c>
      <c r="H28" s="1593">
        <f t="shared" si="16"/>
        <v>0</v>
      </c>
      <c r="I28" s="1593">
        <f t="shared" si="16"/>
        <v>0</v>
      </c>
      <c r="J28" s="1593">
        <f t="shared" si="16"/>
        <v>0</v>
      </c>
      <c r="K28" s="1596">
        <f t="shared" si="16"/>
        <v>0</v>
      </c>
      <c r="L28" s="1594"/>
      <c r="M28" s="1592">
        <v>0</v>
      </c>
      <c r="N28" s="1596">
        <v>0</v>
      </c>
      <c r="O28" s="1595">
        <f t="shared" si="4"/>
        <v>0</v>
      </c>
      <c r="P28" s="1592">
        <v>0</v>
      </c>
      <c r="Q28" s="1593">
        <v>0</v>
      </c>
      <c r="R28" s="1593">
        <v>0</v>
      </c>
      <c r="S28" s="1592">
        <v>0</v>
      </c>
      <c r="T28" s="1593">
        <v>0</v>
      </c>
      <c r="U28" s="1593">
        <v>0</v>
      </c>
      <c r="V28" s="1595">
        <f t="shared" si="2"/>
        <v>0</v>
      </c>
      <c r="W28" s="1175"/>
      <c r="X28" s="1592">
        <f t="shared" si="18"/>
        <v>0</v>
      </c>
      <c r="Y28" s="1593">
        <f t="shared" si="19"/>
        <v>0</v>
      </c>
      <c r="Z28" s="1592">
        <f t="shared" si="6"/>
        <v>0</v>
      </c>
      <c r="AA28" s="1591">
        <f t="shared" si="3"/>
        <v>0</v>
      </c>
      <c r="AB28" s="1590"/>
      <c r="AC28" s="934"/>
      <c r="AD28" s="1590"/>
      <c r="AE28" s="1590"/>
    </row>
    <row r="29" spans="1:31" s="1477" customFormat="1">
      <c r="A29" s="1445" t="s">
        <v>898</v>
      </c>
      <c r="B29" s="1589" t="s">
        <v>1410</v>
      </c>
      <c r="C29" s="1595">
        <v>11042.330411630001</v>
      </c>
      <c r="D29" s="1599">
        <v>11520.683999999999</v>
      </c>
      <c r="E29" s="1593">
        <v>11941.598</v>
      </c>
      <c r="F29" s="1593">
        <v>12501.901</v>
      </c>
      <c r="G29" s="1596">
        <v>13152.305</v>
      </c>
      <c r="H29" s="1593">
        <f>SUM(H30:H35)</f>
        <v>11520.683999999999</v>
      </c>
      <c r="I29" s="1593">
        <f>SUM(I30:I35)</f>
        <v>11941.598</v>
      </c>
      <c r="J29" s="1593">
        <f>SUM(J30:J35)</f>
        <v>12501.901</v>
      </c>
      <c r="K29" s="1596">
        <f>SUM(K30:K35)</f>
        <v>13152.305</v>
      </c>
      <c r="L29" s="1594"/>
      <c r="M29" s="1592">
        <f>SUM(M30:M35)</f>
        <v>-96.123000000000005</v>
      </c>
      <c r="N29" s="1596">
        <f>SUM(N30:N35)</f>
        <v>0</v>
      </c>
      <c r="O29" s="1595">
        <f t="shared" si="4"/>
        <v>11424.561</v>
      </c>
      <c r="P29" s="1592">
        <f t="shared" ref="P29:U29" si="20">SUM(P30:P35)</f>
        <v>11952.308851506117</v>
      </c>
      <c r="Q29" s="1593">
        <f t="shared" si="20"/>
        <v>12565.478893207517</v>
      </c>
      <c r="R29" s="1593">
        <f t="shared" si="20"/>
        <v>13285.346233773451</v>
      </c>
      <c r="S29" s="1592">
        <f t="shared" si="20"/>
        <v>-10.710851506116711</v>
      </c>
      <c r="T29" s="1593">
        <f t="shared" si="20"/>
        <v>-63.577893207517292</v>
      </c>
      <c r="U29" s="1593">
        <f t="shared" si="20"/>
        <v>-133.04123377345101</v>
      </c>
      <c r="V29" s="1595">
        <f t="shared" si="2"/>
        <v>527.74785150611751</v>
      </c>
      <c r="W29" s="1175"/>
      <c r="X29" s="1592">
        <f>SUM(X30:X35)</f>
        <v>11952.308851506117</v>
      </c>
      <c r="Y29" s="1593">
        <f>SUM(Y30:Y35)</f>
        <v>11941.598</v>
      </c>
      <c r="Z29" s="1592">
        <f t="shared" si="6"/>
        <v>-10.710851506117251</v>
      </c>
      <c r="AA29" s="1591">
        <f t="shared" si="3"/>
        <v>-1.2752321490907529E-2</v>
      </c>
      <c r="AB29" s="1590"/>
      <c r="AC29" s="934"/>
      <c r="AD29" s="1590"/>
      <c r="AE29" s="1590"/>
    </row>
    <row r="30" spans="1:31">
      <c r="A30" s="1207" t="s">
        <v>1290</v>
      </c>
      <c r="B30" s="859"/>
      <c r="C30" s="1578">
        <v>6156.4780000000001</v>
      </c>
      <c r="D30" s="1584">
        <v>6561.5169999999998</v>
      </c>
      <c r="E30" s="1579">
        <v>6862.2449999999999</v>
      </c>
      <c r="F30" s="1579">
        <v>7194.5169999999998</v>
      </c>
      <c r="G30" s="1581">
        <v>7570.7780000000002</v>
      </c>
      <c r="H30" s="1579">
        <f t="shared" ref="H30:K35" si="21">D30</f>
        <v>6561.5169999999998</v>
      </c>
      <c r="I30" s="1579">
        <f t="shared" si="21"/>
        <v>6862.2449999999999</v>
      </c>
      <c r="J30" s="1579">
        <f t="shared" si="21"/>
        <v>7194.5169999999998</v>
      </c>
      <c r="K30" s="1581">
        <f t="shared" si="21"/>
        <v>7570.7780000000002</v>
      </c>
      <c r="L30" s="1175"/>
      <c r="M30" s="1584"/>
      <c r="N30" s="1582"/>
      <c r="O30" s="1578">
        <f t="shared" si="4"/>
        <v>6561.5169999999998</v>
      </c>
      <c r="P30" s="1580">
        <v>6873.3670256088344</v>
      </c>
      <c r="Q30" s="1579">
        <v>7234.3629847246593</v>
      </c>
      <c r="R30" s="1579">
        <v>7658.0715043318596</v>
      </c>
      <c r="S30" s="1580">
        <f t="shared" ref="S30:U35" si="22">E30-P30</f>
        <v>-11.12202560883452</v>
      </c>
      <c r="T30" s="1579">
        <f t="shared" si="22"/>
        <v>-39.845984724659502</v>
      </c>
      <c r="U30" s="1579">
        <f t="shared" si="22"/>
        <v>-87.293504331859367</v>
      </c>
      <c r="V30" s="1578">
        <f t="shared" si="2"/>
        <v>311.85002560883459</v>
      </c>
      <c r="W30" s="1175"/>
      <c r="X30" s="1580">
        <f t="shared" ref="X30:X35" si="23">P30</f>
        <v>6873.3670256088344</v>
      </c>
      <c r="Y30" s="1579">
        <f t="shared" ref="Y30:Y35" si="24">E30</f>
        <v>6862.2449999999999</v>
      </c>
      <c r="Z30" s="1580">
        <f t="shared" si="6"/>
        <v>-11.12202560883452</v>
      </c>
      <c r="AA30" s="1586">
        <f t="shared" si="3"/>
        <v>-1.3241864674620922E-2</v>
      </c>
      <c r="AB30" s="1574"/>
      <c r="AC30" s="934"/>
      <c r="AD30" s="1574"/>
      <c r="AE30" s="1574"/>
    </row>
    <row r="31" spans="1:31">
      <c r="A31" s="1207" t="s">
        <v>1289</v>
      </c>
      <c r="B31" s="859"/>
      <c r="C31" s="1578">
        <v>2904.3119999999999</v>
      </c>
      <c r="D31" s="1584">
        <v>2946.6840000000002</v>
      </c>
      <c r="E31" s="1579">
        <v>3113.6950000000002</v>
      </c>
      <c r="F31" s="1579">
        <v>3300.4119999999998</v>
      </c>
      <c r="G31" s="1581">
        <v>3516.1790000000001</v>
      </c>
      <c r="H31" s="1579">
        <f t="shared" si="21"/>
        <v>2946.6840000000002</v>
      </c>
      <c r="I31" s="1579">
        <f t="shared" si="21"/>
        <v>3113.6950000000002</v>
      </c>
      <c r="J31" s="1579">
        <f t="shared" si="21"/>
        <v>3300.4119999999998</v>
      </c>
      <c r="K31" s="1581">
        <f t="shared" si="21"/>
        <v>3516.1790000000001</v>
      </c>
      <c r="L31" s="1175"/>
      <c r="M31" s="1584"/>
      <c r="N31" s="1582"/>
      <c r="O31" s="1578">
        <f t="shared" si="4"/>
        <v>2946.6840000000002</v>
      </c>
      <c r="P31" s="1580">
        <v>3118.7415402398342</v>
      </c>
      <c r="Q31" s="1579">
        <v>3326.2774898769426</v>
      </c>
      <c r="R31" s="1579">
        <v>3565.7862537121059</v>
      </c>
      <c r="S31" s="1584">
        <f t="shared" si="22"/>
        <v>-5.0465402398340302</v>
      </c>
      <c r="T31" s="1583">
        <f t="shared" si="22"/>
        <v>-25.865489876942775</v>
      </c>
      <c r="U31" s="1583">
        <f t="shared" si="22"/>
        <v>-49.60725371210583</v>
      </c>
      <c r="V31" s="1585">
        <f t="shared" si="2"/>
        <v>172.057540239834</v>
      </c>
      <c r="W31" s="1175"/>
      <c r="X31" s="1580">
        <f t="shared" si="23"/>
        <v>3118.7415402398342</v>
      </c>
      <c r="Y31" s="1579">
        <f t="shared" si="24"/>
        <v>3113.6950000000002</v>
      </c>
      <c r="Z31" s="1580">
        <f t="shared" si="6"/>
        <v>-5.0465402398340302</v>
      </c>
      <c r="AA31" s="1586">
        <f t="shared" si="3"/>
        <v>-6.0084021815081864E-3</v>
      </c>
      <c r="AB31" s="1574"/>
      <c r="AC31" s="934"/>
      <c r="AD31" s="1574"/>
      <c r="AE31" s="1574"/>
    </row>
    <row r="32" spans="1:31">
      <c r="A32" s="1207" t="s">
        <v>1409</v>
      </c>
      <c r="B32" s="859"/>
      <c r="C32" s="1578">
        <f>1557.16760903-C33</f>
        <v>1348.8646090299999</v>
      </c>
      <c r="D32" s="1580">
        <v>1354.6770000000001</v>
      </c>
      <c r="E32" s="1579">
        <v>1296.4639999999999</v>
      </c>
      <c r="F32" s="1579">
        <v>1334.3009999999999</v>
      </c>
      <c r="G32" s="1581">
        <v>1380.9560000000001</v>
      </c>
      <c r="H32" s="1579">
        <f t="shared" si="21"/>
        <v>1354.6770000000001</v>
      </c>
      <c r="I32" s="1579">
        <f t="shared" si="21"/>
        <v>1296.4639999999999</v>
      </c>
      <c r="J32" s="1579">
        <f t="shared" si="21"/>
        <v>1334.3009999999999</v>
      </c>
      <c r="K32" s="1581">
        <f t="shared" si="21"/>
        <v>1380.9560000000001</v>
      </c>
      <c r="L32" s="1175"/>
      <c r="M32" s="1580">
        <v>-96.123000000000005</v>
      </c>
      <c r="N32" s="1581"/>
      <c r="O32" s="1578">
        <f t="shared" si="4"/>
        <v>1258.5540000000001</v>
      </c>
      <c r="P32" s="1580">
        <v>1295.2251538461535</v>
      </c>
      <c r="Q32" s="1579">
        <v>1331.8963076923076</v>
      </c>
      <c r="R32" s="1579">
        <v>1378.2172554824663</v>
      </c>
      <c r="S32" s="1580">
        <f t="shared" si="22"/>
        <v>1.2388461538464526</v>
      </c>
      <c r="T32" s="1579">
        <f t="shared" si="22"/>
        <v>2.4046923076923576</v>
      </c>
      <c r="U32" s="1579">
        <f t="shared" si="22"/>
        <v>2.7387445175338598</v>
      </c>
      <c r="V32" s="1578">
        <f t="shared" si="2"/>
        <v>36.671153846153402</v>
      </c>
      <c r="W32" s="1175"/>
      <c r="X32" s="1580">
        <f t="shared" si="23"/>
        <v>1295.2251538461535</v>
      </c>
      <c r="Y32" s="1579">
        <f t="shared" si="24"/>
        <v>1296.4639999999999</v>
      </c>
      <c r="Z32" s="1580">
        <f t="shared" si="6"/>
        <v>1.2388461538464526</v>
      </c>
      <c r="AA32" s="1586">
        <f t="shared" si="3"/>
        <v>1.4749681127220839E-3</v>
      </c>
      <c r="AB32" s="1574"/>
      <c r="AC32" s="934"/>
      <c r="AD32" s="1574"/>
      <c r="AE32" s="1574"/>
    </row>
    <row r="33" spans="1:36">
      <c r="A33" s="1207" t="s">
        <v>1408</v>
      </c>
      <c r="B33" s="859"/>
      <c r="C33" s="1578">
        <v>208.303</v>
      </c>
      <c r="D33" s="1580">
        <v>196.69200000000001</v>
      </c>
      <c r="E33" s="1579">
        <v>198.50800000000001</v>
      </c>
      <c r="F33" s="1579">
        <v>203.58600000000001</v>
      </c>
      <c r="G33" s="1581">
        <v>215.48</v>
      </c>
      <c r="H33" s="1579">
        <f t="shared" si="21"/>
        <v>196.69200000000001</v>
      </c>
      <c r="I33" s="1579">
        <f t="shared" si="21"/>
        <v>198.50800000000001</v>
      </c>
      <c r="J33" s="1579">
        <f t="shared" si="21"/>
        <v>203.58600000000001</v>
      </c>
      <c r="K33" s="1581">
        <f t="shared" si="21"/>
        <v>215.48</v>
      </c>
      <c r="L33" s="1175"/>
      <c r="M33" s="1580"/>
      <c r="N33" s="1581"/>
      <c r="O33" s="1578">
        <f t="shared" si="4"/>
        <v>196.69200000000001</v>
      </c>
      <c r="P33" s="1580">
        <v>202.42311888111882</v>
      </c>
      <c r="Q33" s="1579">
        <v>208.15423776223773</v>
      </c>
      <c r="R33" s="1579">
        <v>215.39346616462802</v>
      </c>
      <c r="S33" s="1580">
        <f t="shared" si="22"/>
        <v>-3.9151188811188149</v>
      </c>
      <c r="T33" s="1579">
        <f t="shared" si="22"/>
        <v>-4.5682377622377146</v>
      </c>
      <c r="U33" s="1579">
        <f t="shared" si="22"/>
        <v>8.6533835371966461E-2</v>
      </c>
      <c r="V33" s="1578">
        <f t="shared" si="2"/>
        <v>5.7311188811188174</v>
      </c>
      <c r="W33" s="1175"/>
      <c r="X33" s="1580">
        <f t="shared" si="23"/>
        <v>202.42311888111882</v>
      </c>
      <c r="Y33" s="1579">
        <f t="shared" si="24"/>
        <v>198.50800000000001</v>
      </c>
      <c r="Z33" s="1580">
        <f t="shared" si="6"/>
        <v>-3.9151188811188149</v>
      </c>
      <c r="AA33" s="1586">
        <f t="shared" si="3"/>
        <v>-4.6613338462058547E-3</v>
      </c>
      <c r="AB33" s="1574"/>
      <c r="AC33" s="934"/>
      <c r="AD33" s="1574"/>
      <c r="AE33" s="1574"/>
    </row>
    <row r="34" spans="1:36">
      <c r="A34" s="1207" t="s">
        <v>1311</v>
      </c>
      <c r="B34" s="859"/>
      <c r="C34" s="1578">
        <v>170.85599999999999</v>
      </c>
      <c r="D34" s="1580">
        <v>166.78300000000002</v>
      </c>
      <c r="E34" s="1579">
        <v>176.35499999999999</v>
      </c>
      <c r="F34" s="1579">
        <v>175.25399999999999</v>
      </c>
      <c r="G34" s="1581">
        <v>175.58099999999999</v>
      </c>
      <c r="H34" s="1579">
        <f t="shared" si="21"/>
        <v>166.78300000000002</v>
      </c>
      <c r="I34" s="1579">
        <f t="shared" si="21"/>
        <v>176.35499999999999</v>
      </c>
      <c r="J34" s="1579">
        <f t="shared" si="21"/>
        <v>175.25399999999999</v>
      </c>
      <c r="K34" s="1581">
        <f t="shared" si="21"/>
        <v>175.58099999999999</v>
      </c>
      <c r="L34" s="1175"/>
      <c r="M34" s="1580"/>
      <c r="N34" s="1581"/>
      <c r="O34" s="1578">
        <f t="shared" si="4"/>
        <v>166.78300000000002</v>
      </c>
      <c r="P34" s="1580">
        <f>P109</f>
        <v>168.22101293017579</v>
      </c>
      <c r="Q34" s="1579">
        <f>Q109</f>
        <v>170.95687315136965</v>
      </c>
      <c r="R34" s="1579">
        <f>R109</f>
        <v>174.54675408239163</v>
      </c>
      <c r="S34" s="1580">
        <f t="shared" si="22"/>
        <v>8.1339870698242009</v>
      </c>
      <c r="T34" s="1579">
        <f t="shared" si="22"/>
        <v>4.2971268486303416</v>
      </c>
      <c r="U34" s="1579">
        <f t="shared" si="22"/>
        <v>1.0342459176083594</v>
      </c>
      <c r="V34" s="1578">
        <f t="shared" si="2"/>
        <v>1.4380129301757734</v>
      </c>
      <c r="W34" s="1175"/>
      <c r="X34" s="1580">
        <f t="shared" si="23"/>
        <v>168.22101293017579</v>
      </c>
      <c r="Y34" s="1579">
        <f t="shared" si="24"/>
        <v>176.35499999999999</v>
      </c>
      <c r="Z34" s="1580">
        <f t="shared" si="6"/>
        <v>8.1339870698242009</v>
      </c>
      <c r="AA34" s="1586">
        <f t="shared" si="3"/>
        <v>9.684311098705994E-3</v>
      </c>
      <c r="AB34" s="1574"/>
      <c r="AC34" s="934"/>
      <c r="AD34" s="1574"/>
      <c r="AE34" s="1574"/>
    </row>
    <row r="35" spans="1:36">
      <c r="A35" s="1207" t="s">
        <v>1379</v>
      </c>
      <c r="B35" s="859"/>
      <c r="C35" s="1585">
        <v>253.49214460000002</v>
      </c>
      <c r="D35" s="1584">
        <v>294.33100000000002</v>
      </c>
      <c r="E35" s="1583">
        <v>294.33100000000002</v>
      </c>
      <c r="F35" s="1583">
        <v>293.83100000000002</v>
      </c>
      <c r="G35" s="1582">
        <v>293.33100000000002</v>
      </c>
      <c r="H35" s="1583">
        <f t="shared" si="21"/>
        <v>294.33100000000002</v>
      </c>
      <c r="I35" s="1583">
        <f t="shared" si="21"/>
        <v>294.33100000000002</v>
      </c>
      <c r="J35" s="1583">
        <f t="shared" si="21"/>
        <v>293.83100000000002</v>
      </c>
      <c r="K35" s="1582">
        <f t="shared" si="21"/>
        <v>293.33100000000002</v>
      </c>
      <c r="L35" s="1175"/>
      <c r="M35" s="1584"/>
      <c r="N35" s="1582"/>
      <c r="O35" s="1578">
        <f t="shared" si="4"/>
        <v>294.33100000000002</v>
      </c>
      <c r="P35" s="1584">
        <f>E35</f>
        <v>294.33100000000002</v>
      </c>
      <c r="Q35" s="1583">
        <f>F35</f>
        <v>293.83100000000002</v>
      </c>
      <c r="R35" s="1583">
        <f>G35</f>
        <v>293.33100000000002</v>
      </c>
      <c r="S35" s="1584">
        <f t="shared" si="22"/>
        <v>0</v>
      </c>
      <c r="T35" s="1583">
        <f t="shared" si="22"/>
        <v>0</v>
      </c>
      <c r="U35" s="1583">
        <f t="shared" si="22"/>
        <v>0</v>
      </c>
      <c r="V35" s="1585">
        <f t="shared" si="2"/>
        <v>0</v>
      </c>
      <c r="W35" s="1175"/>
      <c r="X35" s="1580">
        <f t="shared" si="23"/>
        <v>294.33100000000002</v>
      </c>
      <c r="Y35" s="1579">
        <f t="shared" si="24"/>
        <v>294.33100000000002</v>
      </c>
      <c r="Z35" s="1580">
        <f t="shared" si="6"/>
        <v>0</v>
      </c>
      <c r="AA35" s="1586">
        <f t="shared" si="3"/>
        <v>0</v>
      </c>
      <c r="AB35" s="1574"/>
      <c r="AC35" s="934"/>
      <c r="AD35" s="1574"/>
      <c r="AE35" s="1621"/>
      <c r="AF35" s="932"/>
      <c r="AG35" s="932"/>
      <c r="AH35" s="932"/>
      <c r="AI35" s="932"/>
      <c r="AJ35" s="932"/>
    </row>
    <row r="36" spans="1:36" s="1477" customFormat="1">
      <c r="A36" s="1445" t="s">
        <v>897</v>
      </c>
      <c r="B36" s="1589" t="s">
        <v>1407</v>
      </c>
      <c r="C36" s="1595">
        <v>633.05899999999997</v>
      </c>
      <c r="D36" s="1592">
        <v>579.29999999999995</v>
      </c>
      <c r="E36" s="1593">
        <v>547.9</v>
      </c>
      <c r="F36" s="1593">
        <v>548.1</v>
      </c>
      <c r="G36" s="1596">
        <v>555.11030600000004</v>
      </c>
      <c r="H36" s="1593">
        <f>SUM(H37:H44)</f>
        <v>411.4456766789387</v>
      </c>
      <c r="I36" s="1593">
        <f>SUM(I37:I44)</f>
        <v>439.61707667893876</v>
      </c>
      <c r="J36" s="1593">
        <f>SUM(J37:J44)</f>
        <v>437.8170766789388</v>
      </c>
      <c r="K36" s="1596">
        <f>SUM(K37:K44)</f>
        <v>438.82738267893882</v>
      </c>
      <c r="L36" s="1594"/>
      <c r="M36" s="1592">
        <f>SUM(M37:M44)</f>
        <v>0</v>
      </c>
      <c r="N36" s="1596">
        <f>SUM(N37:N44)</f>
        <v>-167.15432332106124</v>
      </c>
      <c r="O36" s="1595">
        <f t="shared" si="4"/>
        <v>412.14567667893868</v>
      </c>
      <c r="P36" s="1592">
        <f t="shared" ref="P36:U36" si="25">SUM(P37:P44)</f>
        <v>409.01698383946979</v>
      </c>
      <c r="Q36" s="1593">
        <f t="shared" si="25"/>
        <v>439.78282986121309</v>
      </c>
      <c r="R36" s="1593">
        <f t="shared" si="25"/>
        <v>468.52857952166835</v>
      </c>
      <c r="S36" s="1592">
        <f t="shared" si="25"/>
        <v>138.88301616053016</v>
      </c>
      <c r="T36" s="1593">
        <f t="shared" si="25"/>
        <v>108.31717013878696</v>
      </c>
      <c r="U36" s="1593">
        <f t="shared" si="25"/>
        <v>86.581726478331632</v>
      </c>
      <c r="V36" s="1595">
        <f t="shared" si="2"/>
        <v>-3.1286928394688971</v>
      </c>
      <c r="W36" s="1175"/>
      <c r="X36" s="1592">
        <f>SUM(X37:X44)</f>
        <v>409.01698383946979</v>
      </c>
      <c r="Y36" s="1593">
        <f>SUM(Y37:Y44)</f>
        <v>554.67499171294878</v>
      </c>
      <c r="Z36" s="1592">
        <f t="shared" si="6"/>
        <v>145.65800787347899</v>
      </c>
      <c r="AA36" s="1591">
        <f t="shared" si="3"/>
        <v>0.17342017514358118</v>
      </c>
      <c r="AB36" s="1590"/>
      <c r="AC36" s="934"/>
      <c r="AD36" s="1590"/>
      <c r="AE36" s="1600"/>
      <c r="AF36" s="1619"/>
      <c r="AG36" s="1619"/>
      <c r="AH36" s="1619"/>
      <c r="AI36" s="1619"/>
      <c r="AJ36" s="1619"/>
    </row>
    <row r="37" spans="1:36">
      <c r="A37" s="1207" t="s">
        <v>1238</v>
      </c>
      <c r="B37" s="859"/>
      <c r="C37" s="1578">
        <f>336.603-5.874</f>
        <v>330.72899999999998</v>
      </c>
      <c r="D37" s="1580">
        <f>483.193-6</f>
        <v>477.19299999999998</v>
      </c>
      <c r="E37" s="1579">
        <f>452.432501-5.68</f>
        <v>446.752501</v>
      </c>
      <c r="F37" s="1579">
        <f>452.928084-5.733</f>
        <v>447.19508400000001</v>
      </c>
      <c r="G37" s="1581">
        <f>459.832564-5.886</f>
        <v>453.94656399999997</v>
      </c>
      <c r="H37" s="1579">
        <v>309.19299999999998</v>
      </c>
      <c r="I37" s="1579">
        <f>319.752501+12</f>
        <v>331.752501</v>
      </c>
      <c r="J37" s="1579">
        <v>330.19508400000001</v>
      </c>
      <c r="K37" s="1581">
        <v>330.94656399999997</v>
      </c>
      <c r="L37" s="1175"/>
      <c r="M37" s="1580"/>
      <c r="N37" s="1581">
        <v>-168</v>
      </c>
      <c r="O37" s="1578">
        <f t="shared" si="4"/>
        <v>309.19299999999998</v>
      </c>
      <c r="P37" s="1580">
        <v>309.79167797541987</v>
      </c>
      <c r="Q37" s="1579">
        <v>339.24607180585275</v>
      </c>
      <c r="R37" s="1579">
        <v>364.30627275749032</v>
      </c>
      <c r="S37" s="1580">
        <f t="shared" ref="S37:U44" si="26">E37-P37</f>
        <v>136.96082302458012</v>
      </c>
      <c r="T37" s="1579">
        <f t="shared" si="26"/>
        <v>107.94901219414726</v>
      </c>
      <c r="U37" s="1579">
        <f t="shared" si="26"/>
        <v>89.640291242509647</v>
      </c>
      <c r="V37" s="1578">
        <f t="shared" ref="V37:V61" si="27">P37-O37</f>
        <v>0.59867797541988921</v>
      </c>
      <c r="W37" s="1175"/>
      <c r="X37" s="1580">
        <f t="shared" ref="X37:X44" si="28">P37</f>
        <v>309.79167797541987</v>
      </c>
      <c r="Y37" s="1579">
        <f>E37</f>
        <v>446.752501</v>
      </c>
      <c r="Z37" s="1580">
        <f t="shared" si="6"/>
        <v>136.96082302458012</v>
      </c>
      <c r="AA37" s="1586">
        <f t="shared" si="3"/>
        <v>0.16306532173200461</v>
      </c>
      <c r="AB37" s="1574"/>
      <c r="AC37" s="934"/>
      <c r="AD37" s="1574"/>
      <c r="AE37" s="1621"/>
      <c r="AF37" s="932"/>
      <c r="AG37" s="932"/>
      <c r="AH37" s="932"/>
      <c r="AI37" s="932"/>
      <c r="AJ37" s="932"/>
    </row>
    <row r="38" spans="1:36">
      <c r="A38" s="1207" t="s">
        <v>1160</v>
      </c>
      <c r="B38" s="859"/>
      <c r="C38" s="1578">
        <f>226.809-C39-0.002-0.988-0.85</f>
        <v>224.346</v>
      </c>
      <c r="D38" s="1580">
        <f>44.177-0.116</f>
        <v>44.061</v>
      </c>
      <c r="E38" s="1579">
        <f>43.390227-0.049-0.001</f>
        <v>43.340227000000006</v>
      </c>
      <c r="F38" s="1579">
        <f>43.316967-0.051-0.001</f>
        <v>43.264966999999999</v>
      </c>
      <c r="G38" s="1581">
        <f>43.460405-0.054</f>
        <v>43.406404999999999</v>
      </c>
      <c r="H38" s="1579">
        <f t="shared" ref="H38:K41" si="29">D38</f>
        <v>44.061</v>
      </c>
      <c r="I38" s="1579">
        <f t="shared" si="29"/>
        <v>43.340227000000006</v>
      </c>
      <c r="J38" s="1579">
        <f t="shared" si="29"/>
        <v>43.264966999999999</v>
      </c>
      <c r="K38" s="1581">
        <f t="shared" si="29"/>
        <v>43.406404999999999</v>
      </c>
      <c r="L38" s="1175"/>
      <c r="M38" s="1580"/>
      <c r="N38" s="1581"/>
      <c r="O38" s="1578">
        <f t="shared" si="4"/>
        <v>44.061</v>
      </c>
      <c r="P38" s="1580">
        <v>40.754904404564911</v>
      </c>
      <c r="Q38" s="1579">
        <v>41.935490922497856</v>
      </c>
      <c r="R38" s="1579">
        <v>45.430027015579327</v>
      </c>
      <c r="S38" s="1580">
        <f t="shared" si="26"/>
        <v>2.5853225954350947</v>
      </c>
      <c r="T38" s="1579">
        <f t="shared" si="26"/>
        <v>1.329476077502143</v>
      </c>
      <c r="U38" s="1579">
        <f t="shared" si="26"/>
        <v>-2.0236220155793276</v>
      </c>
      <c r="V38" s="1578">
        <f t="shared" si="27"/>
        <v>-3.3060955954350888</v>
      </c>
      <c r="W38" s="1175"/>
      <c r="X38" s="1580">
        <f t="shared" si="28"/>
        <v>40.754904404564911</v>
      </c>
      <c r="Y38" s="1579">
        <f>E38</f>
        <v>43.340227000000006</v>
      </c>
      <c r="Z38" s="1580">
        <f t="shared" si="6"/>
        <v>2.5853225954350947</v>
      </c>
      <c r="AA38" s="1586">
        <f t="shared" si="3"/>
        <v>3.0780806620151905E-3</v>
      </c>
      <c r="AB38" s="1574"/>
      <c r="AC38" s="934"/>
      <c r="AD38" s="1574"/>
      <c r="AE38" s="1621"/>
      <c r="AF38" s="932"/>
      <c r="AG38" s="932"/>
      <c r="AH38" s="932"/>
      <c r="AI38" s="932"/>
      <c r="AJ38" s="932"/>
    </row>
    <row r="39" spans="1:36">
      <c r="A39" s="1207" t="s">
        <v>1354</v>
      </c>
      <c r="B39" s="859"/>
      <c r="C39" s="1578">
        <v>0.623</v>
      </c>
      <c r="D39" s="1580">
        <v>2.3E-2</v>
      </c>
      <c r="E39" s="1579">
        <v>0</v>
      </c>
      <c r="F39" s="1579">
        <v>0</v>
      </c>
      <c r="G39" s="1581">
        <v>0</v>
      </c>
      <c r="H39" s="1579">
        <f t="shared" si="29"/>
        <v>2.3E-2</v>
      </c>
      <c r="I39" s="1579">
        <f t="shared" si="29"/>
        <v>0</v>
      </c>
      <c r="J39" s="1579">
        <f t="shared" si="29"/>
        <v>0</v>
      </c>
      <c r="K39" s="1581">
        <f t="shared" si="29"/>
        <v>0</v>
      </c>
      <c r="L39" s="1175"/>
      <c r="M39" s="1580"/>
      <c r="N39" s="1581"/>
      <c r="O39" s="1578">
        <f t="shared" si="4"/>
        <v>2.3E-2</v>
      </c>
      <c r="P39" s="1580">
        <v>0</v>
      </c>
      <c r="Q39" s="1579">
        <v>0</v>
      </c>
      <c r="R39" s="1579">
        <v>0</v>
      </c>
      <c r="S39" s="1580">
        <f t="shared" si="26"/>
        <v>0</v>
      </c>
      <c r="T39" s="1579">
        <f t="shared" si="26"/>
        <v>0</v>
      </c>
      <c r="U39" s="1579">
        <f t="shared" si="26"/>
        <v>0</v>
      </c>
      <c r="V39" s="1578">
        <f t="shared" si="27"/>
        <v>-2.3E-2</v>
      </c>
      <c r="W39" s="1175"/>
      <c r="X39" s="1580">
        <f t="shared" si="28"/>
        <v>0</v>
      </c>
      <c r="Y39" s="1579">
        <f>E39</f>
        <v>0</v>
      </c>
      <c r="Z39" s="1580">
        <f t="shared" si="6"/>
        <v>0</v>
      </c>
      <c r="AA39" s="1586">
        <f t="shared" si="3"/>
        <v>0</v>
      </c>
      <c r="AB39" s="1574"/>
      <c r="AC39" s="934"/>
      <c r="AD39" s="1574"/>
      <c r="AE39" s="1621"/>
      <c r="AF39" s="932"/>
      <c r="AG39" s="932"/>
      <c r="AH39" s="932"/>
      <c r="AI39" s="932"/>
      <c r="AJ39" s="932"/>
    </row>
    <row r="40" spans="1:36">
      <c r="A40" s="1207" t="s">
        <v>1351</v>
      </c>
      <c r="B40" s="859"/>
      <c r="C40" s="1578">
        <v>1.1790430000000001</v>
      </c>
      <c r="D40" s="1580">
        <f>0.368+0.032</f>
        <v>0.4</v>
      </c>
      <c r="E40" s="1579">
        <v>6.0277180000000001</v>
      </c>
      <c r="F40" s="1579">
        <v>6.082541</v>
      </c>
      <c r="G40" s="1581">
        <v>6.237476</v>
      </c>
      <c r="H40" s="1579">
        <f t="shared" si="29"/>
        <v>0.4</v>
      </c>
      <c r="I40" s="1579">
        <f t="shared" si="29"/>
        <v>6.0277180000000001</v>
      </c>
      <c r="J40" s="1579">
        <f t="shared" si="29"/>
        <v>6.082541</v>
      </c>
      <c r="K40" s="1581">
        <f t="shared" si="29"/>
        <v>6.237476</v>
      </c>
      <c r="L40" s="1175"/>
      <c r="M40" s="1580"/>
      <c r="N40" s="1581"/>
      <c r="O40" s="1578">
        <f t="shared" si="4"/>
        <v>0.4</v>
      </c>
      <c r="P40" s="1580">
        <v>0.42082974653625033</v>
      </c>
      <c r="Q40" s="1579">
        <v>0.44749043170378405</v>
      </c>
      <c r="R40" s="1579">
        <v>0.4819229314694165</v>
      </c>
      <c r="S40" s="1580">
        <f t="shared" si="26"/>
        <v>5.6068882534637501</v>
      </c>
      <c r="T40" s="1579">
        <f t="shared" si="26"/>
        <v>5.635050568296216</v>
      </c>
      <c r="U40" s="1579">
        <f t="shared" si="26"/>
        <v>5.7555530685305838</v>
      </c>
      <c r="V40" s="1578">
        <f t="shared" si="27"/>
        <v>2.0829746536250304E-2</v>
      </c>
      <c r="W40" s="1175"/>
      <c r="X40" s="1580">
        <f t="shared" si="28"/>
        <v>0.42082974653625033</v>
      </c>
      <c r="Y40" s="1579">
        <f>E40</f>
        <v>6.0277180000000001</v>
      </c>
      <c r="Z40" s="1580">
        <f t="shared" si="6"/>
        <v>5.6068882534637501</v>
      </c>
      <c r="AA40" s="1586">
        <f t="shared" si="3"/>
        <v>6.6755515685122443E-3</v>
      </c>
      <c r="AB40" s="1574"/>
      <c r="AC40" s="934"/>
      <c r="AD40" s="1574"/>
      <c r="AE40" s="1621"/>
      <c r="AF40" s="932"/>
      <c r="AG40" s="932"/>
      <c r="AH40" s="932"/>
      <c r="AI40" s="932"/>
      <c r="AJ40" s="932"/>
    </row>
    <row r="41" spans="1:36">
      <c r="A41" s="1207" t="s">
        <v>1350</v>
      </c>
      <c r="B41" s="859"/>
      <c r="C41" s="1578">
        <v>4.7E-2</v>
      </c>
      <c r="D41" s="1580">
        <f>1.815-0.361</f>
        <v>1.454</v>
      </c>
      <c r="E41" s="1579">
        <v>1.6769799999999999</v>
      </c>
      <c r="F41" s="1579">
        <v>1.671</v>
      </c>
      <c r="G41" s="1581">
        <v>1.6830000000000001</v>
      </c>
      <c r="H41" s="1579">
        <f t="shared" si="29"/>
        <v>1.454</v>
      </c>
      <c r="I41" s="1579">
        <f t="shared" si="29"/>
        <v>1.6769799999999999</v>
      </c>
      <c r="J41" s="1579">
        <f t="shared" si="29"/>
        <v>1.671</v>
      </c>
      <c r="K41" s="1581">
        <f t="shared" si="29"/>
        <v>1.6830000000000001</v>
      </c>
      <c r="L41" s="1175"/>
      <c r="M41" s="1580"/>
      <c r="N41" s="1581"/>
      <c r="O41" s="1578">
        <f t="shared" si="4"/>
        <v>1.454</v>
      </c>
      <c r="P41" s="1580">
        <f>E41</f>
        <v>1.6769799999999999</v>
      </c>
      <c r="Q41" s="1579">
        <f>F41</f>
        <v>1.671</v>
      </c>
      <c r="R41" s="1579">
        <f>G41</f>
        <v>1.6830000000000001</v>
      </c>
      <c r="S41" s="1580">
        <f t="shared" si="26"/>
        <v>0</v>
      </c>
      <c r="T41" s="1579">
        <f t="shared" si="26"/>
        <v>0</v>
      </c>
      <c r="U41" s="1579">
        <f t="shared" si="26"/>
        <v>0</v>
      </c>
      <c r="V41" s="1578">
        <f t="shared" si="27"/>
        <v>0.22297999999999996</v>
      </c>
      <c r="W41" s="1175"/>
      <c r="X41" s="1580">
        <f t="shared" si="28"/>
        <v>1.6769799999999999</v>
      </c>
      <c r="Y41" s="1579">
        <f>E41</f>
        <v>1.6769799999999999</v>
      </c>
      <c r="Z41" s="1580">
        <f t="shared" si="6"/>
        <v>0</v>
      </c>
      <c r="AA41" s="1586">
        <f t="shared" si="3"/>
        <v>0</v>
      </c>
      <c r="AB41" s="1574"/>
      <c r="AC41" s="934"/>
      <c r="AD41" s="1574"/>
      <c r="AE41" s="1621"/>
      <c r="AF41" s="932"/>
      <c r="AG41" s="932"/>
      <c r="AH41" s="932"/>
      <c r="AI41" s="932"/>
      <c r="AJ41" s="932"/>
    </row>
    <row r="42" spans="1:36">
      <c r="A42" s="1207" t="s">
        <v>1349</v>
      </c>
      <c r="B42" s="859"/>
      <c r="C42" s="1578">
        <v>0.85</v>
      </c>
      <c r="D42" s="1580">
        <v>0</v>
      </c>
      <c r="E42" s="1579">
        <v>0</v>
      </c>
      <c r="F42" s="1579">
        <v>0</v>
      </c>
      <c r="G42" s="1581">
        <v>0</v>
      </c>
      <c r="H42" s="1577">
        <v>0.84567667893876175</v>
      </c>
      <c r="I42" s="1577">
        <v>0.84567667893876175</v>
      </c>
      <c r="J42" s="1577">
        <v>0.84567667893876175</v>
      </c>
      <c r="K42" s="1587">
        <v>0.84567667893876175</v>
      </c>
      <c r="L42" s="1175"/>
      <c r="M42" s="1580"/>
      <c r="N42" s="1581">
        <v>0.84567667893876175</v>
      </c>
      <c r="O42" s="1578">
        <f t="shared" si="4"/>
        <v>0.84567667893876175</v>
      </c>
      <c r="P42" s="1580">
        <v>0.85296815348390143</v>
      </c>
      <c r="Q42" s="1579">
        <v>0.8668403897783673</v>
      </c>
      <c r="R42" s="1579">
        <v>0.88504295588841608</v>
      </c>
      <c r="S42" s="1580">
        <f t="shared" si="26"/>
        <v>-0.85296815348390143</v>
      </c>
      <c r="T42" s="1579">
        <f t="shared" si="26"/>
        <v>-0.8668403897783673</v>
      </c>
      <c r="U42" s="1579">
        <f t="shared" si="26"/>
        <v>-0.88504295588841608</v>
      </c>
      <c r="V42" s="1578">
        <f t="shared" si="27"/>
        <v>7.2914745451396756E-3</v>
      </c>
      <c r="W42" s="1175"/>
      <c r="X42" s="1580">
        <f t="shared" si="28"/>
        <v>0.85296815348390143</v>
      </c>
      <c r="Y42" s="1579">
        <f>P42</f>
        <v>0.85296815348390143</v>
      </c>
      <c r="Z42" s="1580">
        <f t="shared" si="6"/>
        <v>0</v>
      </c>
      <c r="AA42" s="1586">
        <f t="shared" si="3"/>
        <v>0</v>
      </c>
      <c r="AB42" s="1574"/>
      <c r="AC42" s="934"/>
      <c r="AD42" s="1574"/>
      <c r="AE42" s="1621"/>
      <c r="AF42" s="932"/>
      <c r="AG42" s="932"/>
      <c r="AH42" s="932"/>
      <c r="AI42" s="932"/>
      <c r="AJ42" s="932"/>
    </row>
    <row r="43" spans="1:36">
      <c r="A43" s="1207" t="s">
        <v>1370</v>
      </c>
      <c r="B43" s="859"/>
      <c r="C43" s="1585">
        <f>5.876+0.022</f>
        <v>5.8980000000000006</v>
      </c>
      <c r="D43" s="1584">
        <f>8.5714-2</f>
        <v>6.5714000000000006</v>
      </c>
      <c r="E43" s="1583">
        <v>0</v>
      </c>
      <c r="F43" s="1583">
        <v>0</v>
      </c>
      <c r="G43" s="1582">
        <v>0</v>
      </c>
      <c r="H43" s="1603">
        <f>D43-0.7</f>
        <v>5.8714000000000004</v>
      </c>
      <c r="I43" s="1603">
        <v>5.8714000000000004</v>
      </c>
      <c r="J43" s="1603">
        <v>5.8714000000000004</v>
      </c>
      <c r="K43" s="1602">
        <v>5.8714000000000004</v>
      </c>
      <c r="L43" s="1175"/>
      <c r="M43" s="1580"/>
      <c r="N43" s="1581"/>
      <c r="O43" s="1578">
        <f>D43+M43+N43-0.7</f>
        <v>5.8714000000000004</v>
      </c>
      <c r="P43" s="1580">
        <v>5.9220235594648978</v>
      </c>
      <c r="Q43" s="1579">
        <v>6.0183363113803674</v>
      </c>
      <c r="R43" s="1579">
        <v>6.1447138612409802</v>
      </c>
      <c r="S43" s="1580">
        <f t="shared" si="26"/>
        <v>-5.9220235594648978</v>
      </c>
      <c r="T43" s="1579">
        <f t="shared" si="26"/>
        <v>-6.0183363113803674</v>
      </c>
      <c r="U43" s="1579">
        <f t="shared" si="26"/>
        <v>-6.1447138612409802</v>
      </c>
      <c r="V43" s="1578">
        <f t="shared" si="27"/>
        <v>5.0623559464897383E-2</v>
      </c>
      <c r="W43" s="1175"/>
      <c r="X43" s="1580">
        <f t="shared" si="28"/>
        <v>5.9220235594648978</v>
      </c>
      <c r="Y43" s="1579">
        <f>X43</f>
        <v>5.9220235594648978</v>
      </c>
      <c r="Z43" s="1580">
        <f t="shared" si="6"/>
        <v>0</v>
      </c>
      <c r="AA43" s="1586">
        <f t="shared" si="3"/>
        <v>0</v>
      </c>
      <c r="AB43" s="1574"/>
      <c r="AC43" s="934"/>
      <c r="AD43" s="1574"/>
      <c r="AE43" s="1574"/>
    </row>
    <row r="44" spans="1:36">
      <c r="A44" s="1207" t="s">
        <v>1285</v>
      </c>
      <c r="B44" s="859"/>
      <c r="C44" s="1578">
        <f>C36-SUM(C37:C43)</f>
        <v>69.386956999999825</v>
      </c>
      <c r="D44" s="1580">
        <f>D36-SUM(D37:D43)</f>
        <v>49.597599999999943</v>
      </c>
      <c r="E44" s="1579">
        <f>E36-SUM(E37:E43)</f>
        <v>50.102573999999947</v>
      </c>
      <c r="F44" s="1579">
        <f>F36-SUM(F37:F43)</f>
        <v>49.886408000000017</v>
      </c>
      <c r="G44" s="1581">
        <f>G36-SUM(G37:G43)</f>
        <v>49.836861000000056</v>
      </c>
      <c r="H44" s="1579">
        <f>D44</f>
        <v>49.597599999999943</v>
      </c>
      <c r="I44" s="1579">
        <f>E44</f>
        <v>50.102573999999947</v>
      </c>
      <c r="J44" s="1579">
        <f>F44</f>
        <v>49.886408000000017</v>
      </c>
      <c r="K44" s="1581">
        <f>G44</f>
        <v>49.836861000000056</v>
      </c>
      <c r="L44" s="1175"/>
      <c r="M44" s="1580"/>
      <c r="N44" s="1581"/>
      <c r="O44" s="1578">
        <f t="shared" ref="O44:O62" si="30">D44+M44+N44</f>
        <v>49.597599999999943</v>
      </c>
      <c r="P44" s="1580">
        <f>O44</f>
        <v>49.597599999999943</v>
      </c>
      <c r="Q44" s="1579">
        <f>P44</f>
        <v>49.597599999999943</v>
      </c>
      <c r="R44" s="1579">
        <f>Q44</f>
        <v>49.597599999999943</v>
      </c>
      <c r="S44" s="1580">
        <f t="shared" si="26"/>
        <v>0.50497400000000425</v>
      </c>
      <c r="T44" s="1579">
        <f t="shared" si="26"/>
        <v>0.28880800000007412</v>
      </c>
      <c r="U44" s="1579">
        <f t="shared" si="26"/>
        <v>0.23926100000011274</v>
      </c>
      <c r="V44" s="1578">
        <f t="shared" si="27"/>
        <v>0</v>
      </c>
      <c r="W44" s="1175"/>
      <c r="X44" s="1580">
        <f t="shared" si="28"/>
        <v>49.597599999999943</v>
      </c>
      <c r="Y44" s="1579">
        <f>E44</f>
        <v>50.102573999999947</v>
      </c>
      <c r="Z44" s="1580">
        <f t="shared" si="6"/>
        <v>0.50497400000000425</v>
      </c>
      <c r="AA44" s="1586">
        <f t="shared" si="3"/>
        <v>6.0122118104912305E-4</v>
      </c>
      <c r="AB44" s="1574"/>
      <c r="AC44" s="934"/>
      <c r="AD44" s="1574"/>
      <c r="AE44" s="1574"/>
    </row>
    <row r="45" spans="1:36">
      <c r="A45" s="1445" t="s">
        <v>43</v>
      </c>
      <c r="B45" s="1589" t="s">
        <v>1406</v>
      </c>
      <c r="C45" s="1595">
        <v>3482.3019999999997</v>
      </c>
      <c r="D45" s="1592">
        <v>3174.473</v>
      </c>
      <c r="E45" s="1593">
        <v>3387.1218650000001</v>
      </c>
      <c r="F45" s="1593">
        <v>3430.2037700000001</v>
      </c>
      <c r="G45" s="1596">
        <v>3483.675287</v>
      </c>
      <c r="H45" s="1593">
        <f>SUM(H46:H54)</f>
        <v>3388.1149101158067</v>
      </c>
      <c r="I45" s="1593">
        <f>SUM(I46:I54)</f>
        <v>3521.5807751158068</v>
      </c>
      <c r="J45" s="1593">
        <f>SUM(J46:J54)</f>
        <v>3581.6626801158068</v>
      </c>
      <c r="K45" s="1596">
        <f>SUM(K46:K54)</f>
        <v>3635.1341971158067</v>
      </c>
      <c r="L45" s="1175"/>
      <c r="M45" s="1592">
        <f>SUM(M46:M54)</f>
        <v>0</v>
      </c>
      <c r="N45" s="1596">
        <f>SUM(N46:N54)</f>
        <v>213.6419101158067</v>
      </c>
      <c r="O45" s="1595">
        <f t="shared" si="30"/>
        <v>3388.1149101158067</v>
      </c>
      <c r="P45" s="1592">
        <f t="shared" ref="P45:U45" si="31">SUM(P46:P54)</f>
        <v>3486.3728702425251</v>
      </c>
      <c r="Q45" s="1593">
        <f t="shared" si="31"/>
        <v>3621.3984194984159</v>
      </c>
      <c r="R45" s="1593">
        <f t="shared" si="31"/>
        <v>3796.8680005551864</v>
      </c>
      <c r="S45" s="1592">
        <f t="shared" si="31"/>
        <v>-99.251005242524798</v>
      </c>
      <c r="T45" s="1593">
        <f t="shared" si="31"/>
        <v>-191.19464949841594</v>
      </c>
      <c r="U45" s="1593">
        <f t="shared" si="31"/>
        <v>-313.19271355518589</v>
      </c>
      <c r="V45" s="1595">
        <f t="shared" si="27"/>
        <v>98.257960126718444</v>
      </c>
      <c r="W45" s="1175"/>
      <c r="X45" s="1592">
        <f>SUM(X46:X54)</f>
        <v>3486.3728702425251</v>
      </c>
      <c r="Y45" s="1593">
        <f>SUM(Y46:Y54)</f>
        <v>3539.8866628330015</v>
      </c>
      <c r="Z45" s="1592">
        <f>SUM(Z46:Z54)</f>
        <v>53.513792590476456</v>
      </c>
      <c r="AA45" s="1591">
        <f>SUM(AA46:AA54)</f>
        <v>6.3713429966025567E-2</v>
      </c>
      <c r="AB45" s="1574"/>
      <c r="AC45" s="934"/>
      <c r="AD45" s="1574"/>
      <c r="AE45" s="1574"/>
    </row>
    <row r="46" spans="1:36" s="1477" customFormat="1">
      <c r="A46" s="1207" t="s">
        <v>1405</v>
      </c>
      <c r="B46" s="1589"/>
      <c r="C46" s="1578">
        <v>173.786</v>
      </c>
      <c r="D46" s="1580">
        <v>217.142</v>
      </c>
      <c r="E46" s="1579">
        <v>227.72499999999999</v>
      </c>
      <c r="F46" s="1579">
        <v>228.797</v>
      </c>
      <c r="G46" s="1581">
        <v>227.69399999999999</v>
      </c>
      <c r="H46" s="1579">
        <f t="shared" ref="H46:K47" si="32">D46</f>
        <v>217.142</v>
      </c>
      <c r="I46" s="1579">
        <f t="shared" si="32"/>
        <v>227.72499999999999</v>
      </c>
      <c r="J46" s="1579">
        <f t="shared" si="32"/>
        <v>228.797</v>
      </c>
      <c r="K46" s="1581">
        <f t="shared" si="32"/>
        <v>227.69399999999999</v>
      </c>
      <c r="L46" s="1175"/>
      <c r="M46" s="1580"/>
      <c r="N46" s="1581"/>
      <c r="O46" s="1578">
        <f t="shared" si="30"/>
        <v>217.142</v>
      </c>
      <c r="P46" s="1580">
        <f>P135</f>
        <v>227.0660746393969</v>
      </c>
      <c r="Q46" s="1579">
        <f>Q135</f>
        <v>239.54328192730478</v>
      </c>
      <c r="R46" s="1579">
        <f>R135</f>
        <v>256.1420142244682</v>
      </c>
      <c r="S46" s="1580">
        <f t="shared" ref="S46:S54" si="33">E46-P46</f>
        <v>0.65892536060309226</v>
      </c>
      <c r="T46" s="1579">
        <f t="shared" ref="T46:T54" si="34">F46-Q46</f>
        <v>-10.746281927304778</v>
      </c>
      <c r="U46" s="1579">
        <f t="shared" ref="U46:U54" si="35">G46-R46</f>
        <v>-28.44801422446821</v>
      </c>
      <c r="V46" s="1578">
        <f t="shared" si="27"/>
        <v>9.9240746393969062</v>
      </c>
      <c r="W46" s="1175"/>
      <c r="X46" s="1580">
        <f t="shared" ref="X46:X54" si="36">P46</f>
        <v>227.0660746393969</v>
      </c>
      <c r="Y46" s="1579">
        <f>E46</f>
        <v>227.72499999999999</v>
      </c>
      <c r="Z46" s="1580">
        <f t="shared" ref="Z46:Z54" si="37">Y46-X46</f>
        <v>0.65892536060309226</v>
      </c>
      <c r="AA46" s="1586">
        <f t="shared" ref="AA46:AA77" si="38">Z46/$Y$172*100</f>
        <v>7.8451540777348355E-4</v>
      </c>
      <c r="AB46" s="1600"/>
      <c r="AC46" s="934"/>
      <c r="AD46" s="1590"/>
      <c r="AE46" s="1590"/>
    </row>
    <row r="47" spans="1:36" s="1477" customFormat="1">
      <c r="A47" s="1207" t="s">
        <v>1404</v>
      </c>
      <c r="B47" s="1589"/>
      <c r="C47" s="1578">
        <v>56.428338410000002</v>
      </c>
      <c r="D47" s="1580">
        <v>0</v>
      </c>
      <c r="E47" s="1579">
        <v>0</v>
      </c>
      <c r="F47" s="1579">
        <v>0</v>
      </c>
      <c r="G47" s="1581">
        <v>0</v>
      </c>
      <c r="H47" s="1579">
        <f t="shared" si="32"/>
        <v>0</v>
      </c>
      <c r="I47" s="1579">
        <f t="shared" si="32"/>
        <v>0</v>
      </c>
      <c r="J47" s="1579">
        <f t="shared" si="32"/>
        <v>0</v>
      </c>
      <c r="K47" s="1581">
        <f t="shared" si="32"/>
        <v>0</v>
      </c>
      <c r="L47" s="1175"/>
      <c r="M47" s="1580"/>
      <c r="N47" s="1581"/>
      <c r="O47" s="1578">
        <f t="shared" si="30"/>
        <v>0</v>
      </c>
      <c r="P47" s="1580">
        <f>O47</f>
        <v>0</v>
      </c>
      <c r="Q47" s="1579">
        <f>P47</f>
        <v>0</v>
      </c>
      <c r="R47" s="1579">
        <f>Q47</f>
        <v>0</v>
      </c>
      <c r="S47" s="1580">
        <f t="shared" si="33"/>
        <v>0</v>
      </c>
      <c r="T47" s="1579">
        <f t="shared" si="34"/>
        <v>0</v>
      </c>
      <c r="U47" s="1579">
        <f t="shared" si="35"/>
        <v>0</v>
      </c>
      <c r="V47" s="1578">
        <f t="shared" si="27"/>
        <v>0</v>
      </c>
      <c r="W47" s="1175"/>
      <c r="X47" s="1580">
        <f t="shared" si="36"/>
        <v>0</v>
      </c>
      <c r="Y47" s="1579">
        <f>E47</f>
        <v>0</v>
      </c>
      <c r="Z47" s="1580">
        <f t="shared" si="37"/>
        <v>0</v>
      </c>
      <c r="AA47" s="1586">
        <f t="shared" si="38"/>
        <v>0</v>
      </c>
      <c r="AB47" s="1600"/>
      <c r="AC47" s="934"/>
      <c r="AD47" s="1590"/>
      <c r="AE47" s="1590"/>
    </row>
    <row r="48" spans="1:36" s="1477" customFormat="1">
      <c r="A48" s="1207" t="s">
        <v>1403</v>
      </c>
      <c r="B48" s="859"/>
      <c r="C48" s="1578">
        <v>596.5</v>
      </c>
      <c r="D48" s="1580">
        <f>471.441+14.621+75.083+8.617</f>
        <v>569.76199999999994</v>
      </c>
      <c r="E48" s="1579">
        <v>630.88499999999999</v>
      </c>
      <c r="F48" s="1579">
        <v>623.38800000000003</v>
      </c>
      <c r="G48" s="1581">
        <v>626.75400000000002</v>
      </c>
      <c r="H48" s="1579">
        <f>D48</f>
        <v>569.76199999999994</v>
      </c>
      <c r="I48" s="1579">
        <v>613.88499999999999</v>
      </c>
      <c r="J48" s="1579">
        <f t="shared" ref="J48:K50" si="39">F48</f>
        <v>623.38800000000003</v>
      </c>
      <c r="K48" s="1581">
        <f t="shared" si="39"/>
        <v>626.75400000000002</v>
      </c>
      <c r="L48" s="1175"/>
      <c r="M48" s="1580"/>
      <c r="N48" s="1581"/>
      <c r="O48" s="1578">
        <f t="shared" si="30"/>
        <v>569.76199999999994</v>
      </c>
      <c r="P48" s="1580">
        <v>574.67452179852137</v>
      </c>
      <c r="Q48" s="1579">
        <v>584.02073329098675</v>
      </c>
      <c r="R48" s="1579">
        <v>596.28443965806821</v>
      </c>
      <c r="S48" s="1580">
        <f t="shared" si="33"/>
        <v>56.210478201478622</v>
      </c>
      <c r="T48" s="1579">
        <f t="shared" si="34"/>
        <v>39.367266709013279</v>
      </c>
      <c r="U48" s="1579">
        <f t="shared" si="35"/>
        <v>30.46956034193181</v>
      </c>
      <c r="V48" s="1578">
        <f t="shared" si="27"/>
        <v>4.9125217985214249</v>
      </c>
      <c r="W48" s="1175"/>
      <c r="X48" s="1580">
        <f t="shared" si="36"/>
        <v>574.67452179852137</v>
      </c>
      <c r="Y48" s="1579">
        <f>E48</f>
        <v>630.88499999999999</v>
      </c>
      <c r="Z48" s="1580">
        <f t="shared" si="37"/>
        <v>56.210478201478622</v>
      </c>
      <c r="AA48" s="1586">
        <f t="shared" si="38"/>
        <v>6.6924099243978269E-2</v>
      </c>
      <c r="AB48" s="1600"/>
      <c r="AC48" s="934"/>
      <c r="AD48" s="1590"/>
      <c r="AE48" s="1590"/>
    </row>
    <row r="49" spans="1:36" s="1477" customFormat="1">
      <c r="A49" s="1207" t="s">
        <v>1351</v>
      </c>
      <c r="B49" s="859"/>
      <c r="C49" s="1578">
        <v>1352.9860000000001</v>
      </c>
      <c r="D49" s="1580">
        <f>1313.715-0.025</f>
        <v>1313.6899999999998</v>
      </c>
      <c r="E49" s="1579">
        <v>1465.3854490000001</v>
      </c>
      <c r="F49" s="1579">
        <v>1501.7771700000001</v>
      </c>
      <c r="G49" s="1581">
        <v>1541.3425480000001</v>
      </c>
      <c r="H49" s="1579">
        <v>1403.6899999999998</v>
      </c>
      <c r="I49" s="1579">
        <f>E49</f>
        <v>1465.3854490000001</v>
      </c>
      <c r="J49" s="1579">
        <f t="shared" si="39"/>
        <v>1501.7771700000001</v>
      </c>
      <c r="K49" s="1581">
        <f t="shared" si="39"/>
        <v>1541.3425480000001</v>
      </c>
      <c r="L49" s="1175"/>
      <c r="M49" s="1580"/>
      <c r="N49" s="1581">
        <v>90</v>
      </c>
      <c r="O49" s="1578">
        <f t="shared" si="30"/>
        <v>1403.6899999999998</v>
      </c>
      <c r="P49" s="1580">
        <v>1476.7862672886729</v>
      </c>
      <c r="Q49" s="1579">
        <v>1570.3446101957113</v>
      </c>
      <c r="R49" s="1579">
        <v>1691.1759991857627</v>
      </c>
      <c r="S49" s="1580">
        <f t="shared" si="33"/>
        <v>-11.400818288672781</v>
      </c>
      <c r="T49" s="1579">
        <f t="shared" si="34"/>
        <v>-68.567440195711242</v>
      </c>
      <c r="U49" s="1579">
        <f t="shared" si="35"/>
        <v>-149.83345118576267</v>
      </c>
      <c r="V49" s="1578">
        <f t="shared" si="27"/>
        <v>73.096267288673062</v>
      </c>
      <c r="W49" s="1175"/>
      <c r="X49" s="1580">
        <f t="shared" si="36"/>
        <v>1476.7862672886729</v>
      </c>
      <c r="Y49" s="1579">
        <f>E49</f>
        <v>1465.3854490000001</v>
      </c>
      <c r="Z49" s="1580">
        <f t="shared" si="37"/>
        <v>-11.400818288672781</v>
      </c>
      <c r="AA49" s="1586">
        <f t="shared" si="38"/>
        <v>-1.357379476258626E-2</v>
      </c>
      <c r="AB49" s="1600"/>
      <c r="AC49" s="934"/>
      <c r="AD49" s="1590"/>
      <c r="AE49" s="1590"/>
    </row>
    <row r="50" spans="1:36" s="1477" customFormat="1">
      <c r="A50" s="1207" t="s">
        <v>1350</v>
      </c>
      <c r="B50" s="859"/>
      <c r="C50" s="1578">
        <v>82.324322570000007</v>
      </c>
      <c r="D50" s="1580">
        <f>73.672+6.719</f>
        <v>80.390999999999991</v>
      </c>
      <c r="E50" s="1579">
        <v>79.579228000000001</v>
      </c>
      <c r="F50" s="1579">
        <v>82.042000000000002</v>
      </c>
      <c r="G50" s="1581">
        <v>82.394999999999996</v>
      </c>
      <c r="H50" s="1579">
        <f>D50</f>
        <v>80.390999999999991</v>
      </c>
      <c r="I50" s="1579">
        <f>E50</f>
        <v>79.579228000000001</v>
      </c>
      <c r="J50" s="1577">
        <f t="shared" si="39"/>
        <v>82.042000000000002</v>
      </c>
      <c r="K50" s="1581">
        <f t="shared" si="39"/>
        <v>82.394999999999996</v>
      </c>
      <c r="L50" s="1175"/>
      <c r="M50" s="1580"/>
      <c r="N50" s="1581"/>
      <c r="O50" s="1578">
        <f t="shared" si="30"/>
        <v>80.390999999999991</v>
      </c>
      <c r="P50" s="1580">
        <v>81.084135975907373</v>
      </c>
      <c r="Q50" s="1579">
        <v>82.402846750039004</v>
      </c>
      <c r="R50" s="1579">
        <v>84.133203668464674</v>
      </c>
      <c r="S50" s="1580">
        <f t="shared" si="33"/>
        <v>-1.504907975907372</v>
      </c>
      <c r="T50" s="1579">
        <f t="shared" si="34"/>
        <v>-0.36084675003900202</v>
      </c>
      <c r="U50" s="1579">
        <f t="shared" si="35"/>
        <v>-1.7382036684646778</v>
      </c>
      <c r="V50" s="1578">
        <f t="shared" si="27"/>
        <v>0.69313597590738141</v>
      </c>
      <c r="W50" s="1175"/>
      <c r="X50" s="1580">
        <f t="shared" si="36"/>
        <v>81.084135975907373</v>
      </c>
      <c r="Y50" s="1579">
        <f>E50</f>
        <v>79.579228000000001</v>
      </c>
      <c r="Z50" s="1580">
        <f t="shared" si="37"/>
        <v>-1.504907975907372</v>
      </c>
      <c r="AA50" s="1586">
        <f t="shared" si="38"/>
        <v>-1.7917408631835852E-3</v>
      </c>
      <c r="AB50" s="1600"/>
      <c r="AC50" s="934"/>
      <c r="AD50" s="1590"/>
      <c r="AE50" s="1590"/>
    </row>
    <row r="51" spans="1:36" s="1477" customFormat="1">
      <c r="A51" s="1207" t="s">
        <v>1349</v>
      </c>
      <c r="B51" s="859"/>
      <c r="C51" s="1578">
        <v>124.274</v>
      </c>
      <c r="D51" s="1580">
        <v>0</v>
      </c>
      <c r="E51" s="1579">
        <v>0</v>
      </c>
      <c r="F51" s="1579">
        <v>0</v>
      </c>
      <c r="G51" s="1581">
        <v>0</v>
      </c>
      <c r="H51" s="1577">
        <v>123.6419101158067</v>
      </c>
      <c r="I51" s="1577">
        <v>123.6419101158067</v>
      </c>
      <c r="J51" s="1577">
        <v>123.6419101158067</v>
      </c>
      <c r="K51" s="1587">
        <v>123.6419101158067</v>
      </c>
      <c r="L51" s="1175"/>
      <c r="M51" s="1580"/>
      <c r="N51" s="1581">
        <v>123.6419101158067</v>
      </c>
      <c r="O51" s="1578">
        <f t="shared" si="30"/>
        <v>123.6419101158067</v>
      </c>
      <c r="P51" s="1580">
        <v>124.70795800712752</v>
      </c>
      <c r="Q51" s="1579">
        <v>126.7361442344904</v>
      </c>
      <c r="R51" s="1579">
        <v>129.39744505891417</v>
      </c>
      <c r="S51" s="1580">
        <f t="shared" si="33"/>
        <v>-124.70795800712752</v>
      </c>
      <c r="T51" s="1579">
        <f t="shared" si="34"/>
        <v>-126.7361442344904</v>
      </c>
      <c r="U51" s="1579">
        <f t="shared" si="35"/>
        <v>-129.39744505891417</v>
      </c>
      <c r="V51" s="1578">
        <f t="shared" si="27"/>
        <v>1.0660478913208209</v>
      </c>
      <c r="W51" s="1175"/>
      <c r="X51" s="1580">
        <f t="shared" si="36"/>
        <v>124.70795800712752</v>
      </c>
      <c r="Y51" s="1579">
        <f>X51</f>
        <v>124.70795800712752</v>
      </c>
      <c r="Z51" s="1580">
        <f t="shared" si="37"/>
        <v>0</v>
      </c>
      <c r="AA51" s="1586">
        <f t="shared" si="38"/>
        <v>0</v>
      </c>
      <c r="AB51" s="1600"/>
      <c r="AC51" s="934"/>
      <c r="AD51" s="1590"/>
      <c r="AE51" s="1590"/>
    </row>
    <row r="52" spans="1:36" s="1477" customFormat="1">
      <c r="A52" s="1207" t="s">
        <v>1370</v>
      </c>
      <c r="B52" s="859"/>
      <c r="C52" s="1585">
        <v>28.327000000000002</v>
      </c>
      <c r="D52" s="1584">
        <f>25.817+2</f>
        <v>27.817</v>
      </c>
      <c r="E52" s="1583">
        <v>0</v>
      </c>
      <c r="F52" s="1583">
        <v>0</v>
      </c>
      <c r="G52" s="1582">
        <v>0</v>
      </c>
      <c r="H52" s="1603">
        <f>D52</f>
        <v>27.817</v>
      </c>
      <c r="I52" s="1603">
        <v>27.817</v>
      </c>
      <c r="J52" s="1603">
        <v>27.817</v>
      </c>
      <c r="K52" s="1602">
        <v>27.817</v>
      </c>
      <c r="L52" s="1175"/>
      <c r="M52" s="1584"/>
      <c r="N52" s="1582"/>
      <c r="O52" s="1578">
        <f t="shared" si="30"/>
        <v>27.817</v>
      </c>
      <c r="P52" s="1584">
        <v>28.056839825873737</v>
      </c>
      <c r="Q52" s="1583">
        <v>28.513141869684858</v>
      </c>
      <c r="R52" s="1583">
        <v>29.111882256044613</v>
      </c>
      <c r="S52" s="1580">
        <f t="shared" si="33"/>
        <v>-28.056839825873737</v>
      </c>
      <c r="T52" s="1579">
        <f t="shared" si="34"/>
        <v>-28.513141869684858</v>
      </c>
      <c r="U52" s="1579">
        <f t="shared" si="35"/>
        <v>-29.111882256044613</v>
      </c>
      <c r="V52" s="1578">
        <f t="shared" si="27"/>
        <v>0.23983982587373731</v>
      </c>
      <c r="W52" s="1175"/>
      <c r="X52" s="1580">
        <f t="shared" si="36"/>
        <v>28.056839825873737</v>
      </c>
      <c r="Y52" s="1579">
        <f>X52</f>
        <v>28.056839825873737</v>
      </c>
      <c r="Z52" s="1580">
        <f t="shared" si="37"/>
        <v>0</v>
      </c>
      <c r="AA52" s="1586">
        <f t="shared" si="38"/>
        <v>0</v>
      </c>
      <c r="AB52" s="1590"/>
      <c r="AC52" s="934"/>
      <c r="AD52" s="1590"/>
      <c r="AE52" s="1620"/>
    </row>
    <row r="53" spans="1:36" s="1477" customFormat="1">
      <c r="A53" s="1207" t="s">
        <v>1348</v>
      </c>
      <c r="B53" s="859"/>
      <c r="C53" s="1585">
        <f>7.598</f>
        <v>7.5979999999999999</v>
      </c>
      <c r="D53" s="1584">
        <v>2.5</v>
      </c>
      <c r="E53" s="1583">
        <v>2.5408119999999998</v>
      </c>
      <c r="F53" s="1583">
        <f>2.543</f>
        <v>2.5430000000000001</v>
      </c>
      <c r="G53" s="1582">
        <v>2.6019999999999999</v>
      </c>
      <c r="H53" s="1583">
        <f>D53</f>
        <v>2.5</v>
      </c>
      <c r="I53" s="1583">
        <f t="shared" ref="I53:K54" si="40">E53</f>
        <v>2.5408119999999998</v>
      </c>
      <c r="J53" s="1583">
        <f t="shared" si="40"/>
        <v>2.5430000000000001</v>
      </c>
      <c r="K53" s="1582">
        <f t="shared" si="40"/>
        <v>2.6019999999999999</v>
      </c>
      <c r="L53" s="1175"/>
      <c r="M53" s="1584"/>
      <c r="N53" s="1582"/>
      <c r="O53" s="1578">
        <f t="shared" si="30"/>
        <v>2.5</v>
      </c>
      <c r="P53" s="1584">
        <v>2.521555148459012</v>
      </c>
      <c r="Q53" s="1583">
        <v>2.562564427300289</v>
      </c>
      <c r="R53" s="1583">
        <v>2.616375081429037</v>
      </c>
      <c r="S53" s="1580">
        <f t="shared" si="33"/>
        <v>1.9256851540987885E-2</v>
      </c>
      <c r="T53" s="1579">
        <f t="shared" si="34"/>
        <v>-1.9564427300288845E-2</v>
      </c>
      <c r="U53" s="1579">
        <f t="shared" si="35"/>
        <v>-1.4375081429037095E-2</v>
      </c>
      <c r="V53" s="1578">
        <f t="shared" si="27"/>
        <v>2.1555148459011964E-2</v>
      </c>
      <c r="W53" s="1175"/>
      <c r="X53" s="1580">
        <f t="shared" si="36"/>
        <v>2.521555148459012</v>
      </c>
      <c r="Y53" s="1579">
        <f>E53</f>
        <v>2.5408119999999998</v>
      </c>
      <c r="Z53" s="1580">
        <f t="shared" si="37"/>
        <v>1.9256851540987885E-2</v>
      </c>
      <c r="AA53" s="1586">
        <f t="shared" si="38"/>
        <v>2.2927174521381822E-5</v>
      </c>
      <c r="AB53" s="1590"/>
      <c r="AC53" s="934"/>
      <c r="AD53" s="1590"/>
      <c r="AE53" s="1620"/>
    </row>
    <row r="54" spans="1:36">
      <c r="A54" s="1207" t="s">
        <v>1285</v>
      </c>
      <c r="B54" s="859"/>
      <c r="C54" s="1578">
        <f>C45-SUM(C46:C53)</f>
        <v>1060.0783390199999</v>
      </c>
      <c r="D54" s="1580">
        <f>D45-SUM(D46:D53)</f>
        <v>963.17099999999982</v>
      </c>
      <c r="E54" s="1579">
        <f>E45-SUM(E46:E53)</f>
        <v>981.00637599999982</v>
      </c>
      <c r="F54" s="1579">
        <f>F45-SUM(F46:F53)</f>
        <v>991.6565999999998</v>
      </c>
      <c r="G54" s="1581">
        <f>G45-SUM(G46:G53)</f>
        <v>1002.8877390000002</v>
      </c>
      <c r="H54" s="1579">
        <f>D54</f>
        <v>963.17099999999982</v>
      </c>
      <c r="I54" s="1579">
        <f t="shared" si="40"/>
        <v>981.00637599999982</v>
      </c>
      <c r="J54" s="1579">
        <f t="shared" si="40"/>
        <v>991.6565999999998</v>
      </c>
      <c r="K54" s="1581">
        <f t="shared" si="40"/>
        <v>1002.8877390000002</v>
      </c>
      <c r="L54" s="1175"/>
      <c r="M54" s="1580"/>
      <c r="N54" s="1581"/>
      <c r="O54" s="1578">
        <f t="shared" si="30"/>
        <v>963.17099999999982</v>
      </c>
      <c r="P54" s="1580">
        <v>971.47551755856591</v>
      </c>
      <c r="Q54" s="1579">
        <v>987.27509680289847</v>
      </c>
      <c r="R54" s="1579">
        <v>1008.0066414220346</v>
      </c>
      <c r="S54" s="1580">
        <f t="shared" si="33"/>
        <v>9.5308584414339066</v>
      </c>
      <c r="T54" s="1579">
        <f t="shared" si="34"/>
        <v>4.3815031971013241</v>
      </c>
      <c r="U54" s="1579">
        <f t="shared" si="35"/>
        <v>-5.1189024220343526</v>
      </c>
      <c r="V54" s="1578">
        <f t="shared" si="27"/>
        <v>8.30451755856609</v>
      </c>
      <c r="W54" s="1175"/>
      <c r="X54" s="1580">
        <f t="shared" si="36"/>
        <v>971.47551755856591</v>
      </c>
      <c r="Y54" s="1579">
        <f>E54</f>
        <v>981.00637599999982</v>
      </c>
      <c r="Z54" s="1580">
        <f t="shared" si="37"/>
        <v>9.5308584414339066</v>
      </c>
      <c r="AA54" s="1586">
        <f t="shared" si="38"/>
        <v>1.1347423765522283E-2</v>
      </c>
      <c r="AB54" s="1574"/>
      <c r="AC54" s="934"/>
      <c r="AD54" s="1574"/>
      <c r="AE54" s="1574"/>
    </row>
    <row r="55" spans="1:36" s="1477" customFormat="1">
      <c r="A55" s="1445" t="s">
        <v>1401</v>
      </c>
      <c r="B55" s="1589" t="s">
        <v>1402</v>
      </c>
      <c r="C55" s="1595">
        <v>4231.4850000000006</v>
      </c>
      <c r="D55" s="1592">
        <v>1853.027</v>
      </c>
      <c r="E55" s="1593">
        <v>1910.5781349999995</v>
      </c>
      <c r="F55" s="1593">
        <v>2382.1962299999996</v>
      </c>
      <c r="G55" s="1596">
        <v>2051.4247130000003</v>
      </c>
      <c r="H55" s="1593">
        <f>SUM(H56:H65)</f>
        <v>1863.16658831311</v>
      </c>
      <c r="I55" s="1593">
        <f>SUM(I56:I65)</f>
        <v>2218.8600012674356</v>
      </c>
      <c r="J55" s="1593">
        <f>SUM(J56:J65)</f>
        <v>2184.3642006759678</v>
      </c>
      <c r="K55" s="1596">
        <f>SUM(K56:K65)</f>
        <v>1961.1194800633325</v>
      </c>
      <c r="L55" s="1594"/>
      <c r="M55" s="1592">
        <f>SUM(M56:M65)</f>
        <v>-25.5</v>
      </c>
      <c r="N55" s="1596">
        <f>SUM(N56:N65)</f>
        <v>10.681988313109969</v>
      </c>
      <c r="O55" s="1595">
        <f t="shared" si="30"/>
        <v>1838.20898831311</v>
      </c>
      <c r="P55" s="1592">
        <f t="shared" ref="P55:U55" si="41">SUM(P56:P65)</f>
        <v>2255.4061914327863</v>
      </c>
      <c r="Q55" s="1593">
        <f t="shared" si="41"/>
        <v>2264.7125766711015</v>
      </c>
      <c r="R55" s="1593">
        <f t="shared" si="41"/>
        <v>2080.803793244092</v>
      </c>
      <c r="S55" s="1592">
        <f t="shared" si="41"/>
        <v>-344.82805643278704</v>
      </c>
      <c r="T55" s="1593">
        <f t="shared" si="41"/>
        <v>117.48365332889801</v>
      </c>
      <c r="U55" s="1593">
        <f t="shared" si="41"/>
        <v>-29.379080244091426</v>
      </c>
      <c r="V55" s="1595">
        <f t="shared" si="27"/>
        <v>417.19720311967626</v>
      </c>
      <c r="W55" s="1175"/>
      <c r="X55" s="1592">
        <f>SUM(X56:X65)</f>
        <v>2255.4061914327863</v>
      </c>
      <c r="Y55" s="1593">
        <f>SUM(Y56:Y65)</f>
        <v>1995.0374981986915</v>
      </c>
      <c r="Z55" s="1592">
        <f>SUM(Z56:Z65)</f>
        <v>-260.36869323409502</v>
      </c>
      <c r="AA55" s="1591">
        <f t="shared" si="38"/>
        <v>-0.30999452101379105</v>
      </c>
      <c r="AB55" s="1590"/>
      <c r="AC55" s="934"/>
      <c r="AD55" s="1590"/>
      <c r="AE55" s="1590"/>
      <c r="AF55" s="1619"/>
      <c r="AG55" s="1619"/>
      <c r="AH55" s="1619"/>
      <c r="AI55" s="1619"/>
      <c r="AJ55" s="1619"/>
    </row>
    <row r="56" spans="1:36" s="1477" customFormat="1">
      <c r="A56" s="1207" t="s">
        <v>1363</v>
      </c>
      <c r="B56" s="1589"/>
      <c r="C56" s="1578">
        <v>2793.4854567200005</v>
      </c>
      <c r="D56" s="1580">
        <v>1014.8440000000001</v>
      </c>
      <c r="E56" s="1579">
        <v>1147.869152</v>
      </c>
      <c r="F56" s="1579">
        <v>1642.868416</v>
      </c>
      <c r="G56" s="1581">
        <v>1337.0959989999999</v>
      </c>
      <c r="H56" s="1579">
        <f>O56</f>
        <v>930.728729036667</v>
      </c>
      <c r="I56" s="1579">
        <f>P56</f>
        <v>1329.6024585445512</v>
      </c>
      <c r="J56" s="1579">
        <f>Q56</f>
        <v>1307.6094110766605</v>
      </c>
      <c r="K56" s="1581">
        <f>R56</f>
        <v>1096.1795571842695</v>
      </c>
      <c r="L56" s="1175"/>
      <c r="M56" s="1580"/>
      <c r="N56" s="1581">
        <f>O200-D200</f>
        <v>-84.115270963333046</v>
      </c>
      <c r="O56" s="1578">
        <f t="shared" si="30"/>
        <v>930.728729036667</v>
      </c>
      <c r="P56" s="1580">
        <f>P68+P82+P126+P151+P107</f>
        <v>1329.6024585445512</v>
      </c>
      <c r="Q56" s="1579">
        <f>Q68+Q82+Q126+Q151+Q107</f>
        <v>1307.6094110766605</v>
      </c>
      <c r="R56" s="1579">
        <f>R68+R82+R126+R151+R107</f>
        <v>1096.1795571842695</v>
      </c>
      <c r="S56" s="1580">
        <f t="shared" ref="S56:S65" si="42">E56-P56</f>
        <v>-181.73330654455117</v>
      </c>
      <c r="T56" s="1579">
        <f t="shared" ref="T56:T65" si="43">F56-Q56</f>
        <v>335.25900492333949</v>
      </c>
      <c r="U56" s="1579">
        <f t="shared" ref="U56:U65" si="44">G56-R56</f>
        <v>240.91644181573042</v>
      </c>
      <c r="V56" s="1578">
        <f t="shared" si="27"/>
        <v>398.87372950788415</v>
      </c>
      <c r="W56" s="1175"/>
      <c r="X56" s="1580">
        <f t="shared" ref="X56:X65" si="45">P56</f>
        <v>1329.6024585445512</v>
      </c>
      <c r="Y56" s="1579">
        <f t="shared" ref="Y56:Y61" si="46">E56</f>
        <v>1147.869152</v>
      </c>
      <c r="Z56" s="1580">
        <f t="shared" ref="Z56:Z66" si="47">Y56-X56</f>
        <v>-181.73330654455117</v>
      </c>
      <c r="AA56" s="1586">
        <f t="shared" si="38"/>
        <v>-0.21637136406364776</v>
      </c>
      <c r="AB56" s="1590"/>
      <c r="AC56" s="934"/>
      <c r="AD56" s="1590"/>
      <c r="AE56" s="1590"/>
      <c r="AF56" s="1619"/>
      <c r="AG56" s="1619"/>
      <c r="AH56" s="1619"/>
      <c r="AI56" s="1619"/>
      <c r="AJ56" s="1619"/>
    </row>
    <row r="57" spans="1:36" s="1590" customFormat="1">
      <c r="A57" s="1207" t="s">
        <v>1400</v>
      </c>
      <c r="B57" s="1589"/>
      <c r="C57" s="1578">
        <v>0</v>
      </c>
      <c r="D57" s="1580">
        <v>0</v>
      </c>
      <c r="E57" s="1579">
        <v>41.911999999999999</v>
      </c>
      <c r="F57" s="1579">
        <v>55.811999999999998</v>
      </c>
      <c r="G57" s="1581">
        <v>55.811999999999998</v>
      </c>
      <c r="H57" s="1579">
        <f t="shared" ref="H57:K61" si="48">D57</f>
        <v>0</v>
      </c>
      <c r="I57" s="1579">
        <f t="shared" si="48"/>
        <v>41.911999999999999</v>
      </c>
      <c r="J57" s="1579">
        <f t="shared" si="48"/>
        <v>55.811999999999998</v>
      </c>
      <c r="K57" s="1581">
        <f t="shared" si="48"/>
        <v>55.811999999999998</v>
      </c>
      <c r="L57" s="1175"/>
      <c r="M57" s="1580"/>
      <c r="N57" s="1581"/>
      <c r="O57" s="1578">
        <f t="shared" si="30"/>
        <v>0</v>
      </c>
      <c r="P57" s="1580">
        <v>0</v>
      </c>
      <c r="Q57" s="1579">
        <v>0</v>
      </c>
      <c r="R57" s="1579">
        <v>0</v>
      </c>
      <c r="S57" s="1580">
        <f t="shared" si="42"/>
        <v>41.911999999999999</v>
      </c>
      <c r="T57" s="1579">
        <f t="shared" si="43"/>
        <v>55.811999999999998</v>
      </c>
      <c r="U57" s="1579">
        <f t="shared" si="44"/>
        <v>55.811999999999998</v>
      </c>
      <c r="V57" s="1578">
        <f t="shared" si="27"/>
        <v>0</v>
      </c>
      <c r="W57" s="1175"/>
      <c r="X57" s="1580">
        <f t="shared" si="45"/>
        <v>0</v>
      </c>
      <c r="Y57" s="1579">
        <f t="shared" si="46"/>
        <v>41.911999999999999</v>
      </c>
      <c r="Z57" s="1580">
        <f t="shared" si="47"/>
        <v>41.911999999999999</v>
      </c>
      <c r="AA57" s="1586">
        <f t="shared" si="38"/>
        <v>4.9900355543316358E-2</v>
      </c>
      <c r="AC57" s="934"/>
      <c r="AF57" s="1600"/>
      <c r="AG57" s="1600"/>
      <c r="AH57" s="1600"/>
      <c r="AI57" s="1600"/>
      <c r="AJ57" s="1600"/>
    </row>
    <row r="58" spans="1:36" s="1590" customFormat="1">
      <c r="A58" s="1207" t="s">
        <v>1399</v>
      </c>
      <c r="B58" s="1589"/>
      <c r="C58" s="1578">
        <v>62.021000000000001</v>
      </c>
      <c r="D58" s="1580">
        <v>61.454999999999998</v>
      </c>
      <c r="E58" s="1579">
        <v>63.710999999999999</v>
      </c>
      <c r="F58" s="1579">
        <v>95.1</v>
      </c>
      <c r="G58" s="1581">
        <v>108.654</v>
      </c>
      <c r="H58" s="1579">
        <f t="shared" si="48"/>
        <v>61.454999999999998</v>
      </c>
      <c r="I58" s="1579">
        <f t="shared" si="48"/>
        <v>63.710999999999999</v>
      </c>
      <c r="J58" s="1579">
        <f t="shared" si="48"/>
        <v>95.1</v>
      </c>
      <c r="K58" s="1581">
        <f t="shared" si="48"/>
        <v>108.654</v>
      </c>
      <c r="L58" s="1175"/>
      <c r="M58" s="1580"/>
      <c r="N58" s="1581"/>
      <c r="O58" s="1578">
        <f t="shared" si="30"/>
        <v>61.454999999999998</v>
      </c>
      <c r="P58" s="1580">
        <f>E58+11.1</f>
        <v>74.810999999999993</v>
      </c>
      <c r="Q58" s="1579">
        <f>F58-27.82+27.8</f>
        <v>95.08</v>
      </c>
      <c r="R58" s="1579">
        <f>G58-36.336+36.336</f>
        <v>108.654</v>
      </c>
      <c r="S58" s="1580">
        <f t="shared" si="42"/>
        <v>-11.099999999999994</v>
      </c>
      <c r="T58" s="1579">
        <f t="shared" si="43"/>
        <v>1.9999999999996021E-2</v>
      </c>
      <c r="U58" s="1579">
        <f t="shared" si="44"/>
        <v>0</v>
      </c>
      <c r="V58" s="1578">
        <f t="shared" si="27"/>
        <v>13.355999999999995</v>
      </c>
      <c r="W58" s="1175"/>
      <c r="X58" s="1580">
        <f t="shared" si="45"/>
        <v>74.810999999999993</v>
      </c>
      <c r="Y58" s="1579">
        <f t="shared" si="46"/>
        <v>63.710999999999999</v>
      </c>
      <c r="Z58" s="1580">
        <f t="shared" si="47"/>
        <v>-11.099999999999994</v>
      </c>
      <c r="AA58" s="1586">
        <f t="shared" si="38"/>
        <v>-1.3215641022399581E-2</v>
      </c>
      <c r="AC58" s="934"/>
      <c r="AF58" s="1600"/>
      <c r="AG58" s="1600"/>
      <c r="AH58" s="1600"/>
      <c r="AI58" s="1600"/>
      <c r="AJ58" s="1600"/>
    </row>
    <row r="59" spans="1:36" s="1477" customFormat="1">
      <c r="A59" s="1207" t="s">
        <v>1354</v>
      </c>
      <c r="B59" s="859"/>
      <c r="C59" s="1578">
        <v>9.9619999999999997</v>
      </c>
      <c r="D59" s="1580">
        <f>2.406+0.594</f>
        <v>3</v>
      </c>
      <c r="E59" s="1579">
        <v>0</v>
      </c>
      <c r="F59" s="1579">
        <v>0</v>
      </c>
      <c r="G59" s="1581">
        <v>0</v>
      </c>
      <c r="H59" s="1579">
        <f t="shared" si="48"/>
        <v>3</v>
      </c>
      <c r="I59" s="1579">
        <f t="shared" si="48"/>
        <v>0</v>
      </c>
      <c r="J59" s="1579">
        <f t="shared" si="48"/>
        <v>0</v>
      </c>
      <c r="K59" s="1581">
        <f t="shared" si="48"/>
        <v>0</v>
      </c>
      <c r="L59" s="1175"/>
      <c r="M59" s="1580"/>
      <c r="N59" s="1581"/>
      <c r="O59" s="1578">
        <f t="shared" si="30"/>
        <v>3</v>
      </c>
      <c r="P59" s="1580">
        <v>0</v>
      </c>
      <c r="Q59" s="1579">
        <v>0</v>
      </c>
      <c r="R59" s="1579">
        <v>0</v>
      </c>
      <c r="S59" s="1580">
        <f t="shared" si="42"/>
        <v>0</v>
      </c>
      <c r="T59" s="1579">
        <f t="shared" si="43"/>
        <v>0</v>
      </c>
      <c r="U59" s="1579">
        <f t="shared" si="44"/>
        <v>0</v>
      </c>
      <c r="V59" s="1578">
        <f t="shared" si="27"/>
        <v>-3</v>
      </c>
      <c r="W59" s="1175"/>
      <c r="X59" s="1580">
        <f t="shared" si="45"/>
        <v>0</v>
      </c>
      <c r="Y59" s="1579">
        <f t="shared" si="46"/>
        <v>0</v>
      </c>
      <c r="Z59" s="1580">
        <f t="shared" si="47"/>
        <v>0</v>
      </c>
      <c r="AA59" s="1586">
        <f t="shared" si="38"/>
        <v>0</v>
      </c>
      <c r="AB59" s="1600"/>
      <c r="AC59" s="934"/>
      <c r="AD59" s="1590"/>
      <c r="AE59" s="1590"/>
    </row>
    <row r="60" spans="1:36" s="1477" customFormat="1">
      <c r="A60" s="1207" t="s">
        <v>1351</v>
      </c>
      <c r="B60" s="859"/>
      <c r="C60" s="1578">
        <v>25.559000000000001</v>
      </c>
      <c r="D60" s="1580">
        <f>44.99-0.32+14.44-7.666</f>
        <v>51.444000000000003</v>
      </c>
      <c r="E60" s="1579">
        <f>12.443049+6.352395+22.769</f>
        <v>41.564443999999995</v>
      </c>
      <c r="F60" s="1579">
        <f>16.785672+18.848</f>
        <v>35.633672000000004</v>
      </c>
      <c r="G60" s="1581">
        <f>17.284231+13.689</f>
        <v>30.973230999999998</v>
      </c>
      <c r="H60" s="1579">
        <f t="shared" si="48"/>
        <v>51.444000000000003</v>
      </c>
      <c r="I60" s="1579">
        <f t="shared" si="48"/>
        <v>41.564443999999995</v>
      </c>
      <c r="J60" s="1579">
        <f t="shared" si="48"/>
        <v>35.633672000000004</v>
      </c>
      <c r="K60" s="1581">
        <f t="shared" si="48"/>
        <v>30.973230999999998</v>
      </c>
      <c r="L60" s="1175"/>
      <c r="M60" s="1580"/>
      <c r="N60" s="1581"/>
      <c r="O60" s="1578">
        <f t="shared" si="30"/>
        <v>51.444000000000003</v>
      </c>
      <c r="P60" s="1580">
        <v>54.122913702027155</v>
      </c>
      <c r="Q60" s="1579">
        <v>57.551744421423663</v>
      </c>
      <c r="R60" s="1579">
        <v>61.98010821628165</v>
      </c>
      <c r="S60" s="1580">
        <f t="shared" si="42"/>
        <v>-12.558469702027161</v>
      </c>
      <c r="T60" s="1579">
        <f t="shared" si="43"/>
        <v>-21.918072421423659</v>
      </c>
      <c r="U60" s="1579">
        <f t="shared" si="44"/>
        <v>-31.006877216281651</v>
      </c>
      <c r="V60" s="1578">
        <f t="shared" si="27"/>
        <v>2.6789137020271525</v>
      </c>
      <c r="W60" s="1175"/>
      <c r="X60" s="1580">
        <f t="shared" si="45"/>
        <v>54.122913702027155</v>
      </c>
      <c r="Y60" s="1579">
        <f t="shared" si="46"/>
        <v>41.564443999999995</v>
      </c>
      <c r="Z60" s="1580">
        <f t="shared" si="47"/>
        <v>-12.558469702027161</v>
      </c>
      <c r="AA60" s="1586">
        <f t="shared" si="38"/>
        <v>-1.4952092556096619E-2</v>
      </c>
      <c r="AB60" s="1600"/>
      <c r="AC60" s="934"/>
      <c r="AD60" s="1590"/>
      <c r="AE60" s="1590"/>
    </row>
    <row r="61" spans="1:36" s="1477" customFormat="1">
      <c r="A61" s="1207" t="s">
        <v>1350</v>
      </c>
      <c r="B61" s="859"/>
      <c r="C61" s="1578">
        <v>4.2439999999999998</v>
      </c>
      <c r="D61" s="1580">
        <f>144.542-140.578-0.13-16.114+18.114</f>
        <v>5.8339999999999996</v>
      </c>
      <c r="E61" s="1579">
        <v>28.043856000000002</v>
      </c>
      <c r="F61" s="1579">
        <v>8.4009999999999998</v>
      </c>
      <c r="G61" s="1581">
        <v>7.49</v>
      </c>
      <c r="H61" s="1579">
        <f t="shared" si="48"/>
        <v>5.8339999999999996</v>
      </c>
      <c r="I61" s="1579">
        <f t="shared" si="48"/>
        <v>28.043856000000002</v>
      </c>
      <c r="J61" s="1579">
        <f t="shared" si="48"/>
        <v>8.4009999999999998</v>
      </c>
      <c r="K61" s="1581">
        <f t="shared" si="48"/>
        <v>7.49</v>
      </c>
      <c r="L61" s="1175"/>
      <c r="M61" s="1580"/>
      <c r="N61" s="1581"/>
      <c r="O61" s="1578">
        <f t="shared" si="30"/>
        <v>5.8339999999999996</v>
      </c>
      <c r="P61" s="1580">
        <v>5.8843010944439502</v>
      </c>
      <c r="Q61" s="1579">
        <v>5.9800003475479544</v>
      </c>
      <c r="R61" s="1579">
        <v>6.1055728900228008</v>
      </c>
      <c r="S61" s="1580">
        <f t="shared" si="42"/>
        <v>22.15955490555605</v>
      </c>
      <c r="T61" s="1579">
        <f t="shared" si="43"/>
        <v>2.4209996524520454</v>
      </c>
      <c r="U61" s="1579">
        <f t="shared" si="44"/>
        <v>1.3844271099771994</v>
      </c>
      <c r="V61" s="1578">
        <f t="shared" si="27"/>
        <v>5.0301094443950589E-2</v>
      </c>
      <c r="W61" s="1175"/>
      <c r="X61" s="1580">
        <f t="shared" si="45"/>
        <v>5.8843010944439502</v>
      </c>
      <c r="Y61" s="1579">
        <f t="shared" si="46"/>
        <v>28.043856000000002</v>
      </c>
      <c r="Z61" s="1580">
        <f t="shared" si="47"/>
        <v>22.15955490555605</v>
      </c>
      <c r="AA61" s="1586">
        <f t="shared" si="38"/>
        <v>2.6383128184502933E-2</v>
      </c>
      <c r="AB61" s="1600"/>
      <c r="AC61" s="934"/>
      <c r="AD61" s="1590"/>
      <c r="AE61" s="1590"/>
    </row>
    <row r="62" spans="1:36" s="1477" customFormat="1">
      <c r="A62" s="1207" t="s">
        <v>1349</v>
      </c>
      <c r="B62" s="859"/>
      <c r="C62" s="1578">
        <v>96.287000000000006</v>
      </c>
      <c r="D62" s="1580">
        <v>0</v>
      </c>
      <c r="E62" s="1579">
        <v>0</v>
      </c>
      <c r="F62" s="1579">
        <v>0</v>
      </c>
      <c r="G62" s="1581">
        <v>0</v>
      </c>
      <c r="H62" s="1577">
        <v>72.797259276443015</v>
      </c>
      <c r="I62" s="1577">
        <v>72.797259276443015</v>
      </c>
      <c r="J62" s="1577">
        <v>72.797259276443015</v>
      </c>
      <c r="K62" s="1587">
        <v>72.797259276443015</v>
      </c>
      <c r="L62" s="1175"/>
      <c r="M62" s="1580"/>
      <c r="N62" s="1581">
        <v>72.797259276443015</v>
      </c>
      <c r="O62" s="1578">
        <f t="shared" si="30"/>
        <v>72.797259276443015</v>
      </c>
      <c r="P62" s="1580">
        <v>77.926921568888176</v>
      </c>
      <c r="Q62" s="1579">
        <v>84.194285028225494</v>
      </c>
      <c r="R62" s="1579">
        <v>91.962259914243901</v>
      </c>
      <c r="S62" s="1580">
        <f t="shared" si="42"/>
        <v>-77.926921568888176</v>
      </c>
      <c r="T62" s="1579">
        <f t="shared" si="43"/>
        <v>-84.194285028225494</v>
      </c>
      <c r="U62" s="1579">
        <f t="shared" si="44"/>
        <v>-91.962259914243901</v>
      </c>
      <c r="V62" s="1578"/>
      <c r="W62" s="1175"/>
      <c r="X62" s="1580">
        <f t="shared" si="45"/>
        <v>77.926921568888176</v>
      </c>
      <c r="Y62" s="1579">
        <f>X62</f>
        <v>77.926921568888176</v>
      </c>
      <c r="Z62" s="1580">
        <f t="shared" si="47"/>
        <v>0</v>
      </c>
      <c r="AA62" s="1586">
        <f t="shared" si="38"/>
        <v>0</v>
      </c>
      <c r="AB62" s="1600"/>
      <c r="AC62" s="934"/>
      <c r="AD62" s="1590"/>
      <c r="AE62" s="1590"/>
    </row>
    <row r="63" spans="1:36" s="1477" customFormat="1">
      <c r="A63" s="1207" t="s">
        <v>1370</v>
      </c>
      <c r="B63" s="859"/>
      <c r="C63" s="1585">
        <v>7.0270000000000001</v>
      </c>
      <c r="D63" s="1584">
        <v>7.0190000000000001</v>
      </c>
      <c r="E63" s="1583">
        <v>0</v>
      </c>
      <c r="F63" s="1583">
        <v>0</v>
      </c>
      <c r="G63" s="1582">
        <v>0</v>
      </c>
      <c r="H63" s="1603">
        <f>D63-0.5424</f>
        <v>6.4766000000000004</v>
      </c>
      <c r="I63" s="1603">
        <v>6.4766000000000004</v>
      </c>
      <c r="J63" s="1603">
        <v>6.4766000000000004</v>
      </c>
      <c r="K63" s="1602">
        <v>6.4766000000000004</v>
      </c>
      <c r="L63" s="1175"/>
      <c r="M63" s="1584"/>
      <c r="N63" s="1582"/>
      <c r="O63" s="1578">
        <f>D63+M63+N63-0.5424</f>
        <v>6.4766000000000004</v>
      </c>
      <c r="P63" s="1584">
        <v>6.5324416298038557</v>
      </c>
      <c r="Q63" s="1583">
        <v>6.6386819079412209</v>
      </c>
      <c r="R63" s="1583">
        <v>6.7780859409533205</v>
      </c>
      <c r="S63" s="1584">
        <f t="shared" si="42"/>
        <v>-6.5324416298038557</v>
      </c>
      <c r="T63" s="1583">
        <f t="shared" si="43"/>
        <v>-6.6386819079412209</v>
      </c>
      <c r="U63" s="1583">
        <f t="shared" si="44"/>
        <v>-6.7780859409533205</v>
      </c>
      <c r="V63" s="1585">
        <f t="shared" ref="V63:V94" si="49">P63-O63</f>
        <v>5.5841629803855319E-2</v>
      </c>
      <c r="W63" s="1175"/>
      <c r="X63" s="1580">
        <f t="shared" si="45"/>
        <v>6.5324416298038557</v>
      </c>
      <c r="Y63" s="1579">
        <f>X63</f>
        <v>6.5324416298038557</v>
      </c>
      <c r="Z63" s="1580">
        <f t="shared" si="47"/>
        <v>0</v>
      </c>
      <c r="AA63" s="1586">
        <f t="shared" si="38"/>
        <v>0</v>
      </c>
      <c r="AB63" s="1590"/>
      <c r="AC63" s="934"/>
      <c r="AD63" s="1590"/>
      <c r="AE63" s="1590"/>
    </row>
    <row r="64" spans="1:36" s="1477" customFormat="1">
      <c r="A64" s="1207" t="s">
        <v>1348</v>
      </c>
      <c r="B64" s="859"/>
      <c r="C64" s="1585">
        <f>407.956</f>
        <v>407.95600000000002</v>
      </c>
      <c r="D64" s="1584">
        <f>62.271+6.756</f>
        <v>69.027000000000001</v>
      </c>
      <c r="E64" s="1583">
        <v>72.546000000000006</v>
      </c>
      <c r="F64" s="1583">
        <f>75.688</f>
        <v>75.688000000000002</v>
      </c>
      <c r="G64" s="1582">
        <f>81.118</f>
        <v>81.117999999999995</v>
      </c>
      <c r="H64" s="1583">
        <f>D64</f>
        <v>69.027000000000001</v>
      </c>
      <c r="I64" s="1583">
        <f>E64</f>
        <v>72.546000000000006</v>
      </c>
      <c r="J64" s="1583">
        <f>F64</f>
        <v>75.688000000000002</v>
      </c>
      <c r="K64" s="1582">
        <f>G64</f>
        <v>81.117999999999995</v>
      </c>
      <c r="L64" s="1175"/>
      <c r="M64" s="1584"/>
      <c r="N64" s="1582"/>
      <c r="O64" s="1578">
        <f>D64+M64+N64</f>
        <v>69.027000000000001</v>
      </c>
      <c r="P64" s="1584">
        <v>69.622154893072093</v>
      </c>
      <c r="Q64" s="1583">
        <v>70.754453889302823</v>
      </c>
      <c r="R64" s="1583">
        <v>72.240209098320861</v>
      </c>
      <c r="S64" s="1584">
        <f t="shared" si="42"/>
        <v>2.9238451069279137</v>
      </c>
      <c r="T64" s="1583">
        <f t="shared" si="43"/>
        <v>4.9335461106971792</v>
      </c>
      <c r="U64" s="1583">
        <f t="shared" si="44"/>
        <v>8.8777909016791341</v>
      </c>
      <c r="V64" s="1585">
        <f t="shared" si="49"/>
        <v>0.5951548930720918</v>
      </c>
      <c r="W64" s="1175"/>
      <c r="X64" s="1580">
        <f t="shared" si="45"/>
        <v>69.622154893072093</v>
      </c>
      <c r="Y64" s="1579">
        <f>E64</f>
        <v>72.546000000000006</v>
      </c>
      <c r="Z64" s="1580">
        <f t="shared" si="47"/>
        <v>2.9238451069279137</v>
      </c>
      <c r="AA64" s="1586">
        <f t="shared" si="38"/>
        <v>3.4811249854287251E-3</v>
      </c>
      <c r="AB64" s="1590"/>
      <c r="AC64" s="934"/>
      <c r="AD64" s="1590"/>
      <c r="AE64" s="1590"/>
    </row>
    <row r="65" spans="1:31" s="1477" customFormat="1">
      <c r="A65" s="1436" t="s">
        <v>1285</v>
      </c>
      <c r="B65" s="1618"/>
      <c r="C65" s="1571">
        <f>C55-SUM(C56:C64)</f>
        <v>824.94354327999963</v>
      </c>
      <c r="D65" s="1569">
        <f>D55-SUM(D56:D64)</f>
        <v>640.404</v>
      </c>
      <c r="E65" s="1570">
        <f>E55-SUM(E56:E64)</f>
        <v>514.93168299999934</v>
      </c>
      <c r="F65" s="1570">
        <f>F55-SUM(F56:F64)</f>
        <v>468.69314199999963</v>
      </c>
      <c r="G65" s="1572">
        <f>G55-SUM(G56:G64)</f>
        <v>430.28148300000066</v>
      </c>
      <c r="H65" s="1569">
        <f>674.404-12</f>
        <v>662.404</v>
      </c>
      <c r="I65" s="1570">
        <v>562.20638344644146</v>
      </c>
      <c r="J65" s="1570">
        <v>526.84625832286429</v>
      </c>
      <c r="K65" s="1572">
        <v>501.61883260262027</v>
      </c>
      <c r="L65" s="1175"/>
      <c r="M65" s="1569">
        <v>-25.5</v>
      </c>
      <c r="N65" s="1572">
        <f>34-12</f>
        <v>22</v>
      </c>
      <c r="O65" s="1571">
        <f>D65+M65+N65</f>
        <v>636.904</v>
      </c>
      <c r="P65" s="1569">
        <f>O65</f>
        <v>636.904</v>
      </c>
      <c r="Q65" s="1570">
        <f>O65</f>
        <v>636.904</v>
      </c>
      <c r="R65" s="1570">
        <f>Q65</f>
        <v>636.904</v>
      </c>
      <c r="S65" s="1569">
        <f t="shared" si="42"/>
        <v>-121.97231700000066</v>
      </c>
      <c r="T65" s="1570">
        <f t="shared" si="43"/>
        <v>-168.21085800000037</v>
      </c>
      <c r="U65" s="1570">
        <f t="shared" si="44"/>
        <v>-206.62251699999933</v>
      </c>
      <c r="V65" s="1571">
        <f t="shared" si="49"/>
        <v>0</v>
      </c>
      <c r="W65" s="1175"/>
      <c r="X65" s="1569">
        <f t="shared" si="45"/>
        <v>636.904</v>
      </c>
      <c r="Y65" s="1570">
        <f>E65</f>
        <v>514.93168299999934</v>
      </c>
      <c r="Z65" s="1569">
        <f t="shared" si="47"/>
        <v>-121.97231700000066</v>
      </c>
      <c r="AA65" s="1568">
        <f t="shared" si="38"/>
        <v>-0.14522003208489509</v>
      </c>
      <c r="AB65" s="1600"/>
      <c r="AC65" s="934"/>
      <c r="AD65" s="1590"/>
      <c r="AE65" s="1590"/>
    </row>
    <row r="66" spans="1:31">
      <c r="A66" s="1449" t="s">
        <v>51</v>
      </c>
      <c r="B66" s="1617" t="s">
        <v>1140</v>
      </c>
      <c r="C66" s="1615">
        <f t="shared" ref="C66:K66" si="50">C67+C81+C98+C116+C117+C125+C141+C150</f>
        <v>35850.418999999994</v>
      </c>
      <c r="D66" s="1613">
        <f t="shared" si="50"/>
        <v>33659.4</v>
      </c>
      <c r="E66" s="1614">
        <f t="shared" si="50"/>
        <v>34498</v>
      </c>
      <c r="F66" s="1614">
        <f t="shared" si="50"/>
        <v>35632.100000000006</v>
      </c>
      <c r="G66" s="1616">
        <f t="shared" si="50"/>
        <v>36328.6</v>
      </c>
      <c r="H66" s="1614">
        <f t="shared" si="50"/>
        <v>34260.835181349983</v>
      </c>
      <c r="I66" s="1614">
        <f t="shared" si="50"/>
        <v>35120.279423575637</v>
      </c>
      <c r="J66" s="1614">
        <f t="shared" si="50"/>
        <v>35860.78605748892</v>
      </c>
      <c r="K66" s="1616">
        <f t="shared" si="50"/>
        <v>36481.58916303458</v>
      </c>
      <c r="L66" s="1175"/>
      <c r="M66" s="1613">
        <f t="shared" ref="M66:U66" si="51">M67+M81+M98+M116+M117+M125+M141+M150</f>
        <v>-245.06</v>
      </c>
      <c r="N66" s="1616">
        <f t="shared" si="51"/>
        <v>603.07528134997949</v>
      </c>
      <c r="O66" s="1615">
        <f t="shared" si="51"/>
        <v>34017.41528134999</v>
      </c>
      <c r="P66" s="1613">
        <f t="shared" si="51"/>
        <v>35229.924951353292</v>
      </c>
      <c r="Q66" s="1614">
        <f t="shared" si="51"/>
        <v>36130.426161638992</v>
      </c>
      <c r="R66" s="1614">
        <f t="shared" si="51"/>
        <v>37305.142151748405</v>
      </c>
      <c r="S66" s="1613">
        <f t="shared" si="51"/>
        <v>-731.92495135328977</v>
      </c>
      <c r="T66" s="1614">
        <f t="shared" si="51"/>
        <v>-498.32616163900525</v>
      </c>
      <c r="U66" s="1614">
        <f t="shared" si="51"/>
        <v>-976.54215174840351</v>
      </c>
      <c r="V66" s="1615">
        <f t="shared" si="49"/>
        <v>1212.5096700033027</v>
      </c>
      <c r="W66" s="1175"/>
      <c r="X66" s="1613">
        <f>X67+X81+X98+X116+X117+X125+X141+X150</f>
        <v>35229.924951353292</v>
      </c>
      <c r="Y66" s="1614">
        <f>Y67+Y81+Y98+Y116+Y117+Y125+Y141+Y150</f>
        <v>34859.285474770608</v>
      </c>
      <c r="Z66" s="1613">
        <f t="shared" si="47"/>
        <v>-370.63947658268444</v>
      </c>
      <c r="AA66" s="1612">
        <f t="shared" si="38"/>
        <v>-0.44128272713935457</v>
      </c>
      <c r="AB66" s="1611"/>
      <c r="AC66" s="934"/>
      <c r="AD66" s="1574"/>
      <c r="AE66" s="1574"/>
    </row>
    <row r="67" spans="1:31" s="1477" customFormat="1">
      <c r="A67" s="1445" t="s">
        <v>53</v>
      </c>
      <c r="B67" s="1589" t="s">
        <v>1398</v>
      </c>
      <c r="C67" s="1610">
        <v>7049.4970000000003</v>
      </c>
      <c r="D67" s="1609">
        <v>7222.5</v>
      </c>
      <c r="E67" s="1609">
        <v>7342.7</v>
      </c>
      <c r="F67" s="1609">
        <v>7699.2</v>
      </c>
      <c r="G67" s="1607">
        <v>8085.5</v>
      </c>
      <c r="H67" s="1608">
        <f>SUM(H68:H80)</f>
        <v>7201.1417612672449</v>
      </c>
      <c r="I67" s="1608">
        <f>SUM(I68:I80)</f>
        <v>7488.4949056169517</v>
      </c>
      <c r="J67" s="1608">
        <f>SUM(J68:J80)</f>
        <v>7840.8095029322694</v>
      </c>
      <c r="K67" s="1607">
        <f>SUM(K68:K80)</f>
        <v>8245.647688662415</v>
      </c>
      <c r="L67" s="1594"/>
      <c r="M67" s="1592">
        <f>SUM(M68:M80)</f>
        <v>-12.704000000000001</v>
      </c>
      <c r="N67" s="1596">
        <f>SUM(N68:N80)</f>
        <v>-21.358238732754554</v>
      </c>
      <c r="O67" s="1595">
        <f t="shared" ref="O67:O98" si="52">D67+M67+N67</f>
        <v>7188.4377612672461</v>
      </c>
      <c r="P67" s="1592">
        <f t="shared" ref="P67:U67" si="53">SUM(P68:P80)</f>
        <v>7371.4673858151309</v>
      </c>
      <c r="Q67" s="1593">
        <f t="shared" si="53"/>
        <v>7707.2793039276958</v>
      </c>
      <c r="R67" s="1593">
        <f t="shared" si="53"/>
        <v>8120.4779537428549</v>
      </c>
      <c r="S67" s="1592">
        <f t="shared" si="53"/>
        <v>-28.767385815130844</v>
      </c>
      <c r="T67" s="1593">
        <f t="shared" si="53"/>
        <v>-8.0793039276965146</v>
      </c>
      <c r="U67" s="1593">
        <f t="shared" si="53"/>
        <v>-34.977953742854623</v>
      </c>
      <c r="V67" s="1595">
        <f t="shared" si="49"/>
        <v>183.02962454788485</v>
      </c>
      <c r="W67" s="1594"/>
      <c r="X67" s="1592">
        <f>SUM(X68:X80)</f>
        <v>7371.4673858151309</v>
      </c>
      <c r="Y67" s="1593">
        <f>SUM(Y68:Y80)</f>
        <v>7380.8149044426154</v>
      </c>
      <c r="Z67" s="1592">
        <f>SUM(Z68:Z80)</f>
        <v>9.347518627484952</v>
      </c>
      <c r="AA67" s="1591">
        <f t="shared" si="38"/>
        <v>1.1129139696489588E-2</v>
      </c>
      <c r="AB67" s="1606"/>
      <c r="AC67" s="934"/>
      <c r="AD67" s="1590"/>
      <c r="AE67" s="1590"/>
    </row>
    <row r="68" spans="1:31">
      <c r="A68" s="1207" t="s">
        <v>1363</v>
      </c>
      <c r="B68" s="1589"/>
      <c r="C68" s="1578">
        <v>164.18161628999974</v>
      </c>
      <c r="D68" s="1580">
        <v>167.85900000000001</v>
      </c>
      <c r="E68" s="1579">
        <v>40.054031999999999</v>
      </c>
      <c r="F68" s="1579">
        <v>193.40563800000001</v>
      </c>
      <c r="G68" s="1581">
        <v>309.32682</v>
      </c>
      <c r="H68" s="1579">
        <f t="shared" ref="H68:K69" si="54">O68</f>
        <v>100</v>
      </c>
      <c r="I68" s="1579">
        <f t="shared" si="54"/>
        <v>49.212221206924283</v>
      </c>
      <c r="J68" s="1579">
        <f t="shared" si="54"/>
        <v>51.375104024514712</v>
      </c>
      <c r="K68" s="1581">
        <f t="shared" si="54"/>
        <v>54.005861137328885</v>
      </c>
      <c r="L68" s="1175"/>
      <c r="M68" s="1580"/>
      <c r="N68" s="1581">
        <f>O201-D201</f>
        <v>-67.859000000000009</v>
      </c>
      <c r="O68" s="1578">
        <f t="shared" si="52"/>
        <v>100</v>
      </c>
      <c r="P68" s="1580">
        <f>P201</f>
        <v>49.212221206924283</v>
      </c>
      <c r="Q68" s="1579">
        <f>Q201</f>
        <v>51.375104024514712</v>
      </c>
      <c r="R68" s="1579">
        <f>R201</f>
        <v>54.005861137328885</v>
      </c>
      <c r="S68" s="1580">
        <f t="shared" ref="S68:S80" si="55">E68-P68</f>
        <v>-9.1581892069242841</v>
      </c>
      <c r="T68" s="1579">
        <f t="shared" ref="T68:T80" si="56">F68-Q68</f>
        <v>142.0305339754853</v>
      </c>
      <c r="U68" s="1579">
        <f t="shared" ref="U68:U80" si="57">G68-R68</f>
        <v>255.32095886267112</v>
      </c>
      <c r="V68" s="1578">
        <f t="shared" si="49"/>
        <v>-50.787778793075717</v>
      </c>
      <c r="W68" s="1175"/>
      <c r="X68" s="1580">
        <f t="shared" ref="X68:X80" si="58">P68</f>
        <v>49.212221206924283</v>
      </c>
      <c r="Y68" s="1579">
        <f t="shared" ref="Y68:Y76" si="59">E68</f>
        <v>40.054031999999999</v>
      </c>
      <c r="Z68" s="1580">
        <f t="shared" ref="Z68:Z80" si="60">Y68-X68</f>
        <v>-9.1581892069242841</v>
      </c>
      <c r="AA68" s="1586">
        <f t="shared" si="38"/>
        <v>-1.090372441206538E-2</v>
      </c>
      <c r="AB68" s="1574"/>
      <c r="AC68" s="934"/>
      <c r="AD68" s="1574"/>
      <c r="AE68" s="1574"/>
    </row>
    <row r="69" spans="1:31">
      <c r="A69" s="1207" t="s">
        <v>1159</v>
      </c>
      <c r="B69" s="1589"/>
      <c r="C69" s="1578">
        <v>33.217016850000022</v>
      </c>
      <c r="D69" s="1580">
        <v>20.164999999999999</v>
      </c>
      <c r="E69" s="1579">
        <v>13.669035989999999</v>
      </c>
      <c r="F69" s="1579">
        <v>24.153909389999999</v>
      </c>
      <c r="G69" s="1581">
        <v>28.599595420000004</v>
      </c>
      <c r="H69" s="1579">
        <f t="shared" si="54"/>
        <v>17.3594394860636</v>
      </c>
      <c r="I69" s="1579">
        <f t="shared" si="54"/>
        <v>8.315048827094337</v>
      </c>
      <c r="J69" s="1579">
        <f t="shared" si="54"/>
        <v>8.3579992687253579</v>
      </c>
      <c r="K69" s="1581">
        <f t="shared" si="54"/>
        <v>8.7638582776262144</v>
      </c>
      <c r="L69" s="1175"/>
      <c r="M69" s="1580"/>
      <c r="N69" s="1581">
        <f>O211-D211</f>
        <v>-2.805560513936399</v>
      </c>
      <c r="O69" s="1578">
        <f t="shared" si="52"/>
        <v>17.3594394860636</v>
      </c>
      <c r="P69" s="1580">
        <f>P211</f>
        <v>8.315048827094337</v>
      </c>
      <c r="Q69" s="1579">
        <f>Q211</f>
        <v>8.3579992687253579</v>
      </c>
      <c r="R69" s="1579">
        <f>R211</f>
        <v>8.7638582776262144</v>
      </c>
      <c r="S69" s="1580">
        <f t="shared" si="55"/>
        <v>5.3539871629056623</v>
      </c>
      <c r="T69" s="1579">
        <f t="shared" si="56"/>
        <v>15.795910121274641</v>
      </c>
      <c r="U69" s="1579">
        <f t="shared" si="57"/>
        <v>19.835737142373787</v>
      </c>
      <c r="V69" s="1578">
        <f t="shared" si="49"/>
        <v>-9.0443906589692631</v>
      </c>
      <c r="W69" s="1175"/>
      <c r="X69" s="1580">
        <f t="shared" si="58"/>
        <v>8.315048827094337</v>
      </c>
      <c r="Y69" s="1579">
        <f t="shared" si="59"/>
        <v>13.669035989999999</v>
      </c>
      <c r="Z69" s="1580">
        <f t="shared" si="60"/>
        <v>5.3539871629056623</v>
      </c>
      <c r="AA69" s="1586">
        <f t="shared" si="38"/>
        <v>6.3744479624771953E-3</v>
      </c>
      <c r="AB69" s="1574"/>
      <c r="AC69" s="934"/>
      <c r="AD69" s="1574"/>
      <c r="AE69" s="1574"/>
    </row>
    <row r="70" spans="1:31">
      <c r="A70" s="1207" t="s">
        <v>1383</v>
      </c>
      <c r="B70" s="859"/>
      <c r="C70" s="1578">
        <f>C34</f>
        <v>170.85599999999999</v>
      </c>
      <c r="D70" s="1580">
        <f>D34</f>
        <v>166.78300000000002</v>
      </c>
      <c r="E70" s="1579">
        <f>E34</f>
        <v>176.35499999999999</v>
      </c>
      <c r="F70" s="1579">
        <f>F34</f>
        <v>175.25399999999999</v>
      </c>
      <c r="G70" s="1581">
        <f>G34</f>
        <v>175.58099999999999</v>
      </c>
      <c r="H70" s="1579">
        <f>D70</f>
        <v>166.78300000000002</v>
      </c>
      <c r="I70" s="1579">
        <f>E70</f>
        <v>176.35499999999999</v>
      </c>
      <c r="J70" s="1579">
        <f>F70</f>
        <v>175.25399999999999</v>
      </c>
      <c r="K70" s="1581">
        <f>G70</f>
        <v>175.58099999999999</v>
      </c>
      <c r="L70" s="1175"/>
      <c r="M70" s="1580"/>
      <c r="N70" s="1581"/>
      <c r="O70" s="1578">
        <f t="shared" si="52"/>
        <v>166.78300000000002</v>
      </c>
      <c r="P70" s="1580">
        <f>P109</f>
        <v>168.22101293017579</v>
      </c>
      <c r="Q70" s="1579">
        <f>Q109</f>
        <v>170.95687315136965</v>
      </c>
      <c r="R70" s="1579">
        <f>R109</f>
        <v>174.54675408239163</v>
      </c>
      <c r="S70" s="1580">
        <f t="shared" si="55"/>
        <v>8.1339870698242009</v>
      </c>
      <c r="T70" s="1579">
        <f t="shared" si="56"/>
        <v>4.2971268486303416</v>
      </c>
      <c r="U70" s="1579">
        <f t="shared" si="57"/>
        <v>1.0342459176083594</v>
      </c>
      <c r="V70" s="1578">
        <f t="shared" si="49"/>
        <v>1.4380129301757734</v>
      </c>
      <c r="W70" s="1175"/>
      <c r="X70" s="1580">
        <f t="shared" si="58"/>
        <v>168.22101293017579</v>
      </c>
      <c r="Y70" s="1579">
        <f t="shared" si="59"/>
        <v>176.35499999999999</v>
      </c>
      <c r="Z70" s="1580">
        <f t="shared" si="60"/>
        <v>8.1339870698242009</v>
      </c>
      <c r="AA70" s="1586">
        <f t="shared" si="38"/>
        <v>9.684311098705994E-3</v>
      </c>
      <c r="AB70" s="1574"/>
      <c r="AC70" s="934"/>
      <c r="AD70" s="1574"/>
      <c r="AE70" s="1574"/>
    </row>
    <row r="71" spans="1:31">
      <c r="A71" s="1207" t="s">
        <v>1359</v>
      </c>
      <c r="B71" s="859"/>
      <c r="C71" s="1578">
        <v>0</v>
      </c>
      <c r="D71" s="1580">
        <v>0</v>
      </c>
      <c r="E71" s="1579">
        <f>9.857+2.7596+0.077</f>
        <v>12.693599999999998</v>
      </c>
      <c r="F71" s="1579">
        <f>11.434+3.016+0.089</f>
        <v>14.539</v>
      </c>
      <c r="G71" s="1581">
        <f>12.969+3.467+0.089</f>
        <v>16.524999999999999</v>
      </c>
      <c r="H71" s="1579">
        <f>D71</f>
        <v>0</v>
      </c>
      <c r="I71" s="1579">
        <v>-1.5500000000123748E-4</v>
      </c>
      <c r="J71" s="1579">
        <v>-6.9900000000089335E-4</v>
      </c>
      <c r="K71" s="1581">
        <v>-7.8400000000300452E-4</v>
      </c>
      <c r="L71" s="1175"/>
      <c r="M71" s="1588"/>
      <c r="N71" s="1581"/>
      <c r="O71" s="1578">
        <f t="shared" si="52"/>
        <v>0</v>
      </c>
      <c r="P71" s="1580">
        <v>0</v>
      </c>
      <c r="Q71" s="1579">
        <v>0</v>
      </c>
      <c r="R71" s="1579">
        <v>0</v>
      </c>
      <c r="S71" s="1580">
        <f t="shared" si="55"/>
        <v>12.693599999999998</v>
      </c>
      <c r="T71" s="1579">
        <f t="shared" si="56"/>
        <v>14.539</v>
      </c>
      <c r="U71" s="1579">
        <f t="shared" si="57"/>
        <v>16.524999999999999</v>
      </c>
      <c r="V71" s="1578">
        <f t="shared" si="49"/>
        <v>0</v>
      </c>
      <c r="W71" s="1175"/>
      <c r="X71" s="1580">
        <f t="shared" si="58"/>
        <v>0</v>
      </c>
      <c r="Y71" s="1579">
        <f t="shared" si="59"/>
        <v>12.693599999999998</v>
      </c>
      <c r="Z71" s="1580">
        <f t="shared" si="60"/>
        <v>12.693599999999998</v>
      </c>
      <c r="AA71" s="1586">
        <f t="shared" si="38"/>
        <v>1.5112978457831657E-2</v>
      </c>
      <c r="AB71" s="1574"/>
      <c r="AC71" s="934"/>
      <c r="AD71" s="1574"/>
      <c r="AE71" s="1574"/>
    </row>
    <row r="72" spans="1:31">
      <c r="A72" s="1207" t="s">
        <v>1354</v>
      </c>
      <c r="B72" s="859"/>
      <c r="C72" s="1578">
        <v>1.3160000000000001</v>
      </c>
      <c r="D72" s="1580">
        <v>1.234</v>
      </c>
      <c r="E72" s="1579">
        <v>0</v>
      </c>
      <c r="F72" s="1579">
        <v>0</v>
      </c>
      <c r="G72" s="1581">
        <v>0</v>
      </c>
      <c r="H72" s="1579">
        <f>D72</f>
        <v>1.234</v>
      </c>
      <c r="I72" s="1579">
        <f t="shared" ref="I72:K74" si="61">E72</f>
        <v>0</v>
      </c>
      <c r="J72" s="1579">
        <f t="shared" si="61"/>
        <v>0</v>
      </c>
      <c r="K72" s="1581">
        <f t="shared" si="61"/>
        <v>0</v>
      </c>
      <c r="L72" s="1175"/>
      <c r="M72" s="1580"/>
      <c r="N72" s="1581"/>
      <c r="O72" s="1578">
        <f t="shared" si="52"/>
        <v>1.234</v>
      </c>
      <c r="P72" s="1580">
        <v>0</v>
      </c>
      <c r="Q72" s="1579">
        <v>0</v>
      </c>
      <c r="R72" s="1579">
        <v>0</v>
      </c>
      <c r="S72" s="1580">
        <f t="shared" si="55"/>
        <v>0</v>
      </c>
      <c r="T72" s="1579">
        <f t="shared" si="56"/>
        <v>0</v>
      </c>
      <c r="U72" s="1579">
        <f t="shared" si="57"/>
        <v>0</v>
      </c>
      <c r="V72" s="1578">
        <f t="shared" si="49"/>
        <v>-1.234</v>
      </c>
      <c r="W72" s="1175"/>
      <c r="X72" s="1580">
        <f t="shared" si="58"/>
        <v>0</v>
      </c>
      <c r="Y72" s="1579">
        <f t="shared" si="59"/>
        <v>0</v>
      </c>
      <c r="Z72" s="1580">
        <f t="shared" si="60"/>
        <v>0</v>
      </c>
      <c r="AA72" s="1586">
        <f t="shared" si="38"/>
        <v>0</v>
      </c>
      <c r="AB72" s="1574"/>
      <c r="AC72" s="934"/>
      <c r="AD72" s="1574"/>
      <c r="AE72" s="1574"/>
    </row>
    <row r="73" spans="1:31">
      <c r="A73" s="1207" t="s">
        <v>1353</v>
      </c>
      <c r="B73" s="859"/>
      <c r="C73" s="1578">
        <v>0.81599999999999995</v>
      </c>
      <c r="D73" s="1580">
        <f>0.772+0.1</f>
        <v>0.872</v>
      </c>
      <c r="E73" s="1579">
        <v>1.1399999999999999</v>
      </c>
      <c r="F73" s="1579">
        <v>1.1399999999999999</v>
      </c>
      <c r="G73" s="1581">
        <v>0.55100000000000005</v>
      </c>
      <c r="H73" s="1579">
        <f>D73</f>
        <v>0.872</v>
      </c>
      <c r="I73" s="1579">
        <f t="shared" si="61"/>
        <v>1.1399999999999999</v>
      </c>
      <c r="J73" s="1579">
        <f t="shared" si="61"/>
        <v>1.1399999999999999</v>
      </c>
      <c r="K73" s="1581">
        <f t="shared" si="61"/>
        <v>0.55100000000000005</v>
      </c>
      <c r="L73" s="1175"/>
      <c r="M73" s="1580"/>
      <c r="N73" s="1581"/>
      <c r="O73" s="1578">
        <f t="shared" si="52"/>
        <v>0.872</v>
      </c>
      <c r="P73" s="1580">
        <v>0.90065326705024817</v>
      </c>
      <c r="Q73" s="1579">
        <v>0.94023708237365766</v>
      </c>
      <c r="R73" s="1579">
        <v>0.98838365918654048</v>
      </c>
      <c r="S73" s="1580">
        <f t="shared" si="55"/>
        <v>0.23934673294975173</v>
      </c>
      <c r="T73" s="1579">
        <f t="shared" si="56"/>
        <v>0.19976291762634224</v>
      </c>
      <c r="U73" s="1579">
        <f t="shared" si="57"/>
        <v>-0.43738365918654043</v>
      </c>
      <c r="V73" s="1578">
        <f t="shared" si="49"/>
        <v>2.8653267050248177E-2</v>
      </c>
      <c r="W73" s="1175"/>
      <c r="X73" s="1580">
        <f t="shared" si="58"/>
        <v>0.90065326705024817</v>
      </c>
      <c r="Y73" s="1579">
        <f t="shared" si="59"/>
        <v>1.1399999999999999</v>
      </c>
      <c r="Z73" s="1580">
        <f t="shared" si="60"/>
        <v>0.23934673294975173</v>
      </c>
      <c r="AA73" s="1586">
        <f t="shared" si="38"/>
        <v>2.849658110403656E-4</v>
      </c>
      <c r="AB73" s="1574"/>
      <c r="AC73" s="934"/>
      <c r="AD73" s="1574"/>
      <c r="AE73" s="1574"/>
    </row>
    <row r="74" spans="1:31">
      <c r="A74" s="1207" t="s">
        <v>1352</v>
      </c>
      <c r="B74" s="859"/>
      <c r="C74" s="1578">
        <v>0.13700000000000001</v>
      </c>
      <c r="D74" s="1580">
        <f>0.47+0.027</f>
        <v>0.497</v>
      </c>
      <c r="E74" s="1579">
        <v>0.53200000000000003</v>
      </c>
      <c r="F74" s="1579">
        <v>0.53300000000000003</v>
      </c>
      <c r="G74" s="1581">
        <v>0.53300000000000003</v>
      </c>
      <c r="H74" s="1579">
        <f>D74</f>
        <v>0.497</v>
      </c>
      <c r="I74" s="1579">
        <f t="shared" si="61"/>
        <v>0.53200000000000003</v>
      </c>
      <c r="J74" s="1579">
        <f t="shared" si="61"/>
        <v>0.53300000000000003</v>
      </c>
      <c r="K74" s="1581">
        <f t="shared" si="61"/>
        <v>0.53300000000000003</v>
      </c>
      <c r="L74" s="1175"/>
      <c r="M74" s="1580"/>
      <c r="N74" s="1581"/>
      <c r="O74" s="1578">
        <f t="shared" si="52"/>
        <v>0.497</v>
      </c>
      <c r="P74" s="1580">
        <v>0.51333104784859329</v>
      </c>
      <c r="Q74" s="1579">
        <v>0.53589200681159155</v>
      </c>
      <c r="R74" s="1579">
        <v>0.56333334703636539</v>
      </c>
      <c r="S74" s="1580">
        <f t="shared" si="55"/>
        <v>1.8668952151406737E-2</v>
      </c>
      <c r="T74" s="1579">
        <f t="shared" si="56"/>
        <v>-2.8920068115915187E-3</v>
      </c>
      <c r="U74" s="1579">
        <f t="shared" si="57"/>
        <v>-3.0333347036365366E-2</v>
      </c>
      <c r="V74" s="1578">
        <f t="shared" si="49"/>
        <v>1.6331047848593294E-2</v>
      </c>
      <c r="W74" s="1175"/>
      <c r="X74" s="1580">
        <f t="shared" si="58"/>
        <v>0.51333104784859329</v>
      </c>
      <c r="Y74" s="1579">
        <f t="shared" si="59"/>
        <v>0.53200000000000003</v>
      </c>
      <c r="Z74" s="1580">
        <f t="shared" si="60"/>
        <v>1.8668952151406737E-2</v>
      </c>
      <c r="AA74" s="1586">
        <f t="shared" si="38"/>
        <v>2.2227222513274407E-5</v>
      </c>
      <c r="AB74" s="1574"/>
      <c r="AC74" s="934"/>
      <c r="AD74" s="1574"/>
      <c r="AE74" s="1574"/>
    </row>
    <row r="75" spans="1:31">
      <c r="A75" s="1207" t="s">
        <v>1351</v>
      </c>
      <c r="B75" s="859"/>
      <c r="C75" s="1578">
        <v>781.303</v>
      </c>
      <c r="D75" s="1579">
        <f>801.337-7.592</f>
        <v>793.745</v>
      </c>
      <c r="E75" s="1579">
        <f>847.246-8.798</f>
        <v>838.44799999999998</v>
      </c>
      <c r="F75" s="1579">
        <f>871.772-9.082</f>
        <v>862.69</v>
      </c>
      <c r="G75" s="1581">
        <f>892.751-9.223</f>
        <v>883.52800000000002</v>
      </c>
      <c r="H75" s="1579">
        <v>823.745</v>
      </c>
      <c r="I75" s="1579">
        <v>858.44799999999998</v>
      </c>
      <c r="J75" s="1579">
        <v>884.69</v>
      </c>
      <c r="K75" s="1581">
        <v>907.52800000000002</v>
      </c>
      <c r="L75" s="1175"/>
      <c r="M75" s="1580"/>
      <c r="N75" s="1581">
        <v>30</v>
      </c>
      <c r="O75" s="1578">
        <f t="shared" si="52"/>
        <v>823.745</v>
      </c>
      <c r="P75" s="1580">
        <v>866.64099890125874</v>
      </c>
      <c r="Q75" s="1579">
        <v>921.54501415958384</v>
      </c>
      <c r="R75" s="1579">
        <v>992.45401295818601</v>
      </c>
      <c r="S75" s="1580">
        <f t="shared" si="55"/>
        <v>-28.192998901258761</v>
      </c>
      <c r="T75" s="1579">
        <f t="shared" si="56"/>
        <v>-58.855014159583789</v>
      </c>
      <c r="U75" s="1579">
        <f t="shared" si="57"/>
        <v>-108.92601295818599</v>
      </c>
      <c r="V75" s="1578">
        <f t="shared" si="49"/>
        <v>42.895998901258736</v>
      </c>
      <c r="W75" s="1175"/>
      <c r="X75" s="1580">
        <f t="shared" si="58"/>
        <v>866.64099890125874</v>
      </c>
      <c r="Y75" s="1579">
        <f t="shared" si="59"/>
        <v>838.44799999999998</v>
      </c>
      <c r="Z75" s="1580">
        <f t="shared" si="60"/>
        <v>-28.192998901258761</v>
      </c>
      <c r="AA75" s="1586">
        <f t="shared" si="38"/>
        <v>-3.3566536290445204E-2</v>
      </c>
      <c r="AB75" s="1600"/>
      <c r="AC75" s="934"/>
      <c r="AD75" s="1574"/>
      <c r="AE75" s="1574"/>
    </row>
    <row r="76" spans="1:31">
      <c r="A76" s="1207" t="s">
        <v>1350</v>
      </c>
      <c r="B76" s="859"/>
      <c r="C76" s="1578">
        <v>72.775999999999996</v>
      </c>
      <c r="D76" s="1580">
        <f>66.5-0.688+9.976</f>
        <v>75.787999999999997</v>
      </c>
      <c r="E76" s="1579">
        <f>78.10399-0.933</f>
        <v>77.170989999999989</v>
      </c>
      <c r="F76" s="1579">
        <f>79.920866-0.974</f>
        <v>78.946866</v>
      </c>
      <c r="G76" s="1581">
        <f>81.504808-0.941</f>
        <v>80.563807999999995</v>
      </c>
      <c r="H76" s="1579">
        <f>D76</f>
        <v>75.787999999999997</v>
      </c>
      <c r="I76" s="1579">
        <f>E76</f>
        <v>77.170989999999989</v>
      </c>
      <c r="J76" s="1579">
        <f>F76</f>
        <v>78.946866</v>
      </c>
      <c r="K76" s="1581">
        <f>G76</f>
        <v>80.563807999999995</v>
      </c>
      <c r="L76" s="1175"/>
      <c r="M76" s="1580"/>
      <c r="N76" s="1581"/>
      <c r="O76" s="1578">
        <f t="shared" si="52"/>
        <v>75.787999999999997</v>
      </c>
      <c r="P76" s="1580">
        <v>78.278336930280048</v>
      </c>
      <c r="Q76" s="1579">
        <v>81.718678897860968</v>
      </c>
      <c r="R76" s="1579">
        <v>85.903234819299925</v>
      </c>
      <c r="S76" s="1580">
        <f t="shared" si="55"/>
        <v>-1.1073469302800589</v>
      </c>
      <c r="T76" s="1579">
        <f t="shared" si="56"/>
        <v>-2.7718128978609684</v>
      </c>
      <c r="U76" s="1579">
        <f t="shared" si="57"/>
        <v>-5.3394268192999306</v>
      </c>
      <c r="V76" s="1578">
        <f t="shared" si="49"/>
        <v>2.4903369302800513</v>
      </c>
      <c r="W76" s="1175"/>
      <c r="X76" s="1580">
        <f t="shared" si="58"/>
        <v>78.278336930280048</v>
      </c>
      <c r="Y76" s="1579">
        <f t="shared" si="59"/>
        <v>77.170989999999989</v>
      </c>
      <c r="Z76" s="1580">
        <f t="shared" si="60"/>
        <v>-1.1073469302800589</v>
      </c>
      <c r="AA76" s="1586">
        <f t="shared" si="38"/>
        <v>-1.3184053619673336E-3</v>
      </c>
      <c r="AB76" s="1600"/>
      <c r="AC76" s="934"/>
      <c r="AD76" s="1574"/>
      <c r="AE76" s="1574"/>
    </row>
    <row r="77" spans="1:31">
      <c r="A77" s="1207" t="s">
        <v>1349</v>
      </c>
      <c r="B77" s="859"/>
      <c r="C77" s="1578">
        <v>23.736000000000001</v>
      </c>
      <c r="D77" s="1580">
        <v>0</v>
      </c>
      <c r="E77" s="1579">
        <v>0</v>
      </c>
      <c r="F77" s="1579">
        <v>0</v>
      </c>
      <c r="G77" s="1581">
        <v>0</v>
      </c>
      <c r="H77" s="1577">
        <v>24.306321781181854</v>
      </c>
      <c r="I77" s="1577">
        <v>24.306321781181854</v>
      </c>
      <c r="J77" s="1577">
        <v>24.306321781181854</v>
      </c>
      <c r="K77" s="1587">
        <v>24.306321781181854</v>
      </c>
      <c r="L77" s="1175"/>
      <c r="M77" s="1580"/>
      <c r="N77" s="1581">
        <v>24.306321781181854</v>
      </c>
      <c r="O77" s="1578">
        <f t="shared" si="52"/>
        <v>24.306321781181854</v>
      </c>
      <c r="P77" s="1580">
        <v>25.105009314445006</v>
      </c>
      <c r="Q77" s="1579">
        <v>26.208377379327654</v>
      </c>
      <c r="R77" s="1579">
        <v>27.550425760837197</v>
      </c>
      <c r="S77" s="1580">
        <f t="shared" si="55"/>
        <v>-25.105009314445006</v>
      </c>
      <c r="T77" s="1579">
        <f t="shared" si="56"/>
        <v>-26.208377379327654</v>
      </c>
      <c r="U77" s="1579">
        <f t="shared" si="57"/>
        <v>-27.550425760837197</v>
      </c>
      <c r="V77" s="1578">
        <f t="shared" si="49"/>
        <v>0.79868753326315201</v>
      </c>
      <c r="W77" s="1175"/>
      <c r="X77" s="1580">
        <f t="shared" si="58"/>
        <v>25.105009314445006</v>
      </c>
      <c r="Y77" s="1579">
        <f>X77</f>
        <v>25.105009314445006</v>
      </c>
      <c r="Z77" s="1580">
        <f t="shared" si="60"/>
        <v>0</v>
      </c>
      <c r="AA77" s="1586">
        <f t="shared" si="38"/>
        <v>0</v>
      </c>
      <c r="AB77" s="1600"/>
      <c r="AC77" s="934"/>
      <c r="AD77" s="1574"/>
      <c r="AE77" s="1574"/>
    </row>
    <row r="78" spans="1:31">
      <c r="A78" s="1207" t="s">
        <v>1370</v>
      </c>
      <c r="B78" s="859"/>
      <c r="C78" s="1585">
        <f>10.684+0.026+2.059</f>
        <v>12.768999999999998</v>
      </c>
      <c r="D78" s="1584">
        <f>10.596+2</f>
        <v>12.596</v>
      </c>
      <c r="E78" s="1583">
        <v>0</v>
      </c>
      <c r="F78" s="1583">
        <v>0</v>
      </c>
      <c r="G78" s="1582">
        <v>0</v>
      </c>
      <c r="H78" s="1603">
        <f>D78</f>
        <v>12.596</v>
      </c>
      <c r="I78" s="1603">
        <v>12.596</v>
      </c>
      <c r="J78" s="1603">
        <v>12.596</v>
      </c>
      <c r="K78" s="1602">
        <v>12.596</v>
      </c>
      <c r="L78" s="1175"/>
      <c r="M78" s="1584"/>
      <c r="N78" s="1582"/>
      <c r="O78" s="1578">
        <f t="shared" si="52"/>
        <v>12.596</v>
      </c>
      <c r="P78" s="1584">
        <v>13.009895128170786</v>
      </c>
      <c r="Q78" s="1583">
        <v>13.581681524746092</v>
      </c>
      <c r="R78" s="1583">
        <v>14.277156618249615</v>
      </c>
      <c r="S78" s="1584">
        <f t="shared" si="55"/>
        <v>-13.009895128170786</v>
      </c>
      <c r="T78" s="1583">
        <f t="shared" si="56"/>
        <v>-13.581681524746092</v>
      </c>
      <c r="U78" s="1583">
        <f t="shared" si="57"/>
        <v>-14.277156618249615</v>
      </c>
      <c r="V78" s="1585">
        <f t="shared" si="49"/>
        <v>0.41389512817078611</v>
      </c>
      <c r="W78" s="1175"/>
      <c r="X78" s="1580">
        <f t="shared" si="58"/>
        <v>13.009895128170786</v>
      </c>
      <c r="Y78" s="1579">
        <f>X78</f>
        <v>13.009895128170786</v>
      </c>
      <c r="Z78" s="1580">
        <f t="shared" si="60"/>
        <v>0</v>
      </c>
      <c r="AA78" s="1586">
        <f t="shared" ref="AA78:AA109" si="62">Z78/$Y$172*100</f>
        <v>0</v>
      </c>
      <c r="AB78" s="1574"/>
      <c r="AC78" s="934"/>
      <c r="AD78" s="1574"/>
      <c r="AE78" s="1574"/>
    </row>
    <row r="79" spans="1:31">
      <c r="A79" s="1207" t="s">
        <v>1348</v>
      </c>
      <c r="B79" s="859"/>
      <c r="C79" s="1585">
        <v>67.992999999999995</v>
      </c>
      <c r="D79" s="1584">
        <f>16.178</f>
        <v>16.178000000000001</v>
      </c>
      <c r="E79" s="1583">
        <v>16.178000000000001</v>
      </c>
      <c r="F79" s="1583">
        <f>16.174</f>
        <v>16.173999999999999</v>
      </c>
      <c r="G79" s="1582">
        <f>16.154</f>
        <v>16.154</v>
      </c>
      <c r="H79" s="1583">
        <f>D79</f>
        <v>16.178000000000001</v>
      </c>
      <c r="I79" s="1583">
        <f>E79</f>
        <v>16.178000000000001</v>
      </c>
      <c r="J79" s="1583">
        <f>F79</f>
        <v>16.173999999999999</v>
      </c>
      <c r="K79" s="1582">
        <f>G79</f>
        <v>16.154</v>
      </c>
      <c r="L79" s="1175"/>
      <c r="M79" s="1584"/>
      <c r="N79" s="1582"/>
      <c r="O79" s="1578">
        <f t="shared" si="52"/>
        <v>16.178000000000001</v>
      </c>
      <c r="P79" s="1584">
        <v>16.709596965984996</v>
      </c>
      <c r="Q79" s="1583">
        <v>17.443985686514949</v>
      </c>
      <c r="R79" s="1583">
        <v>18.337237199908092</v>
      </c>
      <c r="S79" s="1584">
        <f t="shared" si="55"/>
        <v>-0.53159696598499551</v>
      </c>
      <c r="T79" s="1583">
        <f t="shared" si="56"/>
        <v>-1.2699856865149499</v>
      </c>
      <c r="U79" s="1583">
        <f t="shared" si="57"/>
        <v>-2.183237199908092</v>
      </c>
      <c r="V79" s="1585">
        <f t="shared" si="49"/>
        <v>0.53159696598499551</v>
      </c>
      <c r="W79" s="1175"/>
      <c r="X79" s="1580">
        <f t="shared" si="58"/>
        <v>16.709596965984996</v>
      </c>
      <c r="Y79" s="1579">
        <f>E79</f>
        <v>16.178000000000001</v>
      </c>
      <c r="Z79" s="1580">
        <f t="shared" si="60"/>
        <v>-0.53159696598499551</v>
      </c>
      <c r="AA79" s="1586">
        <f t="shared" si="62"/>
        <v>-6.3291843883373563E-4</v>
      </c>
      <c r="AB79" s="1574"/>
      <c r="AC79" s="934"/>
      <c r="AD79" s="1574"/>
      <c r="AE79" s="1574"/>
    </row>
    <row r="80" spans="1:31">
      <c r="A80" s="1207" t="s">
        <v>1285</v>
      </c>
      <c r="B80" s="859"/>
      <c r="C80" s="1578">
        <f>C67-SUM(C68:C79)</f>
        <v>5720.3963668600009</v>
      </c>
      <c r="D80" s="1580">
        <f>D67-SUM(D68:D79)</f>
        <v>5966.7829999999994</v>
      </c>
      <c r="E80" s="1579">
        <f>E67-SUM(E68:E79)</f>
        <v>6166.45934201</v>
      </c>
      <c r="F80" s="1579">
        <f>F67-SUM(F68:F79)</f>
        <v>6332.3635866099994</v>
      </c>
      <c r="G80" s="1581">
        <f>G67-SUM(G68:G79)</f>
        <v>6574.1377765799998</v>
      </c>
      <c r="H80" s="1579">
        <v>5961.7829999999994</v>
      </c>
      <c r="I80" s="1579">
        <v>6264.2414788017513</v>
      </c>
      <c r="J80" s="1579">
        <v>6587.4369108578476</v>
      </c>
      <c r="K80" s="1581">
        <v>6965.0656234662774</v>
      </c>
      <c r="L80" s="1175"/>
      <c r="M80" s="1580">
        <v>-12.704000000000001</v>
      </c>
      <c r="N80" s="1581">
        <v>-5</v>
      </c>
      <c r="O80" s="1578">
        <f t="shared" si="52"/>
        <v>5949.0789999999997</v>
      </c>
      <c r="P80" s="1580">
        <v>6144.561281295898</v>
      </c>
      <c r="Q80" s="1579">
        <v>6414.6154607458675</v>
      </c>
      <c r="R80" s="1579">
        <v>6743.0876958828039</v>
      </c>
      <c r="S80" s="1580">
        <f t="shared" si="55"/>
        <v>21.89806071410203</v>
      </c>
      <c r="T80" s="1579">
        <f t="shared" si="56"/>
        <v>-82.251874135868093</v>
      </c>
      <c r="U80" s="1579">
        <f t="shared" si="57"/>
        <v>-168.94991930280412</v>
      </c>
      <c r="V80" s="1578">
        <f t="shared" si="49"/>
        <v>195.48228129589825</v>
      </c>
      <c r="W80" s="1175"/>
      <c r="X80" s="1580">
        <f t="shared" si="58"/>
        <v>6144.561281295898</v>
      </c>
      <c r="Y80" s="1579">
        <f>E80</f>
        <v>6166.45934201</v>
      </c>
      <c r="Z80" s="1580">
        <f t="shared" si="60"/>
        <v>21.89806071410203</v>
      </c>
      <c r="AA80" s="1586">
        <f t="shared" si="62"/>
        <v>2.6071793647232756E-2</v>
      </c>
      <c r="AB80" s="1600"/>
      <c r="AC80" s="934"/>
      <c r="AD80" s="1574"/>
      <c r="AE80" s="1574"/>
    </row>
    <row r="81" spans="1:31" s="1477" customFormat="1">
      <c r="A81" s="1445" t="s">
        <v>54</v>
      </c>
      <c r="B81" s="1589" t="s">
        <v>1093</v>
      </c>
      <c r="C81" s="1595">
        <v>4654.8230000000003</v>
      </c>
      <c r="D81" s="1599">
        <v>4511.6000000000004</v>
      </c>
      <c r="E81" s="1593">
        <v>4717</v>
      </c>
      <c r="F81" s="1593">
        <v>4645.8</v>
      </c>
      <c r="G81" s="1596">
        <v>4730.1000000000004</v>
      </c>
      <c r="H81" s="1593">
        <f>SUM(H82:H97)</f>
        <v>4752.0725142932788</v>
      </c>
      <c r="I81" s="1593">
        <f>SUM(I82:I97)</f>
        <v>4540.6149956677091</v>
      </c>
      <c r="J81" s="1593">
        <f>SUM(J82:J97)</f>
        <v>4637.9157963354837</v>
      </c>
      <c r="K81" s="1596">
        <f>SUM(K82:K97)</f>
        <v>4635.0370933982322</v>
      </c>
      <c r="L81" s="1594"/>
      <c r="M81" s="1592">
        <f>SUM(M82:M97)</f>
        <v>-37.445</v>
      </c>
      <c r="N81" s="1596">
        <f>SUM(N82:N97)</f>
        <v>240.47251429327886</v>
      </c>
      <c r="O81" s="1595">
        <f t="shared" si="52"/>
        <v>4714.6275142932791</v>
      </c>
      <c r="P81" s="1592">
        <f t="shared" ref="P81:U81" si="63">SUM(P82:P97)</f>
        <v>4762.2591206522739</v>
      </c>
      <c r="Q81" s="1593">
        <f t="shared" si="63"/>
        <v>4865.0333575507748</v>
      </c>
      <c r="R81" s="1593">
        <f t="shared" si="63"/>
        <v>4996.8086751432611</v>
      </c>
      <c r="S81" s="1592">
        <f t="shared" si="63"/>
        <v>-45.259120652273367</v>
      </c>
      <c r="T81" s="1593">
        <f t="shared" si="63"/>
        <v>-219.23335755077417</v>
      </c>
      <c r="U81" s="1593">
        <f t="shared" si="63"/>
        <v>-266.70867514326108</v>
      </c>
      <c r="V81" s="1595">
        <f t="shared" si="49"/>
        <v>47.631606358994759</v>
      </c>
      <c r="W81" s="1594"/>
      <c r="X81" s="1592">
        <f>SUM(X82:X97)</f>
        <v>4762.2591206522739</v>
      </c>
      <c r="Y81" s="1593">
        <f>SUM(Y82:Y97)</f>
        <v>4788.6960986360527</v>
      </c>
      <c r="Z81" s="1592">
        <f>SUM(Z82:Z97)</f>
        <v>26.436977983779144</v>
      </c>
      <c r="AA81" s="1591">
        <f t="shared" si="62"/>
        <v>3.1475820788351934E-2</v>
      </c>
      <c r="AB81" s="1590"/>
      <c r="AC81" s="934"/>
      <c r="AD81" s="1590"/>
      <c r="AE81" s="1590"/>
    </row>
    <row r="82" spans="1:31">
      <c r="A82" s="1207" t="s">
        <v>1363</v>
      </c>
      <c r="B82" s="1589"/>
      <c r="C82" s="1578">
        <v>283.29757762000048</v>
      </c>
      <c r="D82" s="1580">
        <v>175.494</v>
      </c>
      <c r="E82" s="1579">
        <v>62.789055700000006</v>
      </c>
      <c r="F82" s="1579">
        <v>93.285781560000004</v>
      </c>
      <c r="G82" s="1581">
        <v>98.551059480000006</v>
      </c>
      <c r="H82" s="1579">
        <f t="shared" ref="H82:K83" si="64">O82</f>
        <v>125</v>
      </c>
      <c r="I82" s="1579">
        <f t="shared" si="64"/>
        <v>99.91634674003663</v>
      </c>
      <c r="J82" s="1579">
        <f t="shared" si="64"/>
        <v>101.54133492511279</v>
      </c>
      <c r="K82" s="1581">
        <f t="shared" si="64"/>
        <v>103.6735762046747</v>
      </c>
      <c r="L82" s="1175"/>
      <c r="M82" s="1580"/>
      <c r="N82" s="1581">
        <f>O202-D202</f>
        <v>-50.494</v>
      </c>
      <c r="O82" s="1578">
        <f t="shared" si="52"/>
        <v>125</v>
      </c>
      <c r="P82" s="1580">
        <f>P202</f>
        <v>99.91634674003663</v>
      </c>
      <c r="Q82" s="1579">
        <f>Q202</f>
        <v>101.54133492511279</v>
      </c>
      <c r="R82" s="1579">
        <f>R202</f>
        <v>103.6735762046747</v>
      </c>
      <c r="S82" s="1580">
        <f t="shared" ref="S82:S97" si="65">E82-P82</f>
        <v>-37.127291040036624</v>
      </c>
      <c r="T82" s="1579">
        <f t="shared" ref="T82:T97" si="66">F82-Q82</f>
        <v>-8.2555533651127888</v>
      </c>
      <c r="U82" s="1579">
        <f t="shared" ref="U82:U97" si="67">G82-R82</f>
        <v>-5.1225167246746963</v>
      </c>
      <c r="V82" s="1578">
        <f t="shared" si="49"/>
        <v>-25.08365325996337</v>
      </c>
      <c r="W82" s="1175"/>
      <c r="X82" s="1580">
        <f t="shared" ref="X82:X97" si="68">P82</f>
        <v>99.91634674003663</v>
      </c>
      <c r="Y82" s="1579">
        <f t="shared" ref="Y82:Y93" si="69">E82</f>
        <v>62.789055700000006</v>
      </c>
      <c r="Z82" s="1580">
        <f t="shared" ref="Z82:Z113" si="70">Y82-X82</f>
        <v>-37.127291040036624</v>
      </c>
      <c r="AA82" s="1586">
        <f t="shared" si="62"/>
        <v>-4.4203689235970872E-2</v>
      </c>
      <c r="AB82" s="1574"/>
      <c r="AC82" s="934"/>
      <c r="AD82" s="1574"/>
      <c r="AE82" s="1574"/>
    </row>
    <row r="83" spans="1:31">
      <c r="A83" s="1207" t="s">
        <v>1159</v>
      </c>
      <c r="B83" s="1589"/>
      <c r="C83" s="1578">
        <v>54.884850279999924</v>
      </c>
      <c r="D83" s="1580">
        <v>43.484999999999999</v>
      </c>
      <c r="E83" s="1579">
        <v>22.220635680000001</v>
      </c>
      <c r="F83" s="1579">
        <v>34.228735210000004</v>
      </c>
      <c r="G83" s="1581">
        <v>52.862629570000003</v>
      </c>
      <c r="H83" s="1579">
        <f t="shared" si="64"/>
        <v>21.699299357579498</v>
      </c>
      <c r="I83" s="1579">
        <f t="shared" si="64"/>
        <v>16.882174415069805</v>
      </c>
      <c r="J83" s="1579">
        <f t="shared" si="64"/>
        <v>16.519332061002206</v>
      </c>
      <c r="K83" s="1581">
        <f t="shared" si="64"/>
        <v>16.823739310110529</v>
      </c>
      <c r="L83" s="1175"/>
      <c r="M83" s="1580"/>
      <c r="N83" s="1581">
        <f>O212-D212</f>
        <v>-21.785700642420501</v>
      </c>
      <c r="O83" s="1578">
        <f t="shared" si="52"/>
        <v>21.699299357579498</v>
      </c>
      <c r="P83" s="1580">
        <f>P212</f>
        <v>16.882174415069805</v>
      </c>
      <c r="Q83" s="1579">
        <f>Q212</f>
        <v>16.519332061002206</v>
      </c>
      <c r="R83" s="1579">
        <f>R212</f>
        <v>16.823739310110529</v>
      </c>
      <c r="S83" s="1580">
        <f t="shared" si="65"/>
        <v>5.3384612649301957</v>
      </c>
      <c r="T83" s="1579">
        <f t="shared" si="66"/>
        <v>17.709403148997797</v>
      </c>
      <c r="U83" s="1579">
        <f t="shared" si="67"/>
        <v>36.03889025988947</v>
      </c>
      <c r="V83" s="1578">
        <f t="shared" si="49"/>
        <v>-4.8171249425096931</v>
      </c>
      <c r="W83" s="1175"/>
      <c r="X83" s="1580">
        <f t="shared" si="68"/>
        <v>16.882174415069805</v>
      </c>
      <c r="Y83" s="1579">
        <f t="shared" si="69"/>
        <v>22.220635680000001</v>
      </c>
      <c r="Z83" s="1580">
        <f t="shared" si="70"/>
        <v>5.3384612649301957</v>
      </c>
      <c r="AA83" s="1586">
        <f t="shared" si="62"/>
        <v>6.3559628548921342E-3</v>
      </c>
      <c r="AB83" s="1574"/>
      <c r="AC83" s="934"/>
      <c r="AD83" s="1574"/>
      <c r="AE83" s="1574"/>
    </row>
    <row r="84" spans="1:31">
      <c r="A84" s="1207" t="s">
        <v>1396</v>
      </c>
      <c r="B84" s="859"/>
      <c r="C84" s="1578">
        <v>123.777</v>
      </c>
      <c r="D84" s="1584">
        <v>126.694</v>
      </c>
      <c r="E84" s="1579">
        <v>127.21899999999999</v>
      </c>
      <c r="F84" s="1579">
        <v>127.301</v>
      </c>
      <c r="G84" s="1581">
        <v>127.669</v>
      </c>
      <c r="H84" s="1579">
        <f>D84</f>
        <v>126.694</v>
      </c>
      <c r="I84" s="1579">
        <f>E84</f>
        <v>127.21899999999999</v>
      </c>
      <c r="J84" s="1579">
        <f>F84</f>
        <v>127.301</v>
      </c>
      <c r="K84" s="1581">
        <f>G84</f>
        <v>127.669</v>
      </c>
      <c r="L84" s="1175"/>
      <c r="M84" s="1580"/>
      <c r="N84" s="1581"/>
      <c r="O84" s="1578">
        <f t="shared" si="52"/>
        <v>126.694</v>
      </c>
      <c r="P84" s="1580">
        <f>E84</f>
        <v>127.21899999999999</v>
      </c>
      <c r="Q84" s="1579">
        <f>F84</f>
        <v>127.301</v>
      </c>
      <c r="R84" s="1579">
        <f>G84</f>
        <v>127.669</v>
      </c>
      <c r="S84" s="1580">
        <f t="shared" si="65"/>
        <v>0</v>
      </c>
      <c r="T84" s="1579">
        <f t="shared" si="66"/>
        <v>0</v>
      </c>
      <c r="U84" s="1579">
        <f t="shared" si="67"/>
        <v>0</v>
      </c>
      <c r="V84" s="1578">
        <f t="shared" si="49"/>
        <v>0.52499999999999147</v>
      </c>
      <c r="W84" s="1175"/>
      <c r="X84" s="1580">
        <f t="shared" si="68"/>
        <v>127.21899999999999</v>
      </c>
      <c r="Y84" s="1579">
        <f t="shared" si="69"/>
        <v>127.21899999999999</v>
      </c>
      <c r="Z84" s="1580">
        <f t="shared" si="70"/>
        <v>0</v>
      </c>
      <c r="AA84" s="1586">
        <f t="shared" si="62"/>
        <v>0</v>
      </c>
      <c r="AB84" s="1574"/>
      <c r="AC84" s="934"/>
      <c r="AD84" s="1574"/>
      <c r="AE84" s="1574"/>
    </row>
    <row r="85" spans="1:31">
      <c r="A85" s="1207" t="s">
        <v>1395</v>
      </c>
      <c r="B85" s="859"/>
      <c r="C85" s="1578">
        <v>0</v>
      </c>
      <c r="D85" s="1580">
        <v>15.135</v>
      </c>
      <c r="E85" s="1579">
        <v>24.257999999999999</v>
      </c>
      <c r="F85" s="1579">
        <v>26.683</v>
      </c>
      <c r="G85" s="1581">
        <v>26.683</v>
      </c>
      <c r="H85" s="1579">
        <v>0</v>
      </c>
      <c r="I85" s="1579">
        <v>2.1999999999877673E-4</v>
      </c>
      <c r="J85" s="1579">
        <v>-2.9599999999874171E-4</v>
      </c>
      <c r="K85" s="1581">
        <v>-2.9599999999874171E-4</v>
      </c>
      <c r="L85" s="1175"/>
      <c r="M85" s="1580"/>
      <c r="N85" s="1581">
        <f>-D85</f>
        <v>-15.135</v>
      </c>
      <c r="O85" s="1578">
        <f t="shared" si="52"/>
        <v>0</v>
      </c>
      <c r="P85" s="1580">
        <v>0</v>
      </c>
      <c r="Q85" s="1579">
        <v>0</v>
      </c>
      <c r="R85" s="1579">
        <v>0</v>
      </c>
      <c r="S85" s="1580">
        <f t="shared" si="65"/>
        <v>24.257999999999999</v>
      </c>
      <c r="T85" s="1579">
        <f t="shared" si="66"/>
        <v>26.683</v>
      </c>
      <c r="U85" s="1579">
        <f t="shared" si="67"/>
        <v>26.683</v>
      </c>
      <c r="V85" s="1578">
        <f t="shared" si="49"/>
        <v>0</v>
      </c>
      <c r="W85" s="1175"/>
      <c r="X85" s="1580">
        <f t="shared" si="68"/>
        <v>0</v>
      </c>
      <c r="Y85" s="1579">
        <f t="shared" si="69"/>
        <v>24.257999999999999</v>
      </c>
      <c r="Z85" s="1580">
        <f t="shared" si="70"/>
        <v>24.257999999999999</v>
      </c>
      <c r="AA85" s="1586">
        <f t="shared" si="62"/>
        <v>2.888153332624948E-2</v>
      </c>
      <c r="AB85" s="1574"/>
      <c r="AC85" s="934"/>
      <c r="AD85" s="1574"/>
      <c r="AE85" s="1574"/>
    </row>
    <row r="86" spans="1:31" ht="13.5" customHeight="1">
      <c r="A86" s="1207" t="s">
        <v>1369</v>
      </c>
      <c r="B86" s="859"/>
      <c r="C86" s="1578">
        <v>0</v>
      </c>
      <c r="D86" s="1584">
        <v>0</v>
      </c>
      <c r="E86" s="1579">
        <v>170.57</v>
      </c>
      <c r="F86" s="1579">
        <v>130</v>
      </c>
      <c r="G86" s="1581">
        <v>130</v>
      </c>
      <c r="H86" s="1579">
        <f t="shared" ref="H86:H91" si="71">D86</f>
        <v>0</v>
      </c>
      <c r="I86" s="1579">
        <v>0</v>
      </c>
      <c r="J86" s="1579">
        <v>0</v>
      </c>
      <c r="K86" s="1581">
        <v>0</v>
      </c>
      <c r="L86" s="1175"/>
      <c r="M86" s="1580"/>
      <c r="N86" s="1581"/>
      <c r="O86" s="1578">
        <f t="shared" si="52"/>
        <v>0</v>
      </c>
      <c r="P86" s="1580">
        <v>0</v>
      </c>
      <c r="Q86" s="1579">
        <v>0</v>
      </c>
      <c r="R86" s="1579">
        <v>0</v>
      </c>
      <c r="S86" s="1580">
        <f t="shared" si="65"/>
        <v>170.57</v>
      </c>
      <c r="T86" s="1579">
        <f t="shared" si="66"/>
        <v>130</v>
      </c>
      <c r="U86" s="1579">
        <f t="shared" si="67"/>
        <v>130</v>
      </c>
      <c r="V86" s="1578">
        <f t="shared" si="49"/>
        <v>0</v>
      </c>
      <c r="W86" s="1175"/>
      <c r="X86" s="1580">
        <f t="shared" si="68"/>
        <v>0</v>
      </c>
      <c r="Y86" s="1579">
        <f t="shared" si="69"/>
        <v>170.57</v>
      </c>
      <c r="Z86" s="1580">
        <f t="shared" si="70"/>
        <v>170.57</v>
      </c>
      <c r="AA86" s="1586">
        <f t="shared" si="62"/>
        <v>0.20308035037754033</v>
      </c>
      <c r="AB86" s="1574"/>
      <c r="AC86" s="934"/>
      <c r="AD86" s="1574"/>
      <c r="AE86" s="1574"/>
    </row>
    <row r="87" spans="1:31" ht="13.5" customHeight="1">
      <c r="A87" s="1207" t="s">
        <v>1394</v>
      </c>
      <c r="B87" s="859"/>
      <c r="C87" s="1578">
        <v>0</v>
      </c>
      <c r="D87" s="1584">
        <v>0</v>
      </c>
      <c r="E87" s="1579">
        <v>0</v>
      </c>
      <c r="F87" s="1579">
        <v>67</v>
      </c>
      <c r="G87" s="1581">
        <v>65</v>
      </c>
      <c r="H87" s="1579">
        <f t="shared" si="71"/>
        <v>0</v>
      </c>
      <c r="I87" s="1579">
        <f>E87</f>
        <v>0</v>
      </c>
      <c r="J87" s="1579">
        <f>F87</f>
        <v>67</v>
      </c>
      <c r="K87" s="1581">
        <f>G87</f>
        <v>65</v>
      </c>
      <c r="L87" s="1175"/>
      <c r="M87" s="1580"/>
      <c r="N87" s="1581"/>
      <c r="O87" s="1578">
        <f t="shared" si="52"/>
        <v>0</v>
      </c>
      <c r="P87" s="1580">
        <v>0</v>
      </c>
      <c r="Q87" s="1579">
        <v>0</v>
      </c>
      <c r="R87" s="1579">
        <v>0</v>
      </c>
      <c r="S87" s="1580">
        <f t="shared" si="65"/>
        <v>0</v>
      </c>
      <c r="T87" s="1579">
        <f t="shared" si="66"/>
        <v>67</v>
      </c>
      <c r="U87" s="1579">
        <f t="shared" si="67"/>
        <v>65</v>
      </c>
      <c r="V87" s="1578">
        <f t="shared" si="49"/>
        <v>0</v>
      </c>
      <c r="W87" s="1175"/>
      <c r="X87" s="1580">
        <f t="shared" si="68"/>
        <v>0</v>
      </c>
      <c r="Y87" s="1579">
        <f t="shared" si="69"/>
        <v>0</v>
      </c>
      <c r="Z87" s="1580">
        <f t="shared" si="70"/>
        <v>0</v>
      </c>
      <c r="AA87" s="1586">
        <f t="shared" si="62"/>
        <v>0</v>
      </c>
      <c r="AB87" s="1574"/>
      <c r="AC87" s="934"/>
      <c r="AD87" s="1574"/>
      <c r="AE87" s="1574"/>
    </row>
    <row r="88" spans="1:31" ht="13.5" customHeight="1">
      <c r="A88" s="1207" t="s">
        <v>766</v>
      </c>
      <c r="B88" s="859"/>
      <c r="C88" s="1578">
        <v>0</v>
      </c>
      <c r="D88" s="1584">
        <v>0</v>
      </c>
      <c r="E88" s="1579">
        <v>100</v>
      </c>
      <c r="F88" s="1579">
        <v>0</v>
      </c>
      <c r="G88" s="1581">
        <v>0</v>
      </c>
      <c r="H88" s="1579">
        <f t="shared" si="71"/>
        <v>0</v>
      </c>
      <c r="I88" s="1579">
        <f>E88-100</f>
        <v>0</v>
      </c>
      <c r="J88" s="1579">
        <f t="shared" ref="J88:K91" si="72">F88</f>
        <v>0</v>
      </c>
      <c r="K88" s="1581">
        <f t="shared" si="72"/>
        <v>0</v>
      </c>
      <c r="L88" s="1175"/>
      <c r="M88" s="1580"/>
      <c r="N88" s="1581"/>
      <c r="O88" s="1578">
        <f t="shared" si="52"/>
        <v>0</v>
      </c>
      <c r="P88" s="1580">
        <v>0</v>
      </c>
      <c r="Q88" s="1579">
        <v>0</v>
      </c>
      <c r="R88" s="1579">
        <v>0</v>
      </c>
      <c r="S88" s="1580">
        <f t="shared" si="65"/>
        <v>100</v>
      </c>
      <c r="T88" s="1579">
        <f t="shared" si="66"/>
        <v>0</v>
      </c>
      <c r="U88" s="1579">
        <f t="shared" si="67"/>
        <v>0</v>
      </c>
      <c r="V88" s="1578">
        <f t="shared" si="49"/>
        <v>0</v>
      </c>
      <c r="W88" s="1175"/>
      <c r="X88" s="1580">
        <f t="shared" si="68"/>
        <v>0</v>
      </c>
      <c r="Y88" s="1579">
        <f t="shared" si="69"/>
        <v>100</v>
      </c>
      <c r="Z88" s="1580">
        <f t="shared" si="70"/>
        <v>100</v>
      </c>
      <c r="AA88" s="1586">
        <f t="shared" si="62"/>
        <v>0.11905982903062692</v>
      </c>
      <c r="AB88" s="1574"/>
      <c r="AC88" s="934"/>
      <c r="AD88" s="1574"/>
      <c r="AE88" s="1574"/>
    </row>
    <row r="89" spans="1:31" ht="13.5" customHeight="1">
      <c r="A89" s="1207" t="s">
        <v>1354</v>
      </c>
      <c r="B89" s="859"/>
      <c r="C89" s="1578">
        <v>0.20100000000000001</v>
      </c>
      <c r="D89" s="1580">
        <f>1.84-0.952</f>
        <v>0.88800000000000012</v>
      </c>
      <c r="E89" s="1579">
        <v>0</v>
      </c>
      <c r="F89" s="1579">
        <v>0</v>
      </c>
      <c r="G89" s="1581">
        <v>0</v>
      </c>
      <c r="H89" s="1579">
        <f t="shared" si="71"/>
        <v>0.88800000000000012</v>
      </c>
      <c r="I89" s="1579">
        <f>E89</f>
        <v>0</v>
      </c>
      <c r="J89" s="1579">
        <f t="shared" si="72"/>
        <v>0</v>
      </c>
      <c r="K89" s="1581">
        <f t="shared" si="72"/>
        <v>0</v>
      </c>
      <c r="L89" s="1175"/>
      <c r="M89" s="1580"/>
      <c r="N89" s="1581"/>
      <c r="O89" s="1578">
        <f t="shared" si="52"/>
        <v>0.88800000000000012</v>
      </c>
      <c r="P89" s="1580">
        <v>0</v>
      </c>
      <c r="Q89" s="1579">
        <v>0</v>
      </c>
      <c r="R89" s="1579">
        <v>0</v>
      </c>
      <c r="S89" s="1580">
        <f t="shared" si="65"/>
        <v>0</v>
      </c>
      <c r="T89" s="1579">
        <f t="shared" si="66"/>
        <v>0</v>
      </c>
      <c r="U89" s="1579">
        <f t="shared" si="67"/>
        <v>0</v>
      </c>
      <c r="V89" s="1578">
        <f t="shared" si="49"/>
        <v>-0.88800000000000012</v>
      </c>
      <c r="W89" s="1175"/>
      <c r="X89" s="1580">
        <f t="shared" si="68"/>
        <v>0</v>
      </c>
      <c r="Y89" s="1579">
        <f t="shared" si="69"/>
        <v>0</v>
      </c>
      <c r="Z89" s="1580">
        <f t="shared" si="70"/>
        <v>0</v>
      </c>
      <c r="AA89" s="1586">
        <f t="shared" si="62"/>
        <v>0</v>
      </c>
      <c r="AB89" s="1574"/>
      <c r="AC89" s="934"/>
      <c r="AD89" s="1574"/>
      <c r="AE89" s="1574"/>
    </row>
    <row r="90" spans="1:31" ht="13.5" customHeight="1">
      <c r="A90" s="1207" t="s">
        <v>1353</v>
      </c>
      <c r="B90" s="859"/>
      <c r="C90" s="1578">
        <v>0.42599999999999999</v>
      </c>
      <c r="D90" s="1580">
        <f>0.449-0.1</f>
        <v>0.34899999999999998</v>
      </c>
      <c r="E90" s="1579">
        <v>0.80900000000000005</v>
      </c>
      <c r="F90" s="1579">
        <v>9.8059999999999992</v>
      </c>
      <c r="G90" s="1581">
        <v>2.7290000000000001</v>
      </c>
      <c r="H90" s="1579">
        <f t="shared" si="71"/>
        <v>0.34899999999999998</v>
      </c>
      <c r="I90" s="1579">
        <f>E90</f>
        <v>0.80900000000000005</v>
      </c>
      <c r="J90" s="1579">
        <f t="shared" si="72"/>
        <v>9.8059999999999992</v>
      </c>
      <c r="K90" s="1581">
        <f t="shared" si="72"/>
        <v>2.7290000000000001</v>
      </c>
      <c r="L90" s="1175"/>
      <c r="M90" s="1580"/>
      <c r="N90" s="1581"/>
      <c r="O90" s="1578">
        <f t="shared" si="52"/>
        <v>0.34899999999999998</v>
      </c>
      <c r="P90" s="1580">
        <f>E90</f>
        <v>0.80900000000000005</v>
      </c>
      <c r="Q90" s="1579">
        <f>F90</f>
        <v>9.8059999999999992</v>
      </c>
      <c r="R90" s="1579">
        <f>G90</f>
        <v>2.7290000000000001</v>
      </c>
      <c r="S90" s="1580">
        <f t="shared" si="65"/>
        <v>0</v>
      </c>
      <c r="T90" s="1579">
        <f t="shared" si="66"/>
        <v>0</v>
      </c>
      <c r="U90" s="1579">
        <f t="shared" si="67"/>
        <v>0</v>
      </c>
      <c r="V90" s="1578">
        <f t="shared" si="49"/>
        <v>0.46000000000000008</v>
      </c>
      <c r="W90" s="1175"/>
      <c r="X90" s="1580">
        <f t="shared" si="68"/>
        <v>0.80900000000000005</v>
      </c>
      <c r="Y90" s="1579">
        <f t="shared" si="69"/>
        <v>0.80900000000000005</v>
      </c>
      <c r="Z90" s="1580">
        <f t="shared" si="70"/>
        <v>0</v>
      </c>
      <c r="AA90" s="1586">
        <f t="shared" si="62"/>
        <v>0</v>
      </c>
      <c r="AB90" s="1574"/>
      <c r="AC90" s="934"/>
      <c r="AD90" s="1574"/>
      <c r="AE90" s="1574"/>
    </row>
    <row r="91" spans="1:31" ht="13.5" customHeight="1">
      <c r="A91" s="1207" t="s">
        <v>1352</v>
      </c>
      <c r="B91" s="859"/>
      <c r="C91" s="1578">
        <v>7.0999999999999994E-2</v>
      </c>
      <c r="D91" s="1580">
        <f>0.132+0.196</f>
        <v>0.32800000000000001</v>
      </c>
      <c r="E91" s="1579">
        <v>8.8485999999999995E-2</v>
      </c>
      <c r="F91" s="1579">
        <v>9.6000000000000002E-2</v>
      </c>
      <c r="G91" s="1581">
        <v>9.6000000000000002E-2</v>
      </c>
      <c r="H91" s="1579">
        <f t="shared" si="71"/>
        <v>0.32800000000000001</v>
      </c>
      <c r="I91" s="1579">
        <f>E91</f>
        <v>8.8485999999999995E-2</v>
      </c>
      <c r="J91" s="1579">
        <f t="shared" si="72"/>
        <v>9.6000000000000002E-2</v>
      </c>
      <c r="K91" s="1581">
        <f t="shared" si="72"/>
        <v>9.6000000000000002E-2</v>
      </c>
      <c r="L91" s="1175"/>
      <c r="M91" s="1580"/>
      <c r="N91" s="1581"/>
      <c r="O91" s="1578">
        <f t="shared" si="52"/>
        <v>0.32800000000000001</v>
      </c>
      <c r="P91" s="1580">
        <v>0.33082803547782241</v>
      </c>
      <c r="Q91" s="1579">
        <v>0.33620845286179796</v>
      </c>
      <c r="R91" s="1579">
        <v>0.34326841068348968</v>
      </c>
      <c r="S91" s="1580">
        <f t="shared" si="65"/>
        <v>-0.2423420354778224</v>
      </c>
      <c r="T91" s="1579">
        <f t="shared" si="66"/>
        <v>-0.24020845286179796</v>
      </c>
      <c r="U91" s="1579">
        <f t="shared" si="67"/>
        <v>-0.24726841068348968</v>
      </c>
      <c r="V91" s="1578">
        <f t="shared" si="49"/>
        <v>2.8280354778223993E-3</v>
      </c>
      <c r="W91" s="1175"/>
      <c r="X91" s="1580">
        <f t="shared" si="68"/>
        <v>0.33082803547782241</v>
      </c>
      <c r="Y91" s="1579">
        <f t="shared" si="69"/>
        <v>8.8485999999999995E-2</v>
      </c>
      <c r="Z91" s="1580">
        <f t="shared" si="70"/>
        <v>-0.2423420354778224</v>
      </c>
      <c r="AA91" s="1586">
        <f t="shared" si="62"/>
        <v>-2.885320131092366E-4</v>
      </c>
      <c r="AB91" s="1574"/>
      <c r="AC91" s="934"/>
      <c r="AD91" s="1574"/>
      <c r="AE91" s="1574"/>
    </row>
    <row r="92" spans="1:31">
      <c r="A92" s="1207" t="s">
        <v>1351</v>
      </c>
      <c r="B92" s="859"/>
      <c r="C92" s="1578">
        <v>617.82299999999998</v>
      </c>
      <c r="D92" s="1579">
        <f>501.908+30</f>
        <v>531.90800000000002</v>
      </c>
      <c r="E92" s="1579">
        <v>575.37800000000004</v>
      </c>
      <c r="F92" s="1579">
        <v>583.97400000000005</v>
      </c>
      <c r="G92" s="1581">
        <f>596.548</f>
        <v>596.548</v>
      </c>
      <c r="H92" s="1579">
        <v>627.04300000000001</v>
      </c>
      <c r="I92" s="1579">
        <v>600.37800000000004</v>
      </c>
      <c r="J92" s="1579">
        <v>608.97400000000005</v>
      </c>
      <c r="K92" s="1581">
        <v>621.548</v>
      </c>
      <c r="L92" s="1175"/>
      <c r="M92" s="1580"/>
      <c r="N92" s="1581">
        <v>95.135000000000005</v>
      </c>
      <c r="O92" s="1578">
        <f t="shared" si="52"/>
        <v>627.04300000000001</v>
      </c>
      <c r="P92" s="1580">
        <v>659.69586689332505</v>
      </c>
      <c r="Q92" s="1579">
        <v>701.48935691708971</v>
      </c>
      <c r="R92" s="1579">
        <v>755.46600179344341</v>
      </c>
      <c r="S92" s="1580">
        <f t="shared" si="65"/>
        <v>-84.317866893325004</v>
      </c>
      <c r="T92" s="1579">
        <f t="shared" si="66"/>
        <v>-117.51535691708966</v>
      </c>
      <c r="U92" s="1579">
        <f t="shared" si="67"/>
        <v>-158.91800179344341</v>
      </c>
      <c r="V92" s="1578">
        <f t="shared" si="49"/>
        <v>32.65286689332504</v>
      </c>
      <c r="W92" s="1175"/>
      <c r="X92" s="1580">
        <f t="shared" si="68"/>
        <v>659.69586689332505</v>
      </c>
      <c r="Y92" s="1579">
        <f t="shared" si="69"/>
        <v>575.37800000000004</v>
      </c>
      <c r="Z92" s="1580">
        <f t="shared" si="70"/>
        <v>-84.317866893325004</v>
      </c>
      <c r="AA92" s="1586">
        <f t="shared" si="62"/>
        <v>-0.10038870816546433</v>
      </c>
      <c r="AB92" s="1600"/>
      <c r="AC92" s="934"/>
      <c r="AD92" s="1574"/>
      <c r="AE92" s="1574"/>
    </row>
    <row r="93" spans="1:31">
      <c r="A93" s="1207" t="s">
        <v>1350</v>
      </c>
      <c r="B93" s="859"/>
      <c r="C93" s="1578">
        <v>64.454955029999994</v>
      </c>
      <c r="D93" s="1580">
        <f>79.52-7.206</f>
        <v>72.313999999999993</v>
      </c>
      <c r="E93" s="1579">
        <v>67.828006999999999</v>
      </c>
      <c r="F93" s="1579">
        <v>65.466516999999996</v>
      </c>
      <c r="G93" s="1581">
        <v>66.724627999999996</v>
      </c>
      <c r="H93" s="1579">
        <f>D93</f>
        <v>72.313999999999993</v>
      </c>
      <c r="I93" s="1579">
        <f>E93</f>
        <v>67.828006999999999</v>
      </c>
      <c r="J93" s="1579">
        <f>F93</f>
        <v>65.466516999999996</v>
      </c>
      <c r="K93" s="1581">
        <f>G93</f>
        <v>66.724627999999996</v>
      </c>
      <c r="L93" s="1175"/>
      <c r="M93" s="1580"/>
      <c r="N93" s="1581"/>
      <c r="O93" s="1578">
        <f t="shared" si="52"/>
        <v>72.313999999999993</v>
      </c>
      <c r="P93" s="1580">
        <v>72.937495602265997</v>
      </c>
      <c r="Q93" s="1579">
        <v>74.123713598317238</v>
      </c>
      <c r="R93" s="1579">
        <v>75.680219055383759</v>
      </c>
      <c r="S93" s="1580">
        <f t="shared" si="65"/>
        <v>-5.1094886022659978</v>
      </c>
      <c r="T93" s="1579">
        <f t="shared" si="66"/>
        <v>-8.6571965983172419</v>
      </c>
      <c r="U93" s="1579">
        <f t="shared" si="67"/>
        <v>-8.9555910553837634</v>
      </c>
      <c r="V93" s="1578">
        <f t="shared" si="49"/>
        <v>0.62349560226600431</v>
      </c>
      <c r="W93" s="1175"/>
      <c r="X93" s="1580">
        <f t="shared" si="68"/>
        <v>72.937495602265997</v>
      </c>
      <c r="Y93" s="1579">
        <f t="shared" si="69"/>
        <v>67.828006999999999</v>
      </c>
      <c r="Z93" s="1580">
        <f t="shared" si="70"/>
        <v>-5.1094886022659978</v>
      </c>
      <c r="AA93" s="1586">
        <f t="shared" si="62"/>
        <v>-6.0833483941972665E-3</v>
      </c>
      <c r="AB93" s="1600"/>
      <c r="AC93" s="934"/>
      <c r="AD93" s="1574"/>
      <c r="AE93" s="1574"/>
    </row>
    <row r="94" spans="1:31">
      <c r="A94" s="1207" t="s">
        <v>1349</v>
      </c>
      <c r="B94" s="859"/>
      <c r="C94" s="1578">
        <v>44.981000000000002</v>
      </c>
      <c r="D94" s="1580">
        <v>0</v>
      </c>
      <c r="E94" s="1579">
        <v>0</v>
      </c>
      <c r="F94" s="1579">
        <v>0</v>
      </c>
      <c r="G94" s="1581">
        <v>0</v>
      </c>
      <c r="H94" s="1577">
        <v>44.752214935699349</v>
      </c>
      <c r="I94" s="1577">
        <v>44.752214935699349</v>
      </c>
      <c r="J94" s="1577">
        <v>44.752214935699349</v>
      </c>
      <c r="K94" s="1587">
        <v>44.752214935699349</v>
      </c>
      <c r="L94" s="1175"/>
      <c r="M94" s="1580"/>
      <c r="N94" s="1581">
        <v>44.752214935699349</v>
      </c>
      <c r="O94" s="1578">
        <f t="shared" si="52"/>
        <v>44.752214935699349</v>
      </c>
      <c r="P94" s="1580">
        <v>45.138071190422799</v>
      </c>
      <c r="Q94" s="1579">
        <v>45.872173614847938</v>
      </c>
      <c r="R94" s="1579">
        <v>46.835431998608065</v>
      </c>
      <c r="S94" s="1580">
        <f t="shared" si="65"/>
        <v>-45.138071190422799</v>
      </c>
      <c r="T94" s="1579">
        <f t="shared" si="66"/>
        <v>-45.872173614847938</v>
      </c>
      <c r="U94" s="1579">
        <f t="shared" si="67"/>
        <v>-46.835431998608065</v>
      </c>
      <c r="V94" s="1578">
        <f t="shared" si="49"/>
        <v>0.38585625472344987</v>
      </c>
      <c r="W94" s="1175"/>
      <c r="X94" s="1580">
        <f t="shared" si="68"/>
        <v>45.138071190422799</v>
      </c>
      <c r="Y94" s="1579">
        <f>X94</f>
        <v>45.138071190422799</v>
      </c>
      <c r="Z94" s="1580">
        <f t="shared" si="70"/>
        <v>0</v>
      </c>
      <c r="AA94" s="1586">
        <f t="shared" si="62"/>
        <v>0</v>
      </c>
      <c r="AB94" s="1600"/>
      <c r="AC94" s="934"/>
      <c r="AD94" s="1574"/>
      <c r="AE94" s="1574"/>
    </row>
    <row r="95" spans="1:31">
      <c r="A95" s="1207" t="s">
        <v>1348</v>
      </c>
      <c r="B95" s="859"/>
      <c r="C95" s="1585">
        <f>121.941</f>
        <v>121.941</v>
      </c>
      <c r="D95" s="1584">
        <f>57.67394+17.454-5.18+3.615</f>
        <v>73.562939999999983</v>
      </c>
      <c r="E95" s="1583">
        <f>58.73294-1.059</f>
        <v>57.673940000000002</v>
      </c>
      <c r="F95" s="1583">
        <f>54.614-2.118</f>
        <v>52.495999999999995</v>
      </c>
      <c r="G95" s="1582">
        <f>76.008-3.176</f>
        <v>72.831999999999994</v>
      </c>
      <c r="H95" s="1583">
        <f>D95</f>
        <v>73.562939999999983</v>
      </c>
      <c r="I95" s="1603">
        <f>E95</f>
        <v>57.673940000000002</v>
      </c>
      <c r="J95" s="1603">
        <f>F95</f>
        <v>52.495999999999995</v>
      </c>
      <c r="K95" s="1582">
        <f>G95</f>
        <v>72.831999999999994</v>
      </c>
      <c r="L95" s="1175"/>
      <c r="M95" s="1584"/>
      <c r="N95" s="1582"/>
      <c r="O95" s="1578">
        <f t="shared" si="52"/>
        <v>73.562939999999983</v>
      </c>
      <c r="P95" s="1584">
        <v>74.197204037112542</v>
      </c>
      <c r="Q95" s="1583">
        <v>75.403909284650183</v>
      </c>
      <c r="R95" s="1583">
        <v>76.987297253063716</v>
      </c>
      <c r="S95" s="1584">
        <f t="shared" si="65"/>
        <v>-16.52326403711254</v>
      </c>
      <c r="T95" s="1583">
        <f t="shared" si="66"/>
        <v>-22.907909284650188</v>
      </c>
      <c r="U95" s="1583">
        <f t="shared" si="67"/>
        <v>-4.155297253063722</v>
      </c>
      <c r="V95" s="1585">
        <f t="shared" ref="V95:V126" si="73">P95-O95</f>
        <v>0.6342640371125583</v>
      </c>
      <c r="W95" s="1175"/>
      <c r="X95" s="1580">
        <f t="shared" si="68"/>
        <v>74.197204037112542</v>
      </c>
      <c r="Y95" s="1579">
        <f>E95</f>
        <v>57.673940000000002</v>
      </c>
      <c r="Z95" s="1580">
        <f t="shared" si="70"/>
        <v>-16.52326403711254</v>
      </c>
      <c r="AA95" s="1586">
        <f t="shared" si="62"/>
        <v>-1.9672569912865253E-2</v>
      </c>
      <c r="AB95" s="1574"/>
      <c r="AC95" s="934"/>
      <c r="AD95" s="934"/>
      <c r="AE95" s="1574"/>
    </row>
    <row r="96" spans="1:31">
      <c r="A96" s="1207" t="s">
        <v>1370</v>
      </c>
      <c r="B96" s="859"/>
      <c r="C96" s="1585">
        <v>25.637</v>
      </c>
      <c r="D96" s="1584">
        <f>28.331-2</f>
        <v>26.331</v>
      </c>
      <c r="E96" s="1583">
        <v>0</v>
      </c>
      <c r="F96" s="1583">
        <v>0</v>
      </c>
      <c r="G96" s="1582">
        <v>0</v>
      </c>
      <c r="H96" s="1583">
        <f>D96</f>
        <v>26.331</v>
      </c>
      <c r="I96" s="1603">
        <v>26.331</v>
      </c>
      <c r="J96" s="1603">
        <v>26.331</v>
      </c>
      <c r="K96" s="1602">
        <v>26.331</v>
      </c>
      <c r="L96" s="1175"/>
      <c r="M96" s="1584"/>
      <c r="N96" s="1582"/>
      <c r="O96" s="1578">
        <f t="shared" si="52"/>
        <v>26.331</v>
      </c>
      <c r="P96" s="1584">
        <v>26.558027445629698</v>
      </c>
      <c r="Q96" s="1583">
        <v>26.989953574097562</v>
      </c>
      <c r="R96" s="1583">
        <v>27.556708907643188</v>
      </c>
      <c r="S96" s="1584">
        <f t="shared" si="65"/>
        <v>-26.558027445629698</v>
      </c>
      <c r="T96" s="1583">
        <f t="shared" si="66"/>
        <v>-26.989953574097562</v>
      </c>
      <c r="U96" s="1583">
        <f t="shared" si="67"/>
        <v>-27.556708907643188</v>
      </c>
      <c r="V96" s="1585">
        <f t="shared" si="73"/>
        <v>0.22702744562969812</v>
      </c>
      <c r="W96" s="1175"/>
      <c r="X96" s="1580">
        <f t="shared" si="68"/>
        <v>26.558027445629698</v>
      </c>
      <c r="Y96" s="1579">
        <f>X96</f>
        <v>26.558027445629698</v>
      </c>
      <c r="Z96" s="1580">
        <f t="shared" si="70"/>
        <v>0</v>
      </c>
      <c r="AA96" s="1586">
        <f t="shared" si="62"/>
        <v>0</v>
      </c>
      <c r="AB96" s="1574"/>
      <c r="AC96" s="934"/>
      <c r="AD96" s="1574"/>
      <c r="AE96" s="1574"/>
    </row>
    <row r="97" spans="1:31">
      <c r="A97" s="1207" t="s">
        <v>1285</v>
      </c>
      <c r="B97" s="859"/>
      <c r="C97" s="1578">
        <f>C81-SUM(C82:C96)</f>
        <v>3317.3286170699998</v>
      </c>
      <c r="D97" s="1580">
        <f>D81-SUM(D82:D96)</f>
        <v>3445.1110600000006</v>
      </c>
      <c r="E97" s="1579">
        <f>E81-SUM(E82:E96)</f>
        <v>3508.16587562</v>
      </c>
      <c r="F97" s="1579">
        <f>F81-SUM(F82:F96)</f>
        <v>3455.4629662300003</v>
      </c>
      <c r="G97" s="1581">
        <f>G81-SUM(G82:G96)</f>
        <v>3490.4046829500003</v>
      </c>
      <c r="H97" s="1579">
        <v>3633.1110600000006</v>
      </c>
      <c r="I97" s="1579">
        <v>3498.7366065769029</v>
      </c>
      <c r="J97" s="1579">
        <v>3517.6326934136696</v>
      </c>
      <c r="K97" s="1581">
        <v>3486.8582309477474</v>
      </c>
      <c r="L97" s="1175"/>
      <c r="M97" s="1580">
        <v>-37.445</v>
      </c>
      <c r="N97" s="1581">
        <v>188</v>
      </c>
      <c r="O97" s="1578">
        <f t="shared" si="52"/>
        <v>3595.6660600000005</v>
      </c>
      <c r="P97" s="1580">
        <v>3638.575106292933</v>
      </c>
      <c r="Q97" s="1579">
        <v>3685.6503751227951</v>
      </c>
      <c r="R97" s="1579">
        <v>3763.0444322096505</v>
      </c>
      <c r="S97" s="1580">
        <f t="shared" si="65"/>
        <v>-130.40923067293306</v>
      </c>
      <c r="T97" s="1579">
        <f t="shared" si="66"/>
        <v>-230.18740889279479</v>
      </c>
      <c r="U97" s="1579">
        <f t="shared" si="67"/>
        <v>-272.63974925965022</v>
      </c>
      <c r="V97" s="1578">
        <f t="shared" si="73"/>
        <v>42.909046292932544</v>
      </c>
      <c r="W97" s="1175"/>
      <c r="X97" s="1580">
        <f t="shared" si="68"/>
        <v>3638.575106292933</v>
      </c>
      <c r="Y97" s="1579">
        <f>E97</f>
        <v>3508.16587562</v>
      </c>
      <c r="Z97" s="1580">
        <f t="shared" si="70"/>
        <v>-130.40923067293306</v>
      </c>
      <c r="AA97" s="1586">
        <f t="shared" si="62"/>
        <v>-0.15526500707935001</v>
      </c>
      <c r="AB97" s="1600"/>
      <c r="AC97" s="934"/>
      <c r="AD97" s="1574"/>
      <c r="AE97" s="1574"/>
    </row>
    <row r="98" spans="1:31" s="1477" customFormat="1">
      <c r="A98" s="1445" t="s">
        <v>820</v>
      </c>
      <c r="B98" s="1589" t="s">
        <v>1397</v>
      </c>
      <c r="C98" s="1595">
        <v>14960.204</v>
      </c>
      <c r="D98" s="1599">
        <v>15401.5</v>
      </c>
      <c r="E98" s="1598">
        <v>15641</v>
      </c>
      <c r="F98" s="1598">
        <v>16098.5</v>
      </c>
      <c r="G98" s="1597">
        <v>16667.5</v>
      </c>
      <c r="H98" s="1598">
        <f>SUM(H99:H115)</f>
        <v>15439.130999999999</v>
      </c>
      <c r="I98" s="1598">
        <f>SUM(I99:I115)</f>
        <v>15759.168629715019</v>
      </c>
      <c r="J98" s="1598">
        <f>SUM(J99:J115)</f>
        <v>16156.341219100908</v>
      </c>
      <c r="K98" s="1597">
        <f>SUM(K99:K115)</f>
        <v>16640.026221532924</v>
      </c>
      <c r="L98" s="1594"/>
      <c r="M98" s="1592">
        <f>SUM(M99:M115)</f>
        <v>-144.12299999999999</v>
      </c>
      <c r="N98" s="1596">
        <f>SUM(N99:N115)</f>
        <v>37.631</v>
      </c>
      <c r="O98" s="1595">
        <f t="shared" si="52"/>
        <v>15295.008</v>
      </c>
      <c r="P98" s="1592">
        <f t="shared" ref="P98:U98" si="74">SUM(P99:P115)</f>
        <v>15738.951497661295</v>
      </c>
      <c r="Q98" s="1593">
        <f t="shared" si="74"/>
        <v>16269.896262973352</v>
      </c>
      <c r="R98" s="1593">
        <f t="shared" si="74"/>
        <v>16967.205355529546</v>
      </c>
      <c r="S98" s="1592">
        <f t="shared" si="74"/>
        <v>-97.951497661297168</v>
      </c>
      <c r="T98" s="1593">
        <f t="shared" si="74"/>
        <v>-171.3962629733557</v>
      </c>
      <c r="U98" s="1593">
        <f t="shared" si="74"/>
        <v>-299.70535552954647</v>
      </c>
      <c r="V98" s="1595">
        <f t="shared" si="73"/>
        <v>443.94349766129562</v>
      </c>
      <c r="W98" s="1594"/>
      <c r="X98" s="1592">
        <f>SUM(X99:X115)</f>
        <v>15738.951497661295</v>
      </c>
      <c r="Y98" s="1593">
        <f>SUM(Y99:Y115)</f>
        <v>15641</v>
      </c>
      <c r="Z98" s="1592">
        <f t="shared" si="70"/>
        <v>-97.951497661295434</v>
      </c>
      <c r="AA98" s="1591">
        <f t="shared" si="62"/>
        <v>-0.11662088564847686</v>
      </c>
      <c r="AB98" s="1590"/>
      <c r="AC98" s="934"/>
      <c r="AD98" s="1590"/>
      <c r="AE98" s="1590"/>
    </row>
    <row r="99" spans="1:31">
      <c r="A99" s="1207" t="s">
        <v>1393</v>
      </c>
      <c r="B99" s="859"/>
      <c r="C99" s="1578">
        <v>6357.2477151900002</v>
      </c>
      <c r="D99" s="1584">
        <v>6505.5349999999999</v>
      </c>
      <c r="E99" s="1579">
        <v>6779.6400389999999</v>
      </c>
      <c r="F99" s="1579">
        <v>6942.1940750000003</v>
      </c>
      <c r="G99" s="1581">
        <v>7157.2428440000003</v>
      </c>
      <c r="H99" s="1579">
        <f t="shared" ref="H99:K102" si="75">D99</f>
        <v>6505.5349999999999</v>
      </c>
      <c r="I99" s="1579">
        <f t="shared" si="75"/>
        <v>6779.6400389999999</v>
      </c>
      <c r="J99" s="1579">
        <f t="shared" si="75"/>
        <v>6942.1940750000003</v>
      </c>
      <c r="K99" s="1581">
        <f t="shared" si="75"/>
        <v>7157.2428440000003</v>
      </c>
      <c r="L99" s="1175"/>
      <c r="M99" s="1580"/>
      <c r="N99" s="1581"/>
      <c r="O99" s="1578">
        <f t="shared" ref="O99:O130" si="76">D99+M99+N99</f>
        <v>6505.5349999999999</v>
      </c>
      <c r="P99" s="1580">
        <f>E99-111.11</f>
        <v>6668.5300390000002</v>
      </c>
      <c r="Q99" s="1579">
        <f>F99-112.222</f>
        <v>6829.9720750000006</v>
      </c>
      <c r="R99" s="1579">
        <f>G99-114.017</f>
        <v>7043.2258440000005</v>
      </c>
      <c r="S99" s="1580">
        <f t="shared" ref="S99:S116" si="77">E99-P99</f>
        <v>111.10999999999967</v>
      </c>
      <c r="T99" s="1579">
        <f t="shared" ref="T99:T116" si="78">F99-Q99</f>
        <v>112.22199999999975</v>
      </c>
      <c r="U99" s="1579">
        <f t="shared" ref="U99:U116" si="79">G99-R99</f>
        <v>114.01699999999983</v>
      </c>
      <c r="V99" s="1578">
        <f t="shared" si="73"/>
        <v>162.99503900000036</v>
      </c>
      <c r="W99" s="1175"/>
      <c r="X99" s="1580">
        <f t="shared" ref="X99:X116" si="80">P99</f>
        <v>6668.5300390000002</v>
      </c>
      <c r="Y99" s="1579">
        <f t="shared" ref="Y99:Y116" si="81">E99</f>
        <v>6779.6400389999999</v>
      </c>
      <c r="Z99" s="1580">
        <f t="shared" si="70"/>
        <v>111.10999999999967</v>
      </c>
      <c r="AA99" s="1586">
        <f t="shared" si="62"/>
        <v>0.13228737603592919</v>
      </c>
      <c r="AB99" s="1574"/>
      <c r="AC99" s="934"/>
      <c r="AD99" s="1574"/>
      <c r="AE99" s="1574"/>
    </row>
    <row r="100" spans="1:31">
      <c r="A100" s="1207" t="s">
        <v>1392</v>
      </c>
      <c r="B100" s="859"/>
      <c r="C100" s="1578">
        <v>415.08642830000002</v>
      </c>
      <c r="D100" s="1584">
        <v>465.26299999999998</v>
      </c>
      <c r="E100" s="1579">
        <v>509.18599999999998</v>
      </c>
      <c r="F100" s="1579">
        <v>542.9</v>
      </c>
      <c r="G100" s="1581">
        <v>577.70899999999995</v>
      </c>
      <c r="H100" s="1579">
        <f t="shared" si="75"/>
        <v>465.26299999999998</v>
      </c>
      <c r="I100" s="1579">
        <f t="shared" si="75"/>
        <v>509.18599999999998</v>
      </c>
      <c r="J100" s="1579">
        <f t="shared" si="75"/>
        <v>542.9</v>
      </c>
      <c r="K100" s="1581">
        <f t="shared" si="75"/>
        <v>577.70899999999995</v>
      </c>
      <c r="L100" s="1175"/>
      <c r="M100" s="1580"/>
      <c r="N100" s="1581"/>
      <c r="O100" s="1578">
        <f t="shared" si="76"/>
        <v>465.26299999999998</v>
      </c>
      <c r="P100" s="1580">
        <v>488.82275315436129</v>
      </c>
      <c r="Q100" s="1579">
        <v>516.40334174674604</v>
      </c>
      <c r="R100" s="1579">
        <v>549.66531274081638</v>
      </c>
      <c r="S100" s="1580">
        <f t="shared" si="77"/>
        <v>20.363246845638685</v>
      </c>
      <c r="T100" s="1579">
        <f t="shared" si="78"/>
        <v>26.496658253253941</v>
      </c>
      <c r="U100" s="1579">
        <f t="shared" si="79"/>
        <v>28.043687259183571</v>
      </c>
      <c r="V100" s="1578">
        <f t="shared" si="73"/>
        <v>23.559753154361317</v>
      </c>
      <c r="W100" s="1175"/>
      <c r="X100" s="1580">
        <f t="shared" si="80"/>
        <v>488.82275315436129</v>
      </c>
      <c r="Y100" s="1579">
        <f t="shared" si="81"/>
        <v>509.18599999999998</v>
      </c>
      <c r="Z100" s="1580">
        <f t="shared" si="70"/>
        <v>20.363246845638685</v>
      </c>
      <c r="AA100" s="1586">
        <f t="shared" si="62"/>
        <v>2.424444687950195E-2</v>
      </c>
      <c r="AB100" s="1574"/>
      <c r="AC100" s="934"/>
      <c r="AD100" s="1574"/>
      <c r="AE100" s="1574"/>
    </row>
    <row r="101" spans="1:31">
      <c r="A101" s="1207" t="s">
        <v>1391</v>
      </c>
      <c r="B101" s="859"/>
      <c r="C101" s="1578">
        <v>43.878999999999998</v>
      </c>
      <c r="D101" s="1584">
        <f>47.946-2.693</f>
        <v>45.253</v>
      </c>
      <c r="E101" s="1579">
        <v>47.55</v>
      </c>
      <c r="F101" s="1579">
        <v>50.067</v>
      </c>
      <c r="G101" s="1581">
        <v>52.808</v>
      </c>
      <c r="H101" s="1579">
        <f t="shared" si="75"/>
        <v>45.253</v>
      </c>
      <c r="I101" s="1579">
        <f t="shared" si="75"/>
        <v>47.55</v>
      </c>
      <c r="J101" s="1579">
        <f t="shared" si="75"/>
        <v>50.067</v>
      </c>
      <c r="K101" s="1581">
        <f t="shared" si="75"/>
        <v>52.808</v>
      </c>
      <c r="L101" s="1175"/>
      <c r="M101" s="1580"/>
      <c r="N101" s="1581"/>
      <c r="O101" s="1578">
        <f t="shared" si="76"/>
        <v>45.253</v>
      </c>
      <c r="P101" s="1580">
        <v>46.191576874019781</v>
      </c>
      <c r="Q101" s="1579">
        <v>47.582257498898734</v>
      </c>
      <c r="R101" s="1579">
        <v>49.300110203964508</v>
      </c>
      <c r="S101" s="1580">
        <f t="shared" si="77"/>
        <v>1.3584231259802166</v>
      </c>
      <c r="T101" s="1579">
        <f t="shared" si="78"/>
        <v>2.484742501101266</v>
      </c>
      <c r="U101" s="1579">
        <f t="shared" si="79"/>
        <v>3.5078897960354922</v>
      </c>
      <c r="V101" s="1578">
        <f t="shared" si="73"/>
        <v>0.9385768740197804</v>
      </c>
      <c r="W101" s="1175"/>
      <c r="X101" s="1580">
        <f t="shared" si="80"/>
        <v>46.191576874019781</v>
      </c>
      <c r="Y101" s="1579">
        <f t="shared" si="81"/>
        <v>47.55</v>
      </c>
      <c r="Z101" s="1580">
        <f t="shared" si="70"/>
        <v>1.3584231259802166</v>
      </c>
      <c r="AA101" s="1586">
        <f t="shared" si="62"/>
        <v>1.6173362513045436E-3</v>
      </c>
      <c r="AB101" s="1574"/>
      <c r="AC101" s="934"/>
      <c r="AD101" s="1574"/>
      <c r="AE101" s="1574"/>
    </row>
    <row r="102" spans="1:31">
      <c r="A102" s="1207" t="s">
        <v>1389</v>
      </c>
      <c r="B102" s="859"/>
      <c r="C102" s="1578">
        <v>158.6244992</v>
      </c>
      <c r="D102" s="1584">
        <v>159.9</v>
      </c>
      <c r="E102" s="1579">
        <v>153.1</v>
      </c>
      <c r="F102" s="1579">
        <v>137.5</v>
      </c>
      <c r="G102" s="1581">
        <v>123.5</v>
      </c>
      <c r="H102" s="1579">
        <f t="shared" si="75"/>
        <v>159.9</v>
      </c>
      <c r="I102" s="1579">
        <f t="shared" si="75"/>
        <v>153.1</v>
      </c>
      <c r="J102" s="1579">
        <f t="shared" si="75"/>
        <v>137.5</v>
      </c>
      <c r="K102" s="1581">
        <f t="shared" si="75"/>
        <v>123.5</v>
      </c>
      <c r="L102" s="1175"/>
      <c r="M102" s="1580"/>
      <c r="N102" s="1581"/>
      <c r="O102" s="1578">
        <f t="shared" si="76"/>
        <v>159.9</v>
      </c>
      <c r="P102" s="1580">
        <v>140.5413399272044</v>
      </c>
      <c r="Q102" s="1579">
        <v>125.55105330252304</v>
      </c>
      <c r="R102" s="1579">
        <v>110.57953768016515</v>
      </c>
      <c r="S102" s="1580">
        <f t="shared" si="77"/>
        <v>12.55866007279559</v>
      </c>
      <c r="T102" s="1579">
        <f t="shared" si="78"/>
        <v>11.948946697476956</v>
      </c>
      <c r="U102" s="1579">
        <f t="shared" si="79"/>
        <v>12.920462319834854</v>
      </c>
      <c r="V102" s="1578">
        <f t="shared" si="73"/>
        <v>-19.358660072795601</v>
      </c>
      <c r="W102" s="1175"/>
      <c r="X102" s="1580">
        <f t="shared" si="80"/>
        <v>140.5413399272044</v>
      </c>
      <c r="Y102" s="1579">
        <f t="shared" si="81"/>
        <v>153.1</v>
      </c>
      <c r="Z102" s="1580">
        <f t="shared" si="70"/>
        <v>12.55866007279559</v>
      </c>
      <c r="AA102" s="1586">
        <f t="shared" si="62"/>
        <v>1.4952319211208036E-2</v>
      </c>
      <c r="AB102" s="1574"/>
      <c r="AC102" s="934"/>
      <c r="AD102" s="1574"/>
      <c r="AE102" s="1574"/>
    </row>
    <row r="103" spans="1:31">
      <c r="A103" s="1207" t="s">
        <v>1387</v>
      </c>
      <c r="B103" s="859"/>
      <c r="C103" s="1578">
        <v>3992.864</v>
      </c>
      <c r="D103" s="1584">
        <v>4168.277</v>
      </c>
      <c r="E103" s="1579">
        <v>4221.8822739999996</v>
      </c>
      <c r="F103" s="1579">
        <v>4436.5526149999996</v>
      </c>
      <c r="G103" s="1581">
        <v>4677.2078250000004</v>
      </c>
      <c r="H103" s="1579">
        <v>4215.808</v>
      </c>
      <c r="I103" s="1579">
        <v>4375.3867987150197</v>
      </c>
      <c r="J103" s="1579">
        <v>4523.9620981009093</v>
      </c>
      <c r="K103" s="1581">
        <v>4679.4709715329282</v>
      </c>
      <c r="L103" s="1175"/>
      <c r="M103" s="1580"/>
      <c r="N103" s="1581">
        <v>47.530999999999999</v>
      </c>
      <c r="O103" s="1578">
        <f t="shared" si="76"/>
        <v>4215.808</v>
      </c>
      <c r="P103" s="1580">
        <v>4435.3435302137414</v>
      </c>
      <c r="Q103" s="1579">
        <v>4716.3343547506665</v>
      </c>
      <c r="R103" s="1579">
        <v>5079.2363746805449</v>
      </c>
      <c r="S103" s="1580">
        <f t="shared" si="77"/>
        <v>-213.46125621374176</v>
      </c>
      <c r="T103" s="1579">
        <f t="shared" si="78"/>
        <v>-279.78173975066693</v>
      </c>
      <c r="U103" s="1579">
        <f t="shared" si="79"/>
        <v>-402.02854968054453</v>
      </c>
      <c r="V103" s="1578">
        <f t="shared" si="73"/>
        <v>219.53553021374137</v>
      </c>
      <c r="W103" s="1175"/>
      <c r="X103" s="1580">
        <f t="shared" si="80"/>
        <v>4435.3435302137414</v>
      </c>
      <c r="Y103" s="1579">
        <f t="shared" si="81"/>
        <v>4221.8822739999996</v>
      </c>
      <c r="Z103" s="1580">
        <f t="shared" si="70"/>
        <v>-213.46125621374176</v>
      </c>
      <c r="AA103" s="1586">
        <f t="shared" si="62"/>
        <v>-0.2541466066947094</v>
      </c>
      <c r="AB103" s="1574"/>
      <c r="AC103" s="934"/>
      <c r="AD103" s="1574"/>
      <c r="AE103" s="1574"/>
    </row>
    <row r="104" spans="1:31">
      <c r="A104" s="1207" t="s">
        <v>1386</v>
      </c>
      <c r="B104" s="859"/>
      <c r="C104" s="1578">
        <v>1336.3777301799998</v>
      </c>
      <c r="D104" s="1584">
        <v>1346.0170000000001</v>
      </c>
      <c r="E104" s="1579">
        <v>1364.4892830000001</v>
      </c>
      <c r="F104" s="1579">
        <v>1374.025858</v>
      </c>
      <c r="G104" s="1581">
        <v>1388.5484280000001</v>
      </c>
      <c r="H104" s="1579">
        <v>1336.117</v>
      </c>
      <c r="I104" s="1579">
        <v>1341.8892830000002</v>
      </c>
      <c r="J104" s="1579">
        <v>1360.225858</v>
      </c>
      <c r="K104" s="1581">
        <v>1378.2484280000001</v>
      </c>
      <c r="L104" s="1175"/>
      <c r="M104" s="1580"/>
      <c r="N104" s="1581">
        <v>-9.9</v>
      </c>
      <c r="O104" s="1578">
        <f t="shared" si="76"/>
        <v>1336.117</v>
      </c>
      <c r="P104" s="1580">
        <v>1346.3009631174436</v>
      </c>
      <c r="Q104" s="1579">
        <v>1365.5039091170606</v>
      </c>
      <c r="R104" s="1579">
        <v>1391.4467788342151</v>
      </c>
      <c r="S104" s="1580">
        <f t="shared" si="77"/>
        <v>18.18831988255647</v>
      </c>
      <c r="T104" s="1579">
        <f t="shared" si="78"/>
        <v>8.5219488829393413</v>
      </c>
      <c r="U104" s="1579">
        <f t="shared" si="79"/>
        <v>-2.8983508342150799</v>
      </c>
      <c r="V104" s="1578">
        <f t="shared" si="73"/>
        <v>10.183963117443682</v>
      </c>
      <c r="W104" s="1175"/>
      <c r="X104" s="1580">
        <f t="shared" si="80"/>
        <v>1346.3009631174436</v>
      </c>
      <c r="Y104" s="1579">
        <f t="shared" si="81"/>
        <v>1364.4892830000001</v>
      </c>
      <c r="Z104" s="1580">
        <f t="shared" si="70"/>
        <v>18.18831988255647</v>
      </c>
      <c r="AA104" s="1586">
        <f t="shared" si="62"/>
        <v>2.1654982555715258E-2</v>
      </c>
      <c r="AB104" s="1574"/>
      <c r="AC104" s="933"/>
    </row>
    <row r="105" spans="1:31">
      <c r="A105" s="1207" t="s">
        <v>1385</v>
      </c>
      <c r="B105" s="859"/>
      <c r="C105" s="1578">
        <f>1582.22968791-C106</f>
        <v>233.36507888000006</v>
      </c>
      <c r="D105" s="1580">
        <f>1575.853-D106</f>
        <v>221.17599999999993</v>
      </c>
      <c r="E105" s="1579">
        <f>1503.373334-E106</f>
        <v>206.90933400000017</v>
      </c>
      <c r="F105" s="1579">
        <f>1547.207803-F106</f>
        <v>212.90680300000008</v>
      </c>
      <c r="G105" s="1581">
        <f>1607.635362-G106</f>
        <v>226.67936199999986</v>
      </c>
      <c r="H105" s="1579">
        <f t="shared" ref="H105:K106" si="82">D105</f>
        <v>221.17599999999993</v>
      </c>
      <c r="I105" s="1579">
        <f t="shared" si="82"/>
        <v>206.90933400000017</v>
      </c>
      <c r="J105" s="1579">
        <f t="shared" si="82"/>
        <v>212.90680300000008</v>
      </c>
      <c r="K105" s="1581">
        <f t="shared" si="82"/>
        <v>226.67936199999986</v>
      </c>
      <c r="L105" s="1175"/>
      <c r="M105" s="1580"/>
      <c r="N105" s="1581"/>
      <c r="O105" s="1578">
        <f t="shared" si="76"/>
        <v>221.17599999999993</v>
      </c>
      <c r="P105" s="1580">
        <v>227.62052214452203</v>
      </c>
      <c r="Q105" s="1579">
        <v>234.06504428904421</v>
      </c>
      <c r="R105" s="1579">
        <v>242.20540373999836</v>
      </c>
      <c r="S105" s="1580">
        <f t="shared" si="77"/>
        <v>-20.711188144521856</v>
      </c>
      <c r="T105" s="1579">
        <f t="shared" si="78"/>
        <v>-21.158241289044128</v>
      </c>
      <c r="U105" s="1579">
        <f t="shared" si="79"/>
        <v>-15.526041739998504</v>
      </c>
      <c r="V105" s="1578">
        <f t="shared" si="73"/>
        <v>6.4445221445220966</v>
      </c>
      <c r="W105" s="1175"/>
      <c r="X105" s="1580">
        <f t="shared" si="80"/>
        <v>227.62052214452203</v>
      </c>
      <c r="Y105" s="1579">
        <f t="shared" si="81"/>
        <v>206.90933400000017</v>
      </c>
      <c r="Z105" s="1580">
        <f t="shared" si="70"/>
        <v>-20.711188144521856</v>
      </c>
      <c r="AA105" s="1586">
        <f t="shared" si="62"/>
        <v>-2.4658705195079195E-2</v>
      </c>
      <c r="AB105" s="1574"/>
      <c r="AC105" s="933"/>
    </row>
    <row r="106" spans="1:31">
      <c r="A106" s="1207" t="s">
        <v>1384</v>
      </c>
      <c r="B106" s="859"/>
      <c r="C106" s="1578">
        <v>1348.8646090299999</v>
      </c>
      <c r="D106" s="1580">
        <v>1354.6770000000001</v>
      </c>
      <c r="E106" s="1579">
        <v>1296.4639999999999</v>
      </c>
      <c r="F106" s="1579">
        <v>1334.3009999999999</v>
      </c>
      <c r="G106" s="1581">
        <v>1380.9560000000001</v>
      </c>
      <c r="H106" s="1579">
        <f t="shared" si="82"/>
        <v>1354.6770000000001</v>
      </c>
      <c r="I106" s="1579">
        <f t="shared" si="82"/>
        <v>1296.4639999999999</v>
      </c>
      <c r="J106" s="1579">
        <f t="shared" si="82"/>
        <v>1334.3009999999999</v>
      </c>
      <c r="K106" s="1581">
        <f t="shared" si="82"/>
        <v>1380.9560000000001</v>
      </c>
      <c r="L106" s="1605"/>
      <c r="M106" s="1580">
        <v>-96.123000000000005</v>
      </c>
      <c r="N106" s="1581"/>
      <c r="O106" s="1578">
        <f t="shared" si="76"/>
        <v>1258.5540000000001</v>
      </c>
      <c r="P106" s="1580">
        <v>1295.2251538461535</v>
      </c>
      <c r="Q106" s="1579">
        <v>1331.8963076923076</v>
      </c>
      <c r="R106" s="1579">
        <v>1378.2172554824663</v>
      </c>
      <c r="S106" s="1580">
        <f t="shared" si="77"/>
        <v>1.2388461538464526</v>
      </c>
      <c r="T106" s="1579">
        <f t="shared" si="78"/>
        <v>2.4046923076923576</v>
      </c>
      <c r="U106" s="1579">
        <f t="shared" si="79"/>
        <v>2.7387445175338598</v>
      </c>
      <c r="V106" s="1578">
        <f t="shared" si="73"/>
        <v>36.671153846153402</v>
      </c>
      <c r="W106" s="1175"/>
      <c r="X106" s="1580">
        <f t="shared" si="80"/>
        <v>1295.2251538461535</v>
      </c>
      <c r="Y106" s="1579">
        <f t="shared" si="81"/>
        <v>1296.4639999999999</v>
      </c>
      <c r="Z106" s="1580">
        <f t="shared" si="70"/>
        <v>1.2388461538464526</v>
      </c>
      <c r="AA106" s="1586">
        <f t="shared" si="62"/>
        <v>1.4749681127220839E-3</v>
      </c>
      <c r="AB106" s="1574"/>
      <c r="AC106" s="933"/>
    </row>
    <row r="107" spans="1:31">
      <c r="A107" s="1207" t="s">
        <v>1363</v>
      </c>
      <c r="B107" s="1589"/>
      <c r="C107" s="1578">
        <v>0.67923593999999998</v>
      </c>
      <c r="D107" s="1580">
        <v>0.55000000000000004</v>
      </c>
      <c r="E107" s="1579">
        <v>0</v>
      </c>
      <c r="F107" s="1579">
        <v>0</v>
      </c>
      <c r="G107" s="1581">
        <v>0</v>
      </c>
      <c r="H107" s="1579">
        <f t="shared" ref="H107:K108" si="83">O107</f>
        <v>0.55000000000000004</v>
      </c>
      <c r="I107" s="1579">
        <f t="shared" si="83"/>
        <v>0</v>
      </c>
      <c r="J107" s="1579">
        <f t="shared" si="83"/>
        <v>0</v>
      </c>
      <c r="K107" s="1581">
        <f t="shared" si="83"/>
        <v>0</v>
      </c>
      <c r="L107" s="1175"/>
      <c r="M107" s="1580"/>
      <c r="N107" s="1581"/>
      <c r="O107" s="1578">
        <f t="shared" si="76"/>
        <v>0.55000000000000004</v>
      </c>
      <c r="P107" s="1580">
        <v>0</v>
      </c>
      <c r="Q107" s="1579">
        <v>0</v>
      </c>
      <c r="R107" s="1579">
        <v>0</v>
      </c>
      <c r="S107" s="1580">
        <f t="shared" si="77"/>
        <v>0</v>
      </c>
      <c r="T107" s="1579">
        <f t="shared" si="78"/>
        <v>0</v>
      </c>
      <c r="U107" s="1579">
        <f t="shared" si="79"/>
        <v>0</v>
      </c>
      <c r="V107" s="1578">
        <f t="shared" si="73"/>
        <v>-0.55000000000000004</v>
      </c>
      <c r="W107" s="1175"/>
      <c r="X107" s="1580">
        <f t="shared" si="80"/>
        <v>0</v>
      </c>
      <c r="Y107" s="1579">
        <f t="shared" si="81"/>
        <v>0</v>
      </c>
      <c r="Z107" s="1580">
        <f t="shared" si="70"/>
        <v>0</v>
      </c>
      <c r="AA107" s="1586">
        <f t="shared" si="62"/>
        <v>0</v>
      </c>
      <c r="AB107" s="1574"/>
      <c r="AC107" s="933"/>
    </row>
    <row r="108" spans="1:31">
      <c r="A108" s="1207" t="s">
        <v>1159</v>
      </c>
      <c r="B108" s="1589"/>
      <c r="C108" s="1578">
        <v>18.927046139999998</v>
      </c>
      <c r="D108" s="1580">
        <v>12.321</v>
      </c>
      <c r="E108" s="1579">
        <v>24.797895</v>
      </c>
      <c r="F108" s="1579">
        <v>26.588263999999999</v>
      </c>
      <c r="G108" s="1581">
        <v>32.686925000000002</v>
      </c>
      <c r="H108" s="1579">
        <f t="shared" si="83"/>
        <v>12.321</v>
      </c>
      <c r="I108" s="1579">
        <f t="shared" si="83"/>
        <v>12.061999999999999</v>
      </c>
      <c r="J108" s="1579">
        <f t="shared" si="83"/>
        <v>10.82</v>
      </c>
      <c r="K108" s="1581">
        <f t="shared" si="83"/>
        <v>13.25</v>
      </c>
      <c r="L108" s="1175"/>
      <c r="M108" s="1580"/>
      <c r="N108" s="1581">
        <f>O213-D213</f>
        <v>0</v>
      </c>
      <c r="O108" s="1578">
        <f t="shared" si="76"/>
        <v>12.321</v>
      </c>
      <c r="P108" s="1580">
        <f>P213</f>
        <v>12.061999999999999</v>
      </c>
      <c r="Q108" s="1579">
        <f>Q213</f>
        <v>10.82</v>
      </c>
      <c r="R108" s="1579">
        <f>R213</f>
        <v>13.25</v>
      </c>
      <c r="S108" s="1580">
        <f t="shared" si="77"/>
        <v>12.735895000000001</v>
      </c>
      <c r="T108" s="1579">
        <f t="shared" si="78"/>
        <v>15.768263999999999</v>
      </c>
      <c r="U108" s="1579">
        <f t="shared" si="79"/>
        <v>19.436925000000002</v>
      </c>
      <c r="V108" s="1578">
        <f t="shared" si="73"/>
        <v>-0.25900000000000034</v>
      </c>
      <c r="W108" s="1175"/>
      <c r="X108" s="1580">
        <f t="shared" si="80"/>
        <v>12.061999999999999</v>
      </c>
      <c r="Y108" s="1579">
        <f t="shared" si="81"/>
        <v>24.797895</v>
      </c>
      <c r="Z108" s="1580">
        <f t="shared" si="70"/>
        <v>12.735895000000001</v>
      </c>
      <c r="AA108" s="1586">
        <f t="shared" si="62"/>
        <v>1.5163334812520163E-2</v>
      </c>
      <c r="AB108" s="1574"/>
      <c r="AC108" s="933"/>
    </row>
    <row r="109" spans="1:31">
      <c r="A109" s="1207" t="s">
        <v>1383</v>
      </c>
      <c r="B109" s="859"/>
      <c r="C109" s="1578">
        <f>C70</f>
        <v>170.85599999999999</v>
      </c>
      <c r="D109" s="1580">
        <f>D70</f>
        <v>166.78300000000002</v>
      </c>
      <c r="E109" s="1579">
        <f>E70</f>
        <v>176.35499999999999</v>
      </c>
      <c r="F109" s="1579">
        <f>F70</f>
        <v>175.25399999999999</v>
      </c>
      <c r="G109" s="1581">
        <f>G70</f>
        <v>175.58099999999999</v>
      </c>
      <c r="H109" s="1579">
        <f t="shared" ref="H109:K115" si="84">D109</f>
        <v>166.78300000000002</v>
      </c>
      <c r="I109" s="1579">
        <f t="shared" si="84"/>
        <v>176.35499999999999</v>
      </c>
      <c r="J109" s="1579">
        <f t="shared" si="84"/>
        <v>175.25399999999999</v>
      </c>
      <c r="K109" s="1581">
        <f t="shared" si="84"/>
        <v>175.58099999999999</v>
      </c>
      <c r="L109" s="1175"/>
      <c r="M109" s="1580"/>
      <c r="N109" s="1581"/>
      <c r="O109" s="1578">
        <f t="shared" si="76"/>
        <v>166.78300000000002</v>
      </c>
      <c r="P109" s="1580">
        <v>168.22101293017579</v>
      </c>
      <c r="Q109" s="1579">
        <v>170.95687315136965</v>
      </c>
      <c r="R109" s="1579">
        <v>174.54675408239163</v>
      </c>
      <c r="S109" s="1580">
        <f t="shared" si="77"/>
        <v>8.1339870698242009</v>
      </c>
      <c r="T109" s="1579">
        <f t="shared" si="78"/>
        <v>4.2971268486303416</v>
      </c>
      <c r="U109" s="1579">
        <f t="shared" si="79"/>
        <v>1.0342459176083594</v>
      </c>
      <c r="V109" s="1578">
        <f t="shared" si="73"/>
        <v>1.4380129301757734</v>
      </c>
      <c r="W109" s="1175"/>
      <c r="X109" s="1580">
        <f t="shared" si="80"/>
        <v>168.22101293017579</v>
      </c>
      <c r="Y109" s="1579">
        <f t="shared" si="81"/>
        <v>176.35499999999999</v>
      </c>
      <c r="Z109" s="1580">
        <f t="shared" si="70"/>
        <v>8.1339870698242009</v>
      </c>
      <c r="AA109" s="1586">
        <f t="shared" si="62"/>
        <v>9.684311098705994E-3</v>
      </c>
      <c r="AB109" s="1574"/>
      <c r="AC109" s="933"/>
    </row>
    <row r="110" spans="1:31">
      <c r="A110" s="1207" t="s">
        <v>1382</v>
      </c>
      <c r="B110" s="859"/>
      <c r="C110" s="1578">
        <v>262.34399999999999</v>
      </c>
      <c r="D110" s="1580">
        <v>250.99600000000001</v>
      </c>
      <c r="E110" s="1579">
        <v>252.136</v>
      </c>
      <c r="F110" s="1579">
        <v>255.24100000000001</v>
      </c>
      <c r="G110" s="1581">
        <v>259.63799999999998</v>
      </c>
      <c r="H110" s="1579">
        <f t="shared" si="84"/>
        <v>250.99600000000001</v>
      </c>
      <c r="I110" s="1579">
        <f t="shared" si="84"/>
        <v>252.136</v>
      </c>
      <c r="J110" s="1579">
        <f t="shared" si="84"/>
        <v>255.24100000000001</v>
      </c>
      <c r="K110" s="1581">
        <f t="shared" si="84"/>
        <v>259.63799999999998</v>
      </c>
      <c r="L110" s="1175"/>
      <c r="M110" s="1580"/>
      <c r="N110" s="1581"/>
      <c r="O110" s="1578">
        <f t="shared" si="76"/>
        <v>250.99600000000001</v>
      </c>
      <c r="P110" s="1580">
        <f>E110</f>
        <v>252.136</v>
      </c>
      <c r="Q110" s="1579">
        <f>F110</f>
        <v>255.24100000000001</v>
      </c>
      <c r="R110" s="1579">
        <f>G110</f>
        <v>259.63799999999998</v>
      </c>
      <c r="S110" s="1580">
        <f t="shared" si="77"/>
        <v>0</v>
      </c>
      <c r="T110" s="1579">
        <f t="shared" si="78"/>
        <v>0</v>
      </c>
      <c r="U110" s="1579">
        <f t="shared" si="79"/>
        <v>0</v>
      </c>
      <c r="V110" s="1578">
        <f t="shared" si="73"/>
        <v>1.1399999999999864</v>
      </c>
      <c r="W110" s="1175"/>
      <c r="X110" s="1580">
        <f t="shared" si="80"/>
        <v>252.136</v>
      </c>
      <c r="Y110" s="1579">
        <f t="shared" si="81"/>
        <v>252.136</v>
      </c>
      <c r="Z110" s="1580">
        <f t="shared" si="70"/>
        <v>0</v>
      </c>
      <c r="AA110" s="1586">
        <f t="shared" ref="AA110:AA141" si="85">Z110/$Y$172*100</f>
        <v>0</v>
      </c>
      <c r="AB110" s="1574"/>
      <c r="AC110" s="933"/>
    </row>
    <row r="111" spans="1:31">
      <c r="A111" s="1207" t="s">
        <v>1380</v>
      </c>
      <c r="B111" s="859"/>
      <c r="C111" s="1578">
        <v>0</v>
      </c>
      <c r="D111" s="1580">
        <v>48</v>
      </c>
      <c r="E111" s="1579">
        <v>0</v>
      </c>
      <c r="F111" s="1579">
        <v>0</v>
      </c>
      <c r="G111" s="1581">
        <v>0</v>
      </c>
      <c r="H111" s="1579">
        <f t="shared" si="84"/>
        <v>48</v>
      </c>
      <c r="I111" s="1579">
        <f t="shared" si="84"/>
        <v>0</v>
      </c>
      <c r="J111" s="1579">
        <f t="shared" si="84"/>
        <v>0</v>
      </c>
      <c r="K111" s="1581">
        <f t="shared" si="84"/>
        <v>0</v>
      </c>
      <c r="L111" s="1175"/>
      <c r="M111" s="1580">
        <v>-48</v>
      </c>
      <c r="N111" s="1581"/>
      <c r="O111" s="1578">
        <f t="shared" si="76"/>
        <v>0</v>
      </c>
      <c r="P111" s="1580">
        <v>0</v>
      </c>
      <c r="Q111" s="1579">
        <v>0</v>
      </c>
      <c r="R111" s="1579">
        <v>0</v>
      </c>
      <c r="S111" s="1580">
        <f t="shared" si="77"/>
        <v>0</v>
      </c>
      <c r="T111" s="1579">
        <f t="shared" si="78"/>
        <v>0</v>
      </c>
      <c r="U111" s="1579">
        <f t="shared" si="79"/>
        <v>0</v>
      </c>
      <c r="V111" s="1578">
        <f t="shared" si="73"/>
        <v>0</v>
      </c>
      <c r="W111" s="1175"/>
      <c r="X111" s="1580">
        <f t="shared" si="80"/>
        <v>0</v>
      </c>
      <c r="Y111" s="1579">
        <f t="shared" si="81"/>
        <v>0</v>
      </c>
      <c r="Z111" s="1580">
        <f t="shared" si="70"/>
        <v>0</v>
      </c>
      <c r="AA111" s="1586">
        <f t="shared" si="85"/>
        <v>0</v>
      </c>
      <c r="AB111" s="1574"/>
      <c r="AC111" s="933"/>
    </row>
    <row r="112" spans="1:31">
      <c r="A112" s="1207" t="s">
        <v>1352</v>
      </c>
      <c r="B112" s="859"/>
      <c r="C112" s="1578">
        <v>0</v>
      </c>
      <c r="D112" s="1580">
        <f>1.027</f>
        <v>1.0269999999999999</v>
      </c>
      <c r="E112" s="1579">
        <f>1.45</f>
        <v>1.45</v>
      </c>
      <c r="F112" s="1579">
        <v>1.45</v>
      </c>
      <c r="G112" s="1581">
        <v>1.45</v>
      </c>
      <c r="H112" s="1579">
        <f t="shared" si="84"/>
        <v>1.0269999999999999</v>
      </c>
      <c r="I112" s="1579">
        <f t="shared" si="84"/>
        <v>1.45</v>
      </c>
      <c r="J112" s="1579">
        <f t="shared" si="84"/>
        <v>1.45</v>
      </c>
      <c r="K112" s="1581">
        <f t="shared" si="84"/>
        <v>1.45</v>
      </c>
      <c r="L112" s="1175"/>
      <c r="M112" s="1580"/>
      <c r="N112" s="1581"/>
      <c r="O112" s="1578">
        <f t="shared" si="76"/>
        <v>1.0269999999999999</v>
      </c>
      <c r="P112" s="1580">
        <v>1.0358548549869622</v>
      </c>
      <c r="Q112" s="1579">
        <v>1.0527014667349588</v>
      </c>
      <c r="R112" s="1579">
        <v>1.0748068834510485</v>
      </c>
      <c r="S112" s="1580">
        <f t="shared" si="77"/>
        <v>0.41414514501303779</v>
      </c>
      <c r="T112" s="1579">
        <f t="shared" si="78"/>
        <v>0.39729853326504116</v>
      </c>
      <c r="U112" s="1579">
        <f t="shared" si="79"/>
        <v>0.37519311654895149</v>
      </c>
      <c r="V112" s="1578">
        <f t="shared" si="73"/>
        <v>8.8548549869622573E-3</v>
      </c>
      <c r="W112" s="1175"/>
      <c r="X112" s="1580">
        <f t="shared" si="80"/>
        <v>1.0358548549869622</v>
      </c>
      <c r="Y112" s="1579">
        <f t="shared" si="81"/>
        <v>1.45</v>
      </c>
      <c r="Z112" s="1580">
        <f t="shared" si="70"/>
        <v>0.41414514501303779</v>
      </c>
      <c r="AA112" s="1586">
        <f t="shared" si="85"/>
        <v>4.9308050159116478E-4</v>
      </c>
      <c r="AB112" s="1574"/>
      <c r="AC112" s="933"/>
    </row>
    <row r="113" spans="1:29">
      <c r="A113" s="1207" t="s">
        <v>1351</v>
      </c>
      <c r="B113" s="859"/>
      <c r="C113" s="1578">
        <v>1.6759999999999999</v>
      </c>
      <c r="D113" s="1580">
        <f>7.749-7.592</f>
        <v>0.15700000000000003</v>
      </c>
      <c r="E113" s="1579">
        <f>8.938-8.798</f>
        <v>0.14000000000000057</v>
      </c>
      <c r="F113" s="1579">
        <f>9.224-9.082</f>
        <v>0.14199999999999946</v>
      </c>
      <c r="G113" s="1581">
        <f>9.363-9.223</f>
        <v>0.13999999999999879</v>
      </c>
      <c r="H113" s="1579">
        <f t="shared" si="84"/>
        <v>0.15700000000000003</v>
      </c>
      <c r="I113" s="1579">
        <f t="shared" si="84"/>
        <v>0.14000000000000057</v>
      </c>
      <c r="J113" s="1579">
        <f t="shared" si="84"/>
        <v>0.14199999999999946</v>
      </c>
      <c r="K113" s="1581">
        <f t="shared" si="84"/>
        <v>0.13999999999999879</v>
      </c>
      <c r="L113" s="1175"/>
      <c r="M113" s="1580"/>
      <c r="N113" s="1581"/>
      <c r="O113" s="1578">
        <f t="shared" si="76"/>
        <v>0.15700000000000003</v>
      </c>
      <c r="P113" s="1580">
        <v>0.16517567551547827</v>
      </c>
      <c r="Q113" s="1579">
        <v>0.17563999444373524</v>
      </c>
      <c r="R113" s="1579">
        <v>0.18915475060174597</v>
      </c>
      <c r="S113" s="1580">
        <f t="shared" si="77"/>
        <v>-2.5175675515477697E-2</v>
      </c>
      <c r="T113" s="1579">
        <f t="shared" si="78"/>
        <v>-3.3639994443735777E-2</v>
      </c>
      <c r="U113" s="1579">
        <f t="shared" si="79"/>
        <v>-4.9154750601747177E-2</v>
      </c>
      <c r="V113" s="1578">
        <f t="shared" si="73"/>
        <v>8.1756755154782368E-3</v>
      </c>
      <c r="W113" s="1175"/>
      <c r="X113" s="1580">
        <f t="shared" si="80"/>
        <v>0.16517567551547827</v>
      </c>
      <c r="Y113" s="1579">
        <f t="shared" si="81"/>
        <v>0.14000000000000057</v>
      </c>
      <c r="Z113" s="1580">
        <f t="shared" si="70"/>
        <v>-2.5175675515477697E-2</v>
      </c>
      <c r="AA113" s="1586">
        <f t="shared" si="85"/>
        <v>-2.997411622603315E-5</v>
      </c>
      <c r="AB113" s="1574"/>
      <c r="AC113" s="933"/>
    </row>
    <row r="114" spans="1:29">
      <c r="A114" s="1207" t="s">
        <v>1379</v>
      </c>
      <c r="B114" s="859"/>
      <c r="C114" s="1585">
        <v>346.65404221999995</v>
      </c>
      <c r="D114" s="1584">
        <v>370.01499999999999</v>
      </c>
      <c r="E114" s="1583">
        <v>370.01552099999998</v>
      </c>
      <c r="F114" s="1583">
        <v>374.19152100000002</v>
      </c>
      <c r="G114" s="1582">
        <v>378.36752100000001</v>
      </c>
      <c r="H114" s="1583">
        <f t="shared" si="84"/>
        <v>370.01499999999999</v>
      </c>
      <c r="I114" s="1583">
        <f t="shared" si="84"/>
        <v>370.01552099999998</v>
      </c>
      <c r="J114" s="1583">
        <f t="shared" si="84"/>
        <v>374.19152100000002</v>
      </c>
      <c r="K114" s="1582">
        <f t="shared" si="84"/>
        <v>378.36752100000001</v>
      </c>
      <c r="L114" s="1175"/>
      <c r="M114" s="1584"/>
      <c r="N114" s="1582"/>
      <c r="O114" s="1578">
        <f t="shared" si="76"/>
        <v>370.01499999999999</v>
      </c>
      <c r="P114" s="1584">
        <f>E114-1.275</f>
        <v>368.740521</v>
      </c>
      <c r="Q114" s="1583">
        <f>F114-2.549</f>
        <v>371.64252100000004</v>
      </c>
      <c r="R114" s="1583">
        <f>G114-2.583</f>
        <v>375.78452099999998</v>
      </c>
      <c r="S114" s="1584">
        <f t="shared" si="77"/>
        <v>1.2749999999999773</v>
      </c>
      <c r="T114" s="1583">
        <f t="shared" si="78"/>
        <v>2.5489999999999782</v>
      </c>
      <c r="U114" s="1583">
        <f t="shared" si="79"/>
        <v>2.5830000000000268</v>
      </c>
      <c r="V114" s="1585">
        <f t="shared" si="73"/>
        <v>-1.2744789999999853</v>
      </c>
      <c r="W114" s="1175"/>
      <c r="X114" s="1580">
        <f t="shared" si="80"/>
        <v>368.740521</v>
      </c>
      <c r="Y114" s="1579">
        <f t="shared" si="81"/>
        <v>370.01552099999998</v>
      </c>
      <c r="Z114" s="1580">
        <f t="shared" ref="Z114:Z145" si="86">Y114-X114</f>
        <v>1.2749999999999773</v>
      </c>
      <c r="AA114" s="1586">
        <f t="shared" si="85"/>
        <v>1.5180128201404662E-3</v>
      </c>
      <c r="AB114" s="1574"/>
      <c r="AC114" s="933"/>
    </row>
    <row r="115" spans="1:29">
      <c r="A115" s="1207" t="s">
        <v>1378</v>
      </c>
      <c r="B115" s="859"/>
      <c r="C115" s="1578">
        <f>C98-SUM(C99:C114)</f>
        <v>272.75861492000149</v>
      </c>
      <c r="D115" s="1580">
        <f>D98-SUM(D99:D114)</f>
        <v>285.55300000000534</v>
      </c>
      <c r="E115" s="1579">
        <f>E98-SUM(E99:E114)</f>
        <v>236.8846539999995</v>
      </c>
      <c r="F115" s="1579">
        <f>F98-SUM(F99:F114)</f>
        <v>235.18586399999731</v>
      </c>
      <c r="G115" s="1581">
        <f>G98-SUM(G99:G114)</f>
        <v>234.98509499999636</v>
      </c>
      <c r="H115" s="1579">
        <f t="shared" si="84"/>
        <v>285.55300000000534</v>
      </c>
      <c r="I115" s="1579">
        <f t="shared" si="84"/>
        <v>236.8846539999995</v>
      </c>
      <c r="J115" s="1579">
        <f t="shared" si="84"/>
        <v>235.18586399999731</v>
      </c>
      <c r="K115" s="1581">
        <f t="shared" si="84"/>
        <v>234.98509499999636</v>
      </c>
      <c r="L115" s="1175"/>
      <c r="M115" s="1580"/>
      <c r="N115" s="1581"/>
      <c r="O115" s="1578">
        <f t="shared" si="76"/>
        <v>285.55300000000534</v>
      </c>
      <c r="P115" s="1580">
        <v>288.01505492317187</v>
      </c>
      <c r="Q115" s="1579">
        <v>292.69918396355723</v>
      </c>
      <c r="R115" s="1579">
        <v>298.84550145092788</v>
      </c>
      <c r="S115" s="1580">
        <f t="shared" si="77"/>
        <v>-51.130400923172374</v>
      </c>
      <c r="T115" s="1579">
        <f t="shared" si="78"/>
        <v>-57.513319963559923</v>
      </c>
      <c r="U115" s="1579">
        <f t="shared" si="79"/>
        <v>-63.860406450931521</v>
      </c>
      <c r="V115" s="1578">
        <f t="shared" si="73"/>
        <v>2.4620549231665336</v>
      </c>
      <c r="W115" s="1175"/>
      <c r="X115" s="1580">
        <f t="shared" si="80"/>
        <v>288.01505492317187</v>
      </c>
      <c r="Y115" s="1579">
        <f t="shared" si="81"/>
        <v>236.8846539999995</v>
      </c>
      <c r="Z115" s="1580">
        <f t="shared" si="86"/>
        <v>-51.130400923172374</v>
      </c>
      <c r="AA115" s="1586">
        <f t="shared" si="85"/>
        <v>-6.0875767921803124E-2</v>
      </c>
      <c r="AB115" s="1574"/>
      <c r="AC115" s="933"/>
    </row>
    <row r="116" spans="1:29" s="1477" customFormat="1">
      <c r="A116" s="1445" t="s">
        <v>1377</v>
      </c>
      <c r="B116" s="1589" t="s">
        <v>1390</v>
      </c>
      <c r="C116" s="1595">
        <v>1379.4069999999999</v>
      </c>
      <c r="D116" s="1599">
        <v>1222.5</v>
      </c>
      <c r="E116" s="1593">
        <v>1126.7</v>
      </c>
      <c r="F116" s="1593">
        <v>1123.9000000000001</v>
      </c>
      <c r="G116" s="1596">
        <v>1091.5</v>
      </c>
      <c r="H116" s="1593">
        <f>D116</f>
        <v>1222.5</v>
      </c>
      <c r="I116" s="1593">
        <v>1120.2220000000002</v>
      </c>
      <c r="J116" s="1593">
        <v>1117.1000000000001</v>
      </c>
      <c r="K116" s="1596">
        <v>1084.222</v>
      </c>
      <c r="L116" s="1594"/>
      <c r="M116" s="1604"/>
      <c r="N116" s="1596">
        <v>1.6400999999999999</v>
      </c>
      <c r="O116" s="1595">
        <f t="shared" si="76"/>
        <v>1224.1401000000001</v>
      </c>
      <c r="P116" s="1592">
        <v>1118.2587074250578</v>
      </c>
      <c r="Q116" s="1593">
        <v>1112.4350763821312</v>
      </c>
      <c r="R116" s="1593">
        <v>1116.3632145984823</v>
      </c>
      <c r="S116" s="1592">
        <f t="shared" si="77"/>
        <v>8.4412925749422811</v>
      </c>
      <c r="T116" s="1593">
        <f t="shared" si="78"/>
        <v>11.464923617868862</v>
      </c>
      <c r="U116" s="1593">
        <f t="shared" si="79"/>
        <v>-24.863214598482273</v>
      </c>
      <c r="V116" s="1595">
        <f t="shared" si="73"/>
        <v>-105.88139257494231</v>
      </c>
      <c r="W116" s="1594"/>
      <c r="X116" s="1592">
        <f t="shared" si="80"/>
        <v>1118.2587074250578</v>
      </c>
      <c r="Y116" s="1593">
        <f t="shared" si="81"/>
        <v>1126.7</v>
      </c>
      <c r="Z116" s="1592">
        <f t="shared" si="86"/>
        <v>8.4412925749422811</v>
      </c>
      <c r="AA116" s="1591">
        <f t="shared" si="85"/>
        <v>1.0050188507701285E-2</v>
      </c>
      <c r="AB116" s="1590"/>
      <c r="AC116" s="933"/>
    </row>
    <row r="117" spans="1:29" s="1477" customFormat="1">
      <c r="A117" s="1445" t="s">
        <v>1091</v>
      </c>
      <c r="B117" s="1589" t="s">
        <v>1388</v>
      </c>
      <c r="C117" s="1595">
        <v>463.73599999999999</v>
      </c>
      <c r="D117" s="1599">
        <v>411.7</v>
      </c>
      <c r="E117" s="1593">
        <v>479.6</v>
      </c>
      <c r="F117" s="1593">
        <v>422</v>
      </c>
      <c r="G117" s="1596">
        <v>413.9</v>
      </c>
      <c r="H117" s="1593">
        <f>SUM(H118:H124)</f>
        <v>376.45492927527647</v>
      </c>
      <c r="I117" s="1593">
        <f>SUM(I118:I124)</f>
        <v>417.57409615353475</v>
      </c>
      <c r="J117" s="1593">
        <f>SUM(J118:J124)</f>
        <v>405.45299486814076</v>
      </c>
      <c r="K117" s="1596">
        <f>SUM(K118:K124)</f>
        <v>406.90457012418494</v>
      </c>
      <c r="L117" s="1594"/>
      <c r="M117" s="1592">
        <f>SUM(M118:M124)</f>
        <v>0</v>
      </c>
      <c r="N117" s="1596">
        <f>SUM(N118:N124)</f>
        <v>-35.24507072472359</v>
      </c>
      <c r="O117" s="1595">
        <f t="shared" si="76"/>
        <v>376.45492927527641</v>
      </c>
      <c r="P117" s="1592">
        <f t="shared" ref="P117:U117" si="87">SUM(P118:P124)</f>
        <v>379.75041197408575</v>
      </c>
      <c r="Q117" s="1593">
        <f t="shared" si="87"/>
        <v>391.17315915670883</v>
      </c>
      <c r="R117" s="1593">
        <f t="shared" si="87"/>
        <v>404.6880359668678</v>
      </c>
      <c r="S117" s="1592">
        <f t="shared" si="87"/>
        <v>99.849588025914287</v>
      </c>
      <c r="T117" s="1593">
        <f t="shared" si="87"/>
        <v>30.826840843291116</v>
      </c>
      <c r="U117" s="1593">
        <f t="shared" si="87"/>
        <v>9.2119640331321602</v>
      </c>
      <c r="V117" s="1595">
        <f t="shared" si="73"/>
        <v>3.2954826988093373</v>
      </c>
      <c r="W117" s="1594"/>
      <c r="X117" s="1592">
        <f>SUM(X118:X124)</f>
        <v>379.75041197408575</v>
      </c>
      <c r="Y117" s="1593">
        <f>SUM(Y118:Y124)</f>
        <v>470.80000000000007</v>
      </c>
      <c r="Z117" s="1592">
        <f t="shared" si="86"/>
        <v>91.049588025914318</v>
      </c>
      <c r="AA117" s="1591">
        <f t="shared" si="85"/>
        <v>0.10840348383674375</v>
      </c>
      <c r="AB117" s="1590"/>
      <c r="AC117" s="933"/>
    </row>
    <row r="118" spans="1:29">
      <c r="A118" s="1207" t="s">
        <v>1159</v>
      </c>
      <c r="B118" s="1589"/>
      <c r="C118" s="1578">
        <v>47.090900030000007</v>
      </c>
      <c r="D118" s="1580">
        <v>120.60599999999999</v>
      </c>
      <c r="E118" s="1579">
        <v>149.88206099999999</v>
      </c>
      <c r="F118" s="1579">
        <v>106.95584700000001</v>
      </c>
      <c r="G118" s="1581">
        <v>100.390947</v>
      </c>
      <c r="H118" s="1579">
        <f>O118</f>
        <v>93.840929275276409</v>
      </c>
      <c r="I118" s="1579">
        <f>P118</f>
        <v>96.656157153534707</v>
      </c>
      <c r="J118" s="1579">
        <f>Q118</f>
        <v>99.555841868140746</v>
      </c>
      <c r="K118" s="1581">
        <f>R118</f>
        <v>102.54251712418497</v>
      </c>
      <c r="L118" s="1175"/>
      <c r="M118" s="1580"/>
      <c r="N118" s="1581">
        <f>O214-D214</f>
        <v>-26.765070724723586</v>
      </c>
      <c r="O118" s="1578">
        <f t="shared" si="76"/>
        <v>93.840929275276409</v>
      </c>
      <c r="P118" s="1580">
        <f>P214</f>
        <v>96.656157153534707</v>
      </c>
      <c r="Q118" s="1579">
        <f>Q214</f>
        <v>99.555841868140746</v>
      </c>
      <c r="R118" s="1579">
        <f>R214</f>
        <v>102.54251712418497</v>
      </c>
      <c r="S118" s="1580">
        <f t="shared" ref="S118:U124" si="88">E118-P118</f>
        <v>53.225903846465286</v>
      </c>
      <c r="T118" s="1579">
        <f t="shared" si="88"/>
        <v>7.4000051318592597</v>
      </c>
      <c r="U118" s="1579">
        <f t="shared" si="88"/>
        <v>-2.1515701241849712</v>
      </c>
      <c r="V118" s="1578">
        <f t="shared" si="73"/>
        <v>2.8152278782582982</v>
      </c>
      <c r="W118" s="1175"/>
      <c r="X118" s="1580">
        <f t="shared" ref="X118:X124" si="89">P118</f>
        <v>96.656157153534707</v>
      </c>
      <c r="Y118" s="1579">
        <f>E118</f>
        <v>149.88206099999999</v>
      </c>
      <c r="Z118" s="1580">
        <f t="shared" si="86"/>
        <v>53.225903846465286</v>
      </c>
      <c r="AA118" s="1586">
        <f t="shared" si="85"/>
        <v>6.3370670119607439E-2</v>
      </c>
      <c r="AB118" s="1574"/>
      <c r="AC118" s="933"/>
    </row>
    <row r="119" spans="1:29">
      <c r="A119" s="1207" t="s">
        <v>1376</v>
      </c>
      <c r="B119" s="859"/>
      <c r="C119" s="1578">
        <v>0</v>
      </c>
      <c r="D119" s="1580">
        <v>8.48</v>
      </c>
      <c r="E119" s="1579">
        <v>8.8000000000000007</v>
      </c>
      <c r="F119" s="1579">
        <v>9.1470000000000002</v>
      </c>
      <c r="G119" s="1581">
        <v>9.1470000000000002</v>
      </c>
      <c r="H119" s="1579">
        <v>0</v>
      </c>
      <c r="I119" s="1579">
        <v>0</v>
      </c>
      <c r="J119" s="1579">
        <v>0</v>
      </c>
      <c r="K119" s="1581">
        <v>0</v>
      </c>
      <c r="L119" s="1175"/>
      <c r="M119" s="1588"/>
      <c r="N119" s="1581">
        <v>-8.48</v>
      </c>
      <c r="O119" s="1578">
        <f t="shared" si="76"/>
        <v>0</v>
      </c>
      <c r="P119" s="1580">
        <v>0</v>
      </c>
      <c r="Q119" s="1579">
        <v>0</v>
      </c>
      <c r="R119" s="1579">
        <v>0</v>
      </c>
      <c r="S119" s="1580">
        <f t="shared" si="88"/>
        <v>8.8000000000000007</v>
      </c>
      <c r="T119" s="1579">
        <f t="shared" si="88"/>
        <v>9.1470000000000002</v>
      </c>
      <c r="U119" s="1579">
        <f t="shared" si="88"/>
        <v>9.1470000000000002</v>
      </c>
      <c r="V119" s="1578">
        <f t="shared" si="73"/>
        <v>0</v>
      </c>
      <c r="W119" s="1175"/>
      <c r="X119" s="1580">
        <f t="shared" si="89"/>
        <v>0</v>
      </c>
      <c r="Y119" s="1579">
        <v>0</v>
      </c>
      <c r="Z119" s="1580">
        <f t="shared" si="86"/>
        <v>0</v>
      </c>
      <c r="AA119" s="1586">
        <f t="shared" si="85"/>
        <v>0</v>
      </c>
      <c r="AB119" s="1574"/>
      <c r="AC119" s="933"/>
    </row>
    <row r="120" spans="1:29">
      <c r="A120" s="1207" t="s">
        <v>1354</v>
      </c>
      <c r="B120" s="859"/>
      <c r="C120" s="1578">
        <v>1.915</v>
      </c>
      <c r="D120" s="1580">
        <f>7.088+19.2-21.016</f>
        <v>5.272000000000002</v>
      </c>
      <c r="E120" s="1579">
        <v>0</v>
      </c>
      <c r="F120" s="1579">
        <v>0</v>
      </c>
      <c r="G120" s="1581">
        <v>0</v>
      </c>
      <c r="H120" s="1579">
        <f t="shared" ref="H120:K124" si="90">D120</f>
        <v>5.272000000000002</v>
      </c>
      <c r="I120" s="1579">
        <f t="shared" si="90"/>
        <v>0</v>
      </c>
      <c r="J120" s="1579">
        <f t="shared" si="90"/>
        <v>0</v>
      </c>
      <c r="K120" s="1581">
        <f t="shared" si="90"/>
        <v>0</v>
      </c>
      <c r="L120" s="1175"/>
      <c r="M120" s="1580"/>
      <c r="N120" s="1581"/>
      <c r="O120" s="1578">
        <f t="shared" si="76"/>
        <v>5.272000000000002</v>
      </c>
      <c r="P120" s="1580">
        <v>0</v>
      </c>
      <c r="Q120" s="1579">
        <v>0</v>
      </c>
      <c r="R120" s="1579">
        <v>0</v>
      </c>
      <c r="S120" s="1580">
        <f t="shared" si="88"/>
        <v>0</v>
      </c>
      <c r="T120" s="1579">
        <f t="shared" si="88"/>
        <v>0</v>
      </c>
      <c r="U120" s="1579">
        <f t="shared" si="88"/>
        <v>0</v>
      </c>
      <c r="V120" s="1578">
        <f t="shared" si="73"/>
        <v>-5.272000000000002</v>
      </c>
      <c r="W120" s="1175"/>
      <c r="X120" s="1580">
        <f t="shared" si="89"/>
        <v>0</v>
      </c>
      <c r="Y120" s="1579">
        <f>E120</f>
        <v>0</v>
      </c>
      <c r="Z120" s="1580">
        <f t="shared" si="86"/>
        <v>0</v>
      </c>
      <c r="AA120" s="1586">
        <f t="shared" si="85"/>
        <v>0</v>
      </c>
      <c r="AB120" s="1574"/>
      <c r="AC120" s="933"/>
    </row>
    <row r="121" spans="1:29">
      <c r="A121" s="1207" t="s">
        <v>1352</v>
      </c>
      <c r="B121" s="859"/>
      <c r="C121" s="1578">
        <v>0</v>
      </c>
      <c r="D121" s="1580">
        <f>1.891-0.593+0.295</f>
        <v>1.593</v>
      </c>
      <c r="E121" s="1579">
        <v>1.8089999999999999</v>
      </c>
      <c r="F121" s="1579">
        <v>1.8089999999999999</v>
      </c>
      <c r="G121" s="1581">
        <v>1.8089999999999999</v>
      </c>
      <c r="H121" s="1579">
        <f t="shared" si="90"/>
        <v>1.593</v>
      </c>
      <c r="I121" s="1579">
        <f t="shared" si="90"/>
        <v>1.8089999999999999</v>
      </c>
      <c r="J121" s="1579">
        <f t="shared" si="90"/>
        <v>1.8089999999999999</v>
      </c>
      <c r="K121" s="1581">
        <f t="shared" si="90"/>
        <v>1.8089999999999999</v>
      </c>
      <c r="L121" s="1175"/>
      <c r="M121" s="1580"/>
      <c r="N121" s="1581"/>
      <c r="O121" s="1578">
        <f t="shared" si="76"/>
        <v>1.593</v>
      </c>
      <c r="P121" s="1580">
        <v>1.626039863883356</v>
      </c>
      <c r="Q121" s="1579">
        <v>1.674994722907778</v>
      </c>
      <c r="R121" s="1579">
        <v>1.7354667216519448</v>
      </c>
      <c r="S121" s="1580">
        <f t="shared" si="88"/>
        <v>0.18296013611664397</v>
      </c>
      <c r="T121" s="1579">
        <f t="shared" si="88"/>
        <v>0.13400527709222199</v>
      </c>
      <c r="U121" s="1579">
        <f t="shared" si="88"/>
        <v>7.353327834805512E-2</v>
      </c>
      <c r="V121" s="1578">
        <f t="shared" si="73"/>
        <v>3.3039863883356002E-2</v>
      </c>
      <c r="W121" s="1175"/>
      <c r="X121" s="1580">
        <f t="shared" si="89"/>
        <v>1.626039863883356</v>
      </c>
      <c r="Y121" s="1579">
        <f>E121</f>
        <v>1.8089999999999999</v>
      </c>
      <c r="Z121" s="1580">
        <f t="shared" si="86"/>
        <v>0.18296013611664397</v>
      </c>
      <c r="AA121" s="1586">
        <f t="shared" si="85"/>
        <v>2.1783202525467861E-4</v>
      </c>
      <c r="AB121" s="1574"/>
      <c r="AC121" s="933"/>
    </row>
    <row r="122" spans="1:29">
      <c r="A122" s="1207" t="s">
        <v>1365</v>
      </c>
      <c r="B122" s="859"/>
      <c r="C122" s="1578">
        <v>60.219107999999999</v>
      </c>
      <c r="D122" s="1580">
        <f>43.778+23.335</f>
        <v>67.113</v>
      </c>
      <c r="E122" s="1579">
        <v>60.77</v>
      </c>
      <c r="F122" s="1579">
        <v>66.004999999999995</v>
      </c>
      <c r="G122" s="1581">
        <v>65.010000000000005</v>
      </c>
      <c r="H122" s="1579">
        <f t="shared" si="90"/>
        <v>67.113</v>
      </c>
      <c r="I122" s="1579">
        <f t="shared" si="90"/>
        <v>60.77</v>
      </c>
      <c r="J122" s="1579">
        <f t="shared" si="90"/>
        <v>66.004999999999995</v>
      </c>
      <c r="K122" s="1581">
        <f t="shared" si="90"/>
        <v>65.010000000000005</v>
      </c>
      <c r="L122" s="1175"/>
      <c r="M122" s="1580"/>
      <c r="N122" s="1581"/>
      <c r="O122" s="1578">
        <f t="shared" si="76"/>
        <v>67.113</v>
      </c>
      <c r="P122" s="1580">
        <v>68.504967598746816</v>
      </c>
      <c r="Q122" s="1579">
        <v>70.567433043634466</v>
      </c>
      <c r="R122" s="1579">
        <v>73.115114934229112</v>
      </c>
      <c r="S122" s="1580">
        <f t="shared" si="88"/>
        <v>-7.7349675987468132</v>
      </c>
      <c r="T122" s="1579">
        <f t="shared" si="88"/>
        <v>-4.5624330436344707</v>
      </c>
      <c r="U122" s="1579">
        <f t="shared" si="88"/>
        <v>-8.1051149342291069</v>
      </c>
      <c r="V122" s="1578">
        <f t="shared" si="73"/>
        <v>1.3919675987468167</v>
      </c>
      <c r="W122" s="1175"/>
      <c r="X122" s="1580">
        <f t="shared" si="89"/>
        <v>68.504967598746816</v>
      </c>
      <c r="Y122" s="1579">
        <f>E122</f>
        <v>60.77</v>
      </c>
      <c r="Z122" s="1580">
        <f t="shared" si="86"/>
        <v>-7.7349675987468132</v>
      </c>
      <c r="AA122" s="1586">
        <f t="shared" si="85"/>
        <v>-9.2092391986423449E-3</v>
      </c>
      <c r="AB122" s="1574"/>
      <c r="AC122" s="933"/>
    </row>
    <row r="123" spans="1:29">
      <c r="A123" s="1207" t="s">
        <v>1374</v>
      </c>
      <c r="B123" s="859"/>
      <c r="C123" s="1578">
        <v>270.28399999999999</v>
      </c>
      <c r="D123" s="1580">
        <f>149.588</f>
        <v>149.58799999999999</v>
      </c>
      <c r="E123" s="1579">
        <v>160.887</v>
      </c>
      <c r="F123" s="1579">
        <v>161.95500000000001</v>
      </c>
      <c r="G123" s="1581">
        <v>160.45500000000001</v>
      </c>
      <c r="H123" s="1579">
        <f t="shared" si="90"/>
        <v>149.58799999999999</v>
      </c>
      <c r="I123" s="1579">
        <f t="shared" si="90"/>
        <v>160.887</v>
      </c>
      <c r="J123" s="1579">
        <f t="shared" si="90"/>
        <v>161.95500000000001</v>
      </c>
      <c r="K123" s="1581">
        <f t="shared" si="90"/>
        <v>160.45500000000001</v>
      </c>
      <c r="L123" s="1175"/>
      <c r="M123" s="1580"/>
      <c r="N123" s="1581"/>
      <c r="O123" s="1578">
        <f t="shared" si="76"/>
        <v>149.58799999999999</v>
      </c>
      <c r="P123" s="1580">
        <v>152.69055314412017</v>
      </c>
      <c r="Q123" s="1579">
        <v>157.28757728206446</v>
      </c>
      <c r="R123" s="1579">
        <v>162.96609915786007</v>
      </c>
      <c r="S123" s="1580">
        <f t="shared" si="88"/>
        <v>8.1964468558798274</v>
      </c>
      <c r="T123" s="1579">
        <f t="shared" si="88"/>
        <v>4.6674227179355512</v>
      </c>
      <c r="U123" s="1579">
        <f t="shared" si="88"/>
        <v>-2.511099157860059</v>
      </c>
      <c r="V123" s="1578">
        <f t="shared" si="73"/>
        <v>3.1025531441201792</v>
      </c>
      <c r="W123" s="1175"/>
      <c r="X123" s="1580">
        <f t="shared" si="89"/>
        <v>152.69055314412017</v>
      </c>
      <c r="Y123" s="1579">
        <f>E123</f>
        <v>160.887</v>
      </c>
      <c r="Z123" s="1580">
        <f t="shared" si="86"/>
        <v>8.1964468558798274</v>
      </c>
      <c r="AA123" s="1586">
        <f t="shared" si="85"/>
        <v>9.7586756131967187E-3</v>
      </c>
      <c r="AB123" s="1574"/>
      <c r="AC123" s="933"/>
    </row>
    <row r="124" spans="1:29">
      <c r="A124" s="1207" t="s">
        <v>1285</v>
      </c>
      <c r="B124" s="859"/>
      <c r="C124" s="1578">
        <f>C117-SUM(C118:C123)</f>
        <v>84.226991969999972</v>
      </c>
      <c r="D124" s="1580">
        <f>D117-SUM(D118:D123)</f>
        <v>59.048000000000059</v>
      </c>
      <c r="E124" s="1579">
        <f>E117-SUM(E118:E123)</f>
        <v>97.451939000000039</v>
      </c>
      <c r="F124" s="1579">
        <f>F117-SUM(F118:F123)</f>
        <v>76.128152999999998</v>
      </c>
      <c r="G124" s="1581">
        <f>G117-SUM(G118:G123)</f>
        <v>77.088052999999945</v>
      </c>
      <c r="H124" s="1579">
        <f t="shared" si="90"/>
        <v>59.048000000000059</v>
      </c>
      <c r="I124" s="1579">
        <f t="shared" si="90"/>
        <v>97.451939000000039</v>
      </c>
      <c r="J124" s="1579">
        <f t="shared" si="90"/>
        <v>76.128152999999998</v>
      </c>
      <c r="K124" s="1581">
        <f t="shared" si="90"/>
        <v>77.088052999999945</v>
      </c>
      <c r="L124" s="1175"/>
      <c r="M124" s="1580"/>
      <c r="N124" s="1581"/>
      <c r="O124" s="1578">
        <f t="shared" si="76"/>
        <v>59.048000000000059</v>
      </c>
      <c r="P124" s="1580">
        <v>60.27269421380069</v>
      </c>
      <c r="Q124" s="1579">
        <v>62.087312239961442</v>
      </c>
      <c r="R124" s="1579">
        <v>64.328838028941703</v>
      </c>
      <c r="S124" s="1580">
        <f t="shared" si="88"/>
        <v>37.179244786199348</v>
      </c>
      <c r="T124" s="1579">
        <f t="shared" si="88"/>
        <v>14.040840760038556</v>
      </c>
      <c r="U124" s="1579">
        <f t="shared" si="88"/>
        <v>12.759214971058242</v>
      </c>
      <c r="V124" s="1578">
        <f t="shared" si="73"/>
        <v>1.2246942138006318</v>
      </c>
      <c r="W124" s="1175"/>
      <c r="X124" s="1580">
        <f t="shared" si="89"/>
        <v>60.27269421380069</v>
      </c>
      <c r="Y124" s="1579">
        <f>E124</f>
        <v>97.451939000000039</v>
      </c>
      <c r="Z124" s="1580">
        <f t="shared" si="86"/>
        <v>37.179244786199348</v>
      </c>
      <c r="AA124" s="1586">
        <f t="shared" si="85"/>
        <v>4.426554527732722E-2</v>
      </c>
      <c r="AB124" s="1574"/>
      <c r="AC124" s="933"/>
    </row>
    <row r="125" spans="1:29" s="1477" customFormat="1">
      <c r="A125" s="1445" t="s">
        <v>1338</v>
      </c>
      <c r="B125" s="1589" t="s">
        <v>1381</v>
      </c>
      <c r="C125" s="1595">
        <v>4950.6450000000004</v>
      </c>
      <c r="D125" s="1599">
        <v>2456.9</v>
      </c>
      <c r="E125" s="1593">
        <v>2840.8</v>
      </c>
      <c r="F125" s="1593">
        <v>2998.5</v>
      </c>
      <c r="G125" s="1596">
        <v>2381.5</v>
      </c>
      <c r="H125" s="1593">
        <f>SUM(H126:H140)</f>
        <v>2974.2630817233862</v>
      </c>
      <c r="I125" s="1593">
        <f>SUM(I126:I140)</f>
        <v>3650.0080109584796</v>
      </c>
      <c r="J125" s="1593">
        <f>SUM(J126:J140)</f>
        <v>3519.8587898024289</v>
      </c>
      <c r="K125" s="1596">
        <f>SUM(K126:K140)</f>
        <v>3238.5613399855488</v>
      </c>
      <c r="L125" s="1594"/>
      <c r="M125" s="1592">
        <f>SUM(M126:M140)</f>
        <v>-12</v>
      </c>
      <c r="N125" s="1596">
        <f>SUM(N126:N140)</f>
        <v>517.36308172338636</v>
      </c>
      <c r="O125" s="1595">
        <f t="shared" si="76"/>
        <v>2962.2630817233867</v>
      </c>
      <c r="P125" s="1592">
        <f t="shared" ref="P125:U125" si="91">SUM(P126:P140)</f>
        <v>3759.7540221684549</v>
      </c>
      <c r="Q125" s="1593">
        <f t="shared" si="91"/>
        <v>3713.6858421583856</v>
      </c>
      <c r="R125" s="1593">
        <f t="shared" si="91"/>
        <v>3486.2980595298131</v>
      </c>
      <c r="S125" s="1592">
        <f t="shared" si="91"/>
        <v>-918.954022168454</v>
      </c>
      <c r="T125" s="1593">
        <f t="shared" si="91"/>
        <v>-715.18584215838575</v>
      </c>
      <c r="U125" s="1593">
        <f t="shared" si="91"/>
        <v>-1104.7980595298131</v>
      </c>
      <c r="V125" s="1595">
        <f t="shared" si="73"/>
        <v>797.49094044506819</v>
      </c>
      <c r="W125" s="1594"/>
      <c r="X125" s="1592">
        <f>SUM(X126:X140)</f>
        <v>3759.7540221684549</v>
      </c>
      <c r="Y125" s="1593">
        <f>SUM(Y126:Y140)</f>
        <v>3076.8799515007659</v>
      </c>
      <c r="Z125" s="1592">
        <f t="shared" si="86"/>
        <v>-682.87407066768901</v>
      </c>
      <c r="AA125" s="1591">
        <f t="shared" si="85"/>
        <v>-0.8130287010314331</v>
      </c>
      <c r="AB125" s="1590"/>
      <c r="AC125" s="933"/>
    </row>
    <row r="126" spans="1:29">
      <c r="A126" s="1207" t="s">
        <v>1363</v>
      </c>
      <c r="B126" s="1589"/>
      <c r="C126" s="1578">
        <v>2449.3180585699979</v>
      </c>
      <c r="D126" s="1580">
        <v>570.92999999999995</v>
      </c>
      <c r="E126" s="1579">
        <v>800.11307429999999</v>
      </c>
      <c r="F126" s="1579">
        <v>1016.53862244</v>
      </c>
      <c r="G126" s="1581">
        <v>586.26263552</v>
      </c>
      <c r="H126" s="1579">
        <f t="shared" ref="H126:K127" si="92">O126</f>
        <v>700.72872903666689</v>
      </c>
      <c r="I126" s="1579">
        <f t="shared" si="92"/>
        <v>1175.886242356828</v>
      </c>
      <c r="J126" s="1579">
        <f t="shared" si="92"/>
        <v>1148.6826392645862</v>
      </c>
      <c r="K126" s="1581">
        <f t="shared" si="92"/>
        <v>932.96107180167985</v>
      </c>
      <c r="L126" s="1175"/>
      <c r="M126" s="1580"/>
      <c r="N126" s="1581">
        <f>O204-D204</f>
        <v>129.79872903666694</v>
      </c>
      <c r="O126" s="1578">
        <f t="shared" si="76"/>
        <v>700.72872903666689</v>
      </c>
      <c r="P126" s="1580">
        <f>P204</f>
        <v>1175.886242356828</v>
      </c>
      <c r="Q126" s="1579">
        <f>Q204</f>
        <v>1148.6826392645862</v>
      </c>
      <c r="R126" s="1579">
        <f>R204</f>
        <v>932.96107180167985</v>
      </c>
      <c r="S126" s="1580">
        <f t="shared" ref="S126:S149" si="93">E126-P126</f>
        <v>-375.77316805682801</v>
      </c>
      <c r="T126" s="1579">
        <f t="shared" ref="T126:T149" si="94">F126-Q126</f>
        <v>-132.14401682458617</v>
      </c>
      <c r="U126" s="1579">
        <f t="shared" ref="U126:U149" si="95">G126-R126</f>
        <v>-346.69843628167985</v>
      </c>
      <c r="V126" s="1578">
        <f t="shared" si="73"/>
        <v>475.15751332016112</v>
      </c>
      <c r="W126" s="1175"/>
      <c r="X126" s="1580">
        <f t="shared" ref="X126:X140" si="96">P126</f>
        <v>1175.886242356828</v>
      </c>
      <c r="Y126" s="1579">
        <f>E126</f>
        <v>800.11307429999999</v>
      </c>
      <c r="Z126" s="1580">
        <f t="shared" si="86"/>
        <v>-375.77316805682801</v>
      </c>
      <c r="AA126" s="1586">
        <f t="shared" si="85"/>
        <v>-0.4473948914314298</v>
      </c>
      <c r="AB126" s="1574"/>
      <c r="AC126" s="933"/>
    </row>
    <row r="127" spans="1:29">
      <c r="A127" s="1207" t="s">
        <v>1159</v>
      </c>
      <c r="B127" s="1589"/>
      <c r="C127" s="1578">
        <v>437.32576360000019</v>
      </c>
      <c r="D127" s="1580">
        <v>96.566000000000003</v>
      </c>
      <c r="E127" s="1579">
        <v>150.83595233000003</v>
      </c>
      <c r="F127" s="1579">
        <v>178.57628940000001</v>
      </c>
      <c r="G127" s="1581">
        <v>99.227639010000004</v>
      </c>
      <c r="H127" s="1579">
        <f t="shared" si="92"/>
        <v>122.62300706821307</v>
      </c>
      <c r="I127" s="1579">
        <f t="shared" si="92"/>
        <v>202.11020561314467</v>
      </c>
      <c r="J127" s="1579">
        <f t="shared" si="92"/>
        <v>189.13556282994776</v>
      </c>
      <c r="K127" s="1581">
        <f t="shared" si="92"/>
        <v>151.99735899357376</v>
      </c>
      <c r="L127" s="1175"/>
      <c r="M127" s="1580"/>
      <c r="N127" s="1581">
        <f>O215-D215</f>
        <v>26.057007068213068</v>
      </c>
      <c r="O127" s="1578">
        <f t="shared" si="76"/>
        <v>122.62300706821307</v>
      </c>
      <c r="P127" s="1580">
        <f>P215</f>
        <v>202.11020561314467</v>
      </c>
      <c r="Q127" s="1579">
        <f>Q215</f>
        <v>189.13556282994776</v>
      </c>
      <c r="R127" s="1579">
        <f>R215</f>
        <v>151.99735899357376</v>
      </c>
      <c r="S127" s="1580">
        <f t="shared" si="93"/>
        <v>-51.274253283144645</v>
      </c>
      <c r="T127" s="1579">
        <f t="shared" si="94"/>
        <v>-10.559273429947751</v>
      </c>
      <c r="U127" s="1579">
        <f t="shared" si="95"/>
        <v>-52.769719983573751</v>
      </c>
      <c r="V127" s="1578">
        <f t="shared" ref="V127:V158" si="97">P127-O127</f>
        <v>79.487198544931601</v>
      </c>
      <c r="W127" s="1175"/>
      <c r="X127" s="1580">
        <f t="shared" si="96"/>
        <v>202.11020561314467</v>
      </c>
      <c r="Y127" s="1579">
        <f>E127</f>
        <v>150.83595233000003</v>
      </c>
      <c r="Z127" s="1580">
        <f t="shared" si="86"/>
        <v>-51.274253283144645</v>
      </c>
      <c r="AA127" s="1586">
        <f t="shared" si="85"/>
        <v>-6.1047038295642619E-2</v>
      </c>
      <c r="AB127" s="1574"/>
      <c r="AC127" s="933"/>
    </row>
    <row r="128" spans="1:29">
      <c r="A128" s="1207" t="s">
        <v>1372</v>
      </c>
      <c r="B128" s="859"/>
      <c r="C128" s="1578">
        <v>209.71</v>
      </c>
      <c r="D128" s="1584">
        <v>192.495</v>
      </c>
      <c r="E128" s="1579">
        <v>120.432</v>
      </c>
      <c r="F128" s="1579">
        <v>149.91900000000001</v>
      </c>
      <c r="G128" s="1581">
        <v>144.81700000000001</v>
      </c>
      <c r="H128" s="1579">
        <f>D128</f>
        <v>192.495</v>
      </c>
      <c r="I128" s="1579">
        <f>E128</f>
        <v>120.432</v>
      </c>
      <c r="J128" s="1579">
        <f>F128</f>
        <v>149.91900000000001</v>
      </c>
      <c r="K128" s="1581">
        <f>G128</f>
        <v>144.81700000000001</v>
      </c>
      <c r="L128" s="1175"/>
      <c r="M128" s="1580"/>
      <c r="N128" s="1581"/>
      <c r="O128" s="1578">
        <f t="shared" si="76"/>
        <v>192.495</v>
      </c>
      <c r="P128" s="1580">
        <v>201.29262896036099</v>
      </c>
      <c r="Q128" s="1579">
        <v>212.35359375245937</v>
      </c>
      <c r="R128" s="1579">
        <v>227.06826421484098</v>
      </c>
      <c r="S128" s="1580">
        <f t="shared" si="93"/>
        <v>-80.860628960360984</v>
      </c>
      <c r="T128" s="1579">
        <f t="shared" si="94"/>
        <v>-62.434593752459364</v>
      </c>
      <c r="U128" s="1579">
        <f t="shared" si="95"/>
        <v>-82.251264214840972</v>
      </c>
      <c r="V128" s="1578">
        <f t="shared" si="97"/>
        <v>8.7976289603609814</v>
      </c>
      <c r="W128" s="1175"/>
      <c r="X128" s="1580">
        <f t="shared" si="96"/>
        <v>201.29262896036099</v>
      </c>
      <c r="Y128" s="1579">
        <f>E128</f>
        <v>120.432</v>
      </c>
      <c r="Z128" s="1580">
        <f t="shared" si="86"/>
        <v>-80.860628960360984</v>
      </c>
      <c r="AA128" s="1586">
        <f t="shared" si="85"/>
        <v>-9.6272526593295396E-2</v>
      </c>
      <c r="AB128" s="1574"/>
      <c r="AC128" s="933"/>
    </row>
    <row r="129" spans="1:37">
      <c r="A129" s="1207" t="s">
        <v>1301</v>
      </c>
      <c r="B129" s="859"/>
      <c r="C129" s="1578">
        <v>0</v>
      </c>
      <c r="D129" s="1584">
        <v>-94.366</v>
      </c>
      <c r="E129" s="1579">
        <v>-116.659244</v>
      </c>
      <c r="F129" s="1579">
        <v>-116.659244</v>
      </c>
      <c r="G129" s="1581">
        <v>-116.659244</v>
      </c>
      <c r="H129" s="1579">
        <v>0</v>
      </c>
      <c r="I129" s="1579">
        <v>0</v>
      </c>
      <c r="J129" s="1579">
        <v>0</v>
      </c>
      <c r="K129" s="1581">
        <v>0</v>
      </c>
      <c r="L129" s="1175"/>
      <c r="M129" s="1580"/>
      <c r="N129" s="1581">
        <v>94.366</v>
      </c>
      <c r="O129" s="1578">
        <f t="shared" si="76"/>
        <v>0</v>
      </c>
      <c r="P129" s="1580">
        <v>0</v>
      </c>
      <c r="Q129" s="1579">
        <v>0</v>
      </c>
      <c r="R129" s="1579">
        <v>0</v>
      </c>
      <c r="S129" s="1580">
        <f t="shared" si="93"/>
        <v>-116.659244</v>
      </c>
      <c r="T129" s="1579">
        <f t="shared" si="94"/>
        <v>-116.659244</v>
      </c>
      <c r="U129" s="1579">
        <f t="shared" si="95"/>
        <v>-116.659244</v>
      </c>
      <c r="V129" s="1578">
        <f t="shared" si="97"/>
        <v>0</v>
      </c>
      <c r="W129" s="1175"/>
      <c r="X129" s="1580">
        <f t="shared" si="96"/>
        <v>0</v>
      </c>
      <c r="Y129" s="1579">
        <v>0</v>
      </c>
      <c r="Z129" s="1580">
        <f t="shared" si="86"/>
        <v>0</v>
      </c>
      <c r="AA129" s="1586">
        <f t="shared" si="85"/>
        <v>0</v>
      </c>
      <c r="AB129" s="1574"/>
      <c r="AC129" s="933"/>
    </row>
    <row r="130" spans="1:37">
      <c r="A130" s="1207" t="s">
        <v>1354</v>
      </c>
      <c r="B130" s="859"/>
      <c r="C130" s="1578">
        <v>5.0000000000000001E-3</v>
      </c>
      <c r="D130" s="1580">
        <f>0.018-0.017</f>
        <v>9.9999999999999742E-4</v>
      </c>
      <c r="E130" s="1579">
        <v>0</v>
      </c>
      <c r="F130" s="1579">
        <v>0</v>
      </c>
      <c r="G130" s="1581">
        <v>0</v>
      </c>
      <c r="H130" s="1579">
        <f t="shared" ref="H130:K131" si="98">D130</f>
        <v>9.9999999999999742E-4</v>
      </c>
      <c r="I130" s="1579">
        <f t="shared" si="98"/>
        <v>0</v>
      </c>
      <c r="J130" s="1579">
        <f t="shared" si="98"/>
        <v>0</v>
      </c>
      <c r="K130" s="1581">
        <f t="shared" si="98"/>
        <v>0</v>
      </c>
      <c r="L130" s="1175"/>
      <c r="M130" s="1580"/>
      <c r="N130" s="1581"/>
      <c r="O130" s="1578">
        <f t="shared" si="76"/>
        <v>9.9999999999999742E-4</v>
      </c>
      <c r="P130" s="1580">
        <v>0</v>
      </c>
      <c r="Q130" s="1579">
        <v>0</v>
      </c>
      <c r="R130" s="1579">
        <v>0</v>
      </c>
      <c r="S130" s="1580">
        <f t="shared" si="93"/>
        <v>0</v>
      </c>
      <c r="T130" s="1579">
        <f t="shared" si="94"/>
        <v>0</v>
      </c>
      <c r="U130" s="1579">
        <f t="shared" si="95"/>
        <v>0</v>
      </c>
      <c r="V130" s="1578">
        <f t="shared" si="97"/>
        <v>-9.9999999999999742E-4</v>
      </c>
      <c r="W130" s="1175"/>
      <c r="X130" s="1580">
        <f t="shared" si="96"/>
        <v>0</v>
      </c>
      <c r="Y130" s="1579">
        <f>E130</f>
        <v>0</v>
      </c>
      <c r="Z130" s="1580">
        <f t="shared" si="86"/>
        <v>0</v>
      </c>
      <c r="AA130" s="1586">
        <f t="shared" si="85"/>
        <v>0</v>
      </c>
      <c r="AB130" s="1574"/>
      <c r="AC130" s="933"/>
    </row>
    <row r="131" spans="1:37">
      <c r="A131" s="1207" t="s">
        <v>1353</v>
      </c>
      <c r="B131" s="859"/>
      <c r="C131" s="1578">
        <f>-0.075</f>
        <v>-7.4999999999999997E-2</v>
      </c>
      <c r="D131" s="1579">
        <f>192.166-110</f>
        <v>82.165999999999997</v>
      </c>
      <c r="E131" s="1579">
        <v>49.439</v>
      </c>
      <c r="F131" s="1579">
        <v>47.991999999999997</v>
      </c>
      <c r="G131" s="1581">
        <v>11.848000000000001</v>
      </c>
      <c r="H131" s="1579">
        <f t="shared" si="98"/>
        <v>82.165999999999997</v>
      </c>
      <c r="I131" s="1579">
        <f t="shared" si="98"/>
        <v>49.439</v>
      </c>
      <c r="J131" s="1579">
        <f t="shared" si="98"/>
        <v>47.991999999999997</v>
      </c>
      <c r="K131" s="1581">
        <f t="shared" si="98"/>
        <v>11.848000000000001</v>
      </c>
      <c r="L131" s="1175"/>
      <c r="M131" s="1580"/>
      <c r="N131" s="1581"/>
      <c r="O131" s="1578">
        <f t="shared" ref="O131:O155" si="99">D131+M131+N131</f>
        <v>82.165999999999997</v>
      </c>
      <c r="P131" s="1580">
        <f>E131</f>
        <v>49.439</v>
      </c>
      <c r="Q131" s="1579">
        <f>F131</f>
        <v>47.991999999999997</v>
      </c>
      <c r="R131" s="1579">
        <f>G131</f>
        <v>11.848000000000001</v>
      </c>
      <c r="S131" s="1580">
        <f t="shared" si="93"/>
        <v>0</v>
      </c>
      <c r="T131" s="1579">
        <f t="shared" si="94"/>
        <v>0</v>
      </c>
      <c r="U131" s="1579">
        <f t="shared" si="95"/>
        <v>0</v>
      </c>
      <c r="V131" s="1578">
        <f t="shared" si="97"/>
        <v>-32.726999999999997</v>
      </c>
      <c r="W131" s="1175"/>
      <c r="X131" s="1580">
        <f t="shared" si="96"/>
        <v>49.439</v>
      </c>
      <c r="Y131" s="1579">
        <f>E131</f>
        <v>49.439</v>
      </c>
      <c r="Z131" s="1580">
        <f t="shared" si="86"/>
        <v>0</v>
      </c>
      <c r="AA131" s="1586">
        <f t="shared" si="85"/>
        <v>0</v>
      </c>
      <c r="AB131" s="1574"/>
      <c r="AC131" s="933"/>
    </row>
    <row r="132" spans="1:37">
      <c r="A132" s="1207" t="s">
        <v>1351</v>
      </c>
      <c r="B132" s="859"/>
      <c r="C132" s="1578">
        <v>78.77</v>
      </c>
      <c r="D132" s="1580">
        <f>47.199</f>
        <v>47.198999999999998</v>
      </c>
      <c r="E132" s="1579">
        <v>77.463999999999999</v>
      </c>
      <c r="F132" s="1579">
        <v>70.025000000000006</v>
      </c>
      <c r="G132" s="1581">
        <v>69.884</v>
      </c>
      <c r="H132" s="1579">
        <v>62.376999999999995</v>
      </c>
      <c r="I132" s="1579">
        <v>87.463999999999999</v>
      </c>
      <c r="J132" s="1579">
        <v>85.025000000000006</v>
      </c>
      <c r="K132" s="1581">
        <v>84.884</v>
      </c>
      <c r="L132" s="1175"/>
      <c r="M132" s="1580"/>
      <c r="N132" s="1581">
        <v>15.178000000000001</v>
      </c>
      <c r="O132" s="1578">
        <f t="shared" si="99"/>
        <v>62.376999999999995</v>
      </c>
      <c r="P132" s="1580">
        <v>65.625242749229216</v>
      </c>
      <c r="Q132" s="1579">
        <v>69.782776645967346</v>
      </c>
      <c r="R132" s="1579">
        <v>75.152266740669475</v>
      </c>
      <c r="S132" s="1580">
        <f t="shared" si="93"/>
        <v>11.838757250770783</v>
      </c>
      <c r="T132" s="1579">
        <f t="shared" si="94"/>
        <v>0.24222335403266015</v>
      </c>
      <c r="U132" s="1579">
        <f t="shared" si="95"/>
        <v>-5.2682667406694748</v>
      </c>
      <c r="V132" s="1578">
        <f t="shared" si="97"/>
        <v>3.2482427492292203</v>
      </c>
      <c r="W132" s="1175"/>
      <c r="X132" s="1580">
        <f t="shared" si="96"/>
        <v>65.625242749229216</v>
      </c>
      <c r="Y132" s="1579">
        <f>E132</f>
        <v>77.463999999999999</v>
      </c>
      <c r="Z132" s="1580">
        <f t="shared" si="86"/>
        <v>11.838757250770783</v>
      </c>
      <c r="AA132" s="1586">
        <f t="shared" si="85"/>
        <v>1.4095204142118643E-2</v>
      </c>
      <c r="AB132" s="1574"/>
      <c r="AC132" s="933"/>
    </row>
    <row r="133" spans="1:37">
      <c r="A133" s="1207" t="s">
        <v>1350</v>
      </c>
      <c r="B133" s="859"/>
      <c r="C133" s="1578">
        <f>234.405-173.64-30.642</f>
        <v>30.123000000000015</v>
      </c>
      <c r="D133" s="1580">
        <f>60.05-9.323</f>
        <v>50.726999999999997</v>
      </c>
      <c r="E133" s="1579">
        <v>112.59</v>
      </c>
      <c r="F133" s="1579">
        <v>117.695369</v>
      </c>
      <c r="G133" s="1581">
        <v>60.222999999999999</v>
      </c>
      <c r="H133" s="1579">
        <f>D133</f>
        <v>50.726999999999997</v>
      </c>
      <c r="I133" s="1579">
        <f>E133</f>
        <v>112.59</v>
      </c>
      <c r="J133" s="1579">
        <f>F133</f>
        <v>117.695369</v>
      </c>
      <c r="K133" s="1581">
        <f>G133</f>
        <v>60.222999999999999</v>
      </c>
      <c r="L133" s="1175"/>
      <c r="M133" s="1580"/>
      <c r="N133" s="1581"/>
      <c r="O133" s="1578">
        <f t="shared" si="99"/>
        <v>50.726999999999997</v>
      </c>
      <c r="P133" s="1580">
        <v>53.045383980218872</v>
      </c>
      <c r="Q133" s="1579">
        <v>55.960210656282015</v>
      </c>
      <c r="R133" s="1579">
        <v>59.837875471187502</v>
      </c>
      <c r="S133" s="1580">
        <f t="shared" si="93"/>
        <v>59.544616019781131</v>
      </c>
      <c r="T133" s="1579">
        <f t="shared" si="94"/>
        <v>61.735158343717984</v>
      </c>
      <c r="U133" s="1579">
        <f t="shared" si="95"/>
        <v>0.38512452881249715</v>
      </c>
      <c r="V133" s="1578">
        <f t="shared" si="97"/>
        <v>2.3183839802188757</v>
      </c>
      <c r="W133" s="1175"/>
      <c r="X133" s="1580">
        <f t="shared" si="96"/>
        <v>53.045383980218872</v>
      </c>
      <c r="Y133" s="1579">
        <f>E133</f>
        <v>112.59</v>
      </c>
      <c r="Z133" s="1580">
        <f t="shared" si="86"/>
        <v>59.544616019781131</v>
      </c>
      <c r="AA133" s="1586">
        <f t="shared" si="85"/>
        <v>7.0893718030094699E-2</v>
      </c>
      <c r="AB133" s="1574"/>
      <c r="AC133" s="933"/>
    </row>
    <row r="134" spans="1:37">
      <c r="A134" s="1207" t="s">
        <v>1349</v>
      </c>
      <c r="B134" s="859"/>
      <c r="C134" s="1578">
        <v>119.182</v>
      </c>
      <c r="D134" s="1580">
        <v>0</v>
      </c>
      <c r="E134" s="1579">
        <v>0</v>
      </c>
      <c r="F134" s="1579">
        <v>0</v>
      </c>
      <c r="G134" s="1581">
        <v>0</v>
      </c>
      <c r="H134" s="1577">
        <v>112.96334561850635</v>
      </c>
      <c r="I134" s="1577">
        <v>112.96334561850635</v>
      </c>
      <c r="J134" s="1577">
        <v>112.96334561850635</v>
      </c>
      <c r="K134" s="1587">
        <v>112.96334561850635</v>
      </c>
      <c r="L134" s="1175"/>
      <c r="M134" s="1580"/>
      <c r="N134" s="1581">
        <v>112.96334561850635</v>
      </c>
      <c r="O134" s="1578">
        <f t="shared" si="99"/>
        <v>112.96334561850635</v>
      </c>
      <c r="P134" s="1580">
        <v>118.12612699398436</v>
      </c>
      <c r="Q134" s="1579">
        <v>124.61711942850961</v>
      </c>
      <c r="R134" s="1579">
        <v>133.25224452321046</v>
      </c>
      <c r="S134" s="1580">
        <f t="shared" si="93"/>
        <v>-118.12612699398436</v>
      </c>
      <c r="T134" s="1579">
        <f t="shared" si="94"/>
        <v>-124.61711942850961</v>
      </c>
      <c r="U134" s="1579">
        <f t="shared" si="95"/>
        <v>-133.25224452321046</v>
      </c>
      <c r="V134" s="1578">
        <f t="shared" si="97"/>
        <v>5.162781375478005</v>
      </c>
      <c r="W134" s="1175"/>
      <c r="X134" s="1580">
        <f t="shared" si="96"/>
        <v>118.12612699398436</v>
      </c>
      <c r="Y134" s="1579">
        <f>X134</f>
        <v>118.12612699398436</v>
      </c>
      <c r="Z134" s="1580">
        <f t="shared" si="86"/>
        <v>0</v>
      </c>
      <c r="AA134" s="1586">
        <f t="shared" si="85"/>
        <v>0</v>
      </c>
      <c r="AB134" s="1574"/>
      <c r="AC134" s="933"/>
    </row>
    <row r="135" spans="1:37" s="1601" customFormat="1">
      <c r="A135" s="1207" t="s">
        <v>1371</v>
      </c>
      <c r="B135" s="859"/>
      <c r="C135" s="1578">
        <f>C46</f>
        <v>173.786</v>
      </c>
      <c r="D135" s="1584">
        <f>D46</f>
        <v>217.142</v>
      </c>
      <c r="E135" s="1579">
        <f>E46</f>
        <v>227.72499999999999</v>
      </c>
      <c r="F135" s="1579">
        <f>F46</f>
        <v>228.797</v>
      </c>
      <c r="G135" s="1581">
        <f>G46</f>
        <v>227.69399999999999</v>
      </c>
      <c r="H135" s="1579">
        <f>D135</f>
        <v>217.142</v>
      </c>
      <c r="I135" s="1577">
        <f>E135</f>
        <v>227.72499999999999</v>
      </c>
      <c r="J135" s="1577">
        <f>F135</f>
        <v>228.797</v>
      </c>
      <c r="K135" s="1587">
        <f>G135</f>
        <v>227.69399999999999</v>
      </c>
      <c r="L135" s="1175"/>
      <c r="M135" s="1580"/>
      <c r="N135" s="1581"/>
      <c r="O135" s="1578">
        <f t="shared" si="99"/>
        <v>217.142</v>
      </c>
      <c r="P135" s="1580">
        <v>227.0660746393969</v>
      </c>
      <c r="Q135" s="1579">
        <v>239.54328192730478</v>
      </c>
      <c r="R135" s="1579">
        <v>256.1420142244682</v>
      </c>
      <c r="S135" s="1580">
        <f t="shared" si="93"/>
        <v>0.65892536060309226</v>
      </c>
      <c r="T135" s="1579">
        <f t="shared" si="94"/>
        <v>-10.746281927304778</v>
      </c>
      <c r="U135" s="1579">
        <f t="shared" si="95"/>
        <v>-28.44801422446821</v>
      </c>
      <c r="V135" s="1578">
        <f t="shared" si="97"/>
        <v>9.9240746393969062</v>
      </c>
      <c r="W135" s="1175"/>
      <c r="X135" s="1576">
        <f t="shared" si="96"/>
        <v>227.0660746393969</v>
      </c>
      <c r="Y135" s="1577">
        <f>E135</f>
        <v>227.72499999999999</v>
      </c>
      <c r="Z135" s="1576">
        <f t="shared" si="86"/>
        <v>0.65892536060309226</v>
      </c>
      <c r="AA135" s="1575">
        <f t="shared" si="85"/>
        <v>7.8451540777348355E-4</v>
      </c>
      <c r="AB135" s="1574"/>
      <c r="AC135" s="933"/>
      <c r="AD135" s="1574"/>
      <c r="AE135" s="1574"/>
      <c r="AF135" s="1574"/>
      <c r="AG135" s="1574"/>
      <c r="AH135" s="1574"/>
      <c r="AI135" s="1574"/>
      <c r="AJ135" s="1574"/>
      <c r="AK135" s="1574"/>
    </row>
    <row r="136" spans="1:37" s="1601" customFormat="1">
      <c r="A136" s="1207" t="s">
        <v>1370</v>
      </c>
      <c r="B136" s="859"/>
      <c r="C136" s="1585">
        <v>1.43</v>
      </c>
      <c r="D136" s="1584">
        <v>1.238</v>
      </c>
      <c r="E136" s="1583">
        <v>0</v>
      </c>
      <c r="F136" s="1583">
        <v>0</v>
      </c>
      <c r="G136" s="1582">
        <v>0</v>
      </c>
      <c r="H136" s="1583">
        <f>D136</f>
        <v>1.238</v>
      </c>
      <c r="I136" s="1603">
        <v>1.238</v>
      </c>
      <c r="J136" s="1603">
        <v>1.238</v>
      </c>
      <c r="K136" s="1602">
        <v>1.238</v>
      </c>
      <c r="L136" s="1175"/>
      <c r="M136" s="1580"/>
      <c r="N136" s="1581"/>
      <c r="O136" s="1578">
        <f t="shared" si="99"/>
        <v>1.238</v>
      </c>
      <c r="P136" s="1580">
        <v>1.2945805067816145</v>
      </c>
      <c r="Q136" s="1579">
        <v>1.3657172865037777</v>
      </c>
      <c r="R136" s="1579">
        <v>1.4603522745940056</v>
      </c>
      <c r="S136" s="1580">
        <f t="shared" si="93"/>
        <v>-1.2945805067816145</v>
      </c>
      <c r="T136" s="1579">
        <f t="shared" si="94"/>
        <v>-1.3657172865037777</v>
      </c>
      <c r="U136" s="1579">
        <f t="shared" si="95"/>
        <v>-1.4603522745940056</v>
      </c>
      <c r="V136" s="1578">
        <f t="shared" si="97"/>
        <v>5.6580506781614526E-2</v>
      </c>
      <c r="W136" s="1175"/>
      <c r="X136" s="1576">
        <f t="shared" si="96"/>
        <v>1.2945805067816145</v>
      </c>
      <c r="Y136" s="1577">
        <f>X136</f>
        <v>1.2945805067816145</v>
      </c>
      <c r="Z136" s="1576">
        <f t="shared" si="86"/>
        <v>0</v>
      </c>
      <c r="AA136" s="1575">
        <f t="shared" si="85"/>
        <v>0</v>
      </c>
      <c r="AB136" s="1574"/>
      <c r="AC136" s="933"/>
      <c r="AD136" s="1574"/>
      <c r="AE136" s="1574"/>
      <c r="AF136" s="1574"/>
      <c r="AG136" s="1574"/>
      <c r="AH136" s="1574"/>
      <c r="AI136" s="1574"/>
      <c r="AJ136" s="1574"/>
      <c r="AK136" s="1574"/>
    </row>
    <row r="137" spans="1:37" s="1601" customFormat="1">
      <c r="A137" s="1207" t="s">
        <v>1348</v>
      </c>
      <c r="B137" s="859"/>
      <c r="C137" s="1585">
        <f>2.08</f>
        <v>2.08</v>
      </c>
      <c r="D137" s="1584">
        <f>45.413-16.033</f>
        <v>29.379999999999995</v>
      </c>
      <c r="E137" s="1583">
        <v>29.533000000000001</v>
      </c>
      <c r="F137" s="1583">
        <f>29.036</f>
        <v>29.036000000000001</v>
      </c>
      <c r="G137" s="1582">
        <f>32.931</f>
        <v>32.930999999999997</v>
      </c>
      <c r="H137" s="1583">
        <f>D137</f>
        <v>29.379999999999995</v>
      </c>
      <c r="I137" s="1583">
        <f t="shared" ref="I137:K138" si="100">E137</f>
        <v>29.533000000000001</v>
      </c>
      <c r="J137" s="1583">
        <f t="shared" si="100"/>
        <v>29.036000000000001</v>
      </c>
      <c r="K137" s="1582">
        <f t="shared" si="100"/>
        <v>32.930999999999997</v>
      </c>
      <c r="L137" s="1175"/>
      <c r="M137" s="1580"/>
      <c r="N137" s="1581"/>
      <c r="O137" s="1578">
        <f t="shared" si="99"/>
        <v>29.379999999999995</v>
      </c>
      <c r="P137" s="1580">
        <v>30.722758715059637</v>
      </c>
      <c r="Q137" s="1579">
        <v>32.410964359839241</v>
      </c>
      <c r="R137" s="1579">
        <v>34.656825385760804</v>
      </c>
      <c r="S137" s="1580">
        <f t="shared" si="93"/>
        <v>-1.1897587150596358</v>
      </c>
      <c r="T137" s="1579">
        <f t="shared" si="94"/>
        <v>-3.3749643598392396</v>
      </c>
      <c r="U137" s="1579">
        <f t="shared" si="95"/>
        <v>-1.7258253857608068</v>
      </c>
      <c r="V137" s="1578">
        <f t="shared" si="97"/>
        <v>1.3427587150596416</v>
      </c>
      <c r="W137" s="1175"/>
      <c r="X137" s="1576">
        <f t="shared" si="96"/>
        <v>30.722758715059637</v>
      </c>
      <c r="Y137" s="1577">
        <f>E137</f>
        <v>29.533000000000001</v>
      </c>
      <c r="Z137" s="1576">
        <f t="shared" si="86"/>
        <v>-1.1897587150596358</v>
      </c>
      <c r="AA137" s="1575">
        <f t="shared" si="85"/>
        <v>-1.416524692026986E-3</v>
      </c>
      <c r="AB137" s="1574"/>
      <c r="AC137" s="933"/>
      <c r="AD137" s="1574"/>
      <c r="AE137" s="1574"/>
      <c r="AF137" s="1574"/>
      <c r="AG137" s="1574"/>
      <c r="AH137" s="1574"/>
      <c r="AI137" s="1574"/>
      <c r="AJ137" s="1574"/>
      <c r="AK137" s="1574"/>
    </row>
    <row r="138" spans="1:37" s="1601" customFormat="1">
      <c r="A138" s="1207" t="s">
        <v>1360</v>
      </c>
      <c r="B138" s="859"/>
      <c r="C138" s="1578">
        <v>0</v>
      </c>
      <c r="D138" s="1584">
        <v>32.49</v>
      </c>
      <c r="E138" s="1579">
        <v>215.15199999999999</v>
      </c>
      <c r="F138" s="1579">
        <f>93.82</f>
        <v>93.82</v>
      </c>
      <c r="G138" s="1581">
        <v>9.7000000000000003E-2</v>
      </c>
      <c r="H138" s="1579">
        <f>D138</f>
        <v>32.49</v>
      </c>
      <c r="I138" s="1579">
        <f t="shared" si="100"/>
        <v>215.15199999999999</v>
      </c>
      <c r="J138" s="1579">
        <f t="shared" si="100"/>
        <v>93.82</v>
      </c>
      <c r="K138" s="1581">
        <f t="shared" si="100"/>
        <v>9.7000000000000003E-2</v>
      </c>
      <c r="L138" s="1175"/>
      <c r="M138" s="1580"/>
      <c r="N138" s="1581"/>
      <c r="O138" s="1578">
        <f t="shared" si="99"/>
        <v>32.49</v>
      </c>
      <c r="P138" s="1580">
        <f>E138</f>
        <v>215.15199999999999</v>
      </c>
      <c r="Q138" s="1579">
        <f>F138</f>
        <v>93.82</v>
      </c>
      <c r="R138" s="1579">
        <f>G138</f>
        <v>9.7000000000000003E-2</v>
      </c>
      <c r="S138" s="1580">
        <f t="shared" si="93"/>
        <v>0</v>
      </c>
      <c r="T138" s="1579">
        <f t="shared" si="94"/>
        <v>0</v>
      </c>
      <c r="U138" s="1579">
        <f t="shared" si="95"/>
        <v>0</v>
      </c>
      <c r="V138" s="1578">
        <f t="shared" si="97"/>
        <v>182.66199999999998</v>
      </c>
      <c r="W138" s="1175"/>
      <c r="X138" s="1576">
        <f t="shared" si="96"/>
        <v>215.15199999999999</v>
      </c>
      <c r="Y138" s="1577">
        <f>E138</f>
        <v>215.15199999999999</v>
      </c>
      <c r="Z138" s="1576">
        <f t="shared" si="86"/>
        <v>0</v>
      </c>
      <c r="AA138" s="1575">
        <f t="shared" si="85"/>
        <v>0</v>
      </c>
      <c r="AB138" s="1574"/>
      <c r="AC138" s="933"/>
      <c r="AD138" s="1574"/>
      <c r="AE138" s="1574"/>
      <c r="AF138" s="1574"/>
      <c r="AG138" s="1574"/>
      <c r="AH138" s="1574"/>
      <c r="AI138" s="1574"/>
      <c r="AJ138" s="1574"/>
      <c r="AK138" s="1574"/>
    </row>
    <row r="139" spans="1:37" s="1601" customFormat="1">
      <c r="A139" s="1207" t="s">
        <v>1369</v>
      </c>
      <c r="B139" s="859"/>
      <c r="C139" s="1578">
        <v>0</v>
      </c>
      <c r="D139" s="1584">
        <v>0</v>
      </c>
      <c r="E139" s="1579">
        <v>15</v>
      </c>
      <c r="F139" s="1579">
        <v>15</v>
      </c>
      <c r="G139" s="1581">
        <v>15</v>
      </c>
      <c r="H139" s="1579">
        <f>D139</f>
        <v>0</v>
      </c>
      <c r="I139" s="1579">
        <v>0</v>
      </c>
      <c r="J139" s="1579">
        <v>0</v>
      </c>
      <c r="K139" s="1581">
        <v>0</v>
      </c>
      <c r="L139" s="1175"/>
      <c r="M139" s="1580"/>
      <c r="N139" s="1581"/>
      <c r="O139" s="1578">
        <f t="shared" si="99"/>
        <v>0</v>
      </c>
      <c r="P139" s="1580">
        <v>0</v>
      </c>
      <c r="Q139" s="1579">
        <v>0</v>
      </c>
      <c r="R139" s="1579">
        <v>0</v>
      </c>
      <c r="S139" s="1580">
        <f t="shared" si="93"/>
        <v>15</v>
      </c>
      <c r="T139" s="1579">
        <f t="shared" si="94"/>
        <v>15</v>
      </c>
      <c r="U139" s="1579">
        <f t="shared" si="95"/>
        <v>15</v>
      </c>
      <c r="V139" s="1578">
        <f t="shared" si="97"/>
        <v>0</v>
      </c>
      <c r="W139" s="1175"/>
      <c r="X139" s="1576">
        <f t="shared" si="96"/>
        <v>0</v>
      </c>
      <c r="Y139" s="1577">
        <f>E139</f>
        <v>15</v>
      </c>
      <c r="Z139" s="1576">
        <f t="shared" si="86"/>
        <v>15</v>
      </c>
      <c r="AA139" s="1575">
        <f t="shared" si="85"/>
        <v>1.7858974354594038E-2</v>
      </c>
      <c r="AB139" s="1574"/>
      <c r="AC139" s="933"/>
      <c r="AD139" s="1574"/>
      <c r="AE139" s="1574"/>
      <c r="AF139" s="1574"/>
      <c r="AG139" s="1574"/>
      <c r="AH139" s="1574"/>
      <c r="AI139" s="1574"/>
      <c r="AJ139" s="1574"/>
      <c r="AK139" s="1574"/>
    </row>
    <row r="140" spans="1:37">
      <c r="A140" s="1207" t="s">
        <v>1285</v>
      </c>
      <c r="B140" s="859"/>
      <c r="C140" s="1578">
        <f>C125-SUM(C126:C139)</f>
        <v>1448.9901778300023</v>
      </c>
      <c r="D140" s="1580">
        <f>D125-SUM(D126:D139)</f>
        <v>1230.932</v>
      </c>
      <c r="E140" s="1579">
        <f>E125-SUM(E126:E139)</f>
        <v>1159.1752173700004</v>
      </c>
      <c r="F140" s="1579">
        <f>F125-SUM(F126:F139)</f>
        <v>1167.7599631599996</v>
      </c>
      <c r="G140" s="1581">
        <f>G125-SUM(G126:G139)</f>
        <v>1250.1749694700002</v>
      </c>
      <c r="H140" s="1579">
        <v>1369.932</v>
      </c>
      <c r="I140" s="1579">
        <v>1315.4752173700006</v>
      </c>
      <c r="J140" s="1579">
        <v>1315.5548730893884</v>
      </c>
      <c r="K140" s="1581">
        <v>1476.9075635717888</v>
      </c>
      <c r="L140" s="1175"/>
      <c r="M140" s="1580">
        <v>-12</v>
      </c>
      <c r="N140" s="1581">
        <v>139</v>
      </c>
      <c r="O140" s="1578">
        <f t="shared" si="99"/>
        <v>1357.932</v>
      </c>
      <c r="P140" s="1580">
        <v>1419.9937776534503</v>
      </c>
      <c r="Q140" s="1579">
        <v>1498.0219760069854</v>
      </c>
      <c r="R140" s="1579">
        <v>1601.8247858998282</v>
      </c>
      <c r="S140" s="1580">
        <f t="shared" si="93"/>
        <v>-260.81856028344987</v>
      </c>
      <c r="T140" s="1579">
        <f t="shared" si="94"/>
        <v>-330.26201284698573</v>
      </c>
      <c r="U140" s="1579">
        <f t="shared" si="95"/>
        <v>-351.64981642982798</v>
      </c>
      <c r="V140" s="1578">
        <f t="shared" si="97"/>
        <v>62.061777653450235</v>
      </c>
      <c r="W140" s="1175"/>
      <c r="X140" s="1580">
        <f t="shared" si="96"/>
        <v>1419.9937776534503</v>
      </c>
      <c r="Y140" s="1579">
        <f>E140</f>
        <v>1159.1752173700004</v>
      </c>
      <c r="Z140" s="1580">
        <f t="shared" si="86"/>
        <v>-260.81856028344987</v>
      </c>
      <c r="AA140" s="1586">
        <f t="shared" si="85"/>
        <v>-0.31053013195361806</v>
      </c>
      <c r="AB140" s="1600"/>
      <c r="AC140" s="933"/>
    </row>
    <row r="141" spans="1:37" s="1477" customFormat="1">
      <c r="A141" s="1445" t="s">
        <v>50</v>
      </c>
      <c r="B141" s="1589" t="s">
        <v>1375</v>
      </c>
      <c r="C141" s="1595">
        <v>717.68100000000004</v>
      </c>
      <c r="D141" s="1599">
        <v>565.79999999999995</v>
      </c>
      <c r="E141" s="1598">
        <v>280.89999999999998</v>
      </c>
      <c r="F141" s="1598">
        <v>364.8</v>
      </c>
      <c r="G141" s="1597">
        <v>328</v>
      </c>
      <c r="H141" s="1598">
        <f>SUM(H142:H149)</f>
        <v>530.03584805706646</v>
      </c>
      <c r="I141" s="1598">
        <f>SUM(I142:I149)</f>
        <v>480.1561590725064</v>
      </c>
      <c r="J141" s="1598">
        <f>SUM(J142:J149)</f>
        <v>465.70372653445111</v>
      </c>
      <c r="K141" s="1597">
        <f>SUM(K142:K149)</f>
        <v>456.29869713724781</v>
      </c>
      <c r="L141" s="1594"/>
      <c r="M141" s="1592">
        <f>SUM(M142:M149)</f>
        <v>-5.7880000000000003</v>
      </c>
      <c r="N141" s="1596">
        <f>SUM(N142:N149)</f>
        <v>-35.764151942933481</v>
      </c>
      <c r="O141" s="1595">
        <f t="shared" si="99"/>
        <v>524.24784805706645</v>
      </c>
      <c r="P141" s="1592">
        <f>SUM(P142:P149)</f>
        <v>493.43309500581245</v>
      </c>
      <c r="Q141" s="1593">
        <f>SUM(Q142:Q149)</f>
        <v>464.34428923469011</v>
      </c>
      <c r="R141" s="1593">
        <f>SUM(R142:R149)</f>
        <v>526.02143696122653</v>
      </c>
      <c r="S141" s="1592">
        <f t="shared" si="93"/>
        <v>-212.53309500581247</v>
      </c>
      <c r="T141" s="1593">
        <f t="shared" si="94"/>
        <v>-99.544289234690098</v>
      </c>
      <c r="U141" s="1593">
        <f t="shared" si="95"/>
        <v>-198.02143696122653</v>
      </c>
      <c r="V141" s="1595">
        <f t="shared" si="97"/>
        <v>-30.814753051254002</v>
      </c>
      <c r="W141" s="1594"/>
      <c r="X141" s="1592">
        <f>SUM(X142:X149)</f>
        <v>493.43309500581245</v>
      </c>
      <c r="Y141" s="1593">
        <f>SUM(Y142:Y149)</f>
        <v>280.89999999999998</v>
      </c>
      <c r="Z141" s="1592">
        <f t="shared" si="86"/>
        <v>-212.53309500581247</v>
      </c>
      <c r="AA141" s="1591">
        <f t="shared" si="85"/>
        <v>-0.2530415395474202</v>
      </c>
      <c r="AB141" s="1590"/>
      <c r="AC141" s="933"/>
    </row>
    <row r="142" spans="1:37">
      <c r="A142" s="1207" t="s">
        <v>1159</v>
      </c>
      <c r="B142" s="1589"/>
      <c r="C142" s="1578">
        <v>135.58061354000006</v>
      </c>
      <c r="D142" s="1580">
        <v>95.614999999999995</v>
      </c>
      <c r="E142" s="1579">
        <v>90.277186999999998</v>
      </c>
      <c r="F142" s="1579">
        <v>147.22367399999999</v>
      </c>
      <c r="G142" s="1581">
        <v>165.69210000000001</v>
      </c>
      <c r="H142" s="1579">
        <f>O142</f>
        <v>89.374848057066515</v>
      </c>
      <c r="I142" s="1579">
        <f>P142</f>
        <v>76.147346072506409</v>
      </c>
      <c r="J142" s="1579">
        <f>Q142</f>
        <v>75.741400534451088</v>
      </c>
      <c r="K142" s="1581">
        <f>R142</f>
        <v>121.6047971372478</v>
      </c>
      <c r="L142" s="1175"/>
      <c r="M142" s="1580"/>
      <c r="N142" s="1581">
        <f>O216-D216</f>
        <v>-6.2401519429334797</v>
      </c>
      <c r="O142" s="1578">
        <f t="shared" si="99"/>
        <v>89.374848057066515</v>
      </c>
      <c r="P142" s="1580">
        <f>P216</f>
        <v>76.147346072506409</v>
      </c>
      <c r="Q142" s="1579">
        <f>Q216</f>
        <v>75.741400534451088</v>
      </c>
      <c r="R142" s="1579">
        <f>R216</f>
        <v>121.6047971372478</v>
      </c>
      <c r="S142" s="1580">
        <f t="shared" si="93"/>
        <v>14.129840927493589</v>
      </c>
      <c r="T142" s="1579">
        <f t="shared" si="94"/>
        <v>71.4822734655489</v>
      </c>
      <c r="U142" s="1579">
        <f t="shared" si="95"/>
        <v>44.08730286275221</v>
      </c>
      <c r="V142" s="1578">
        <f t="shared" si="97"/>
        <v>-13.227501984560107</v>
      </c>
      <c r="W142" s="1175"/>
      <c r="X142" s="1580">
        <f t="shared" ref="X142:X149" si="101">P142</f>
        <v>76.147346072506409</v>
      </c>
      <c r="Y142" s="1579">
        <f t="shared" ref="Y142:Y149" si="102">E142</f>
        <v>90.277186999999998</v>
      </c>
      <c r="Z142" s="1580">
        <f t="shared" si="86"/>
        <v>14.129840927493589</v>
      </c>
      <c r="AA142" s="1586">
        <f t="shared" ref="AA142:AA172" si="103">Z142/$Y$172*100</f>
        <v>1.6822964450573418E-2</v>
      </c>
      <c r="AB142" s="1574"/>
      <c r="AC142" s="933"/>
    </row>
    <row r="143" spans="1:37">
      <c r="A143" s="1207" t="s">
        <v>1354</v>
      </c>
      <c r="B143" s="859"/>
      <c r="C143" s="1578">
        <v>4.2789999999999999</v>
      </c>
      <c r="D143" s="1580">
        <f>17.4</f>
        <v>17.399999999999999</v>
      </c>
      <c r="E143" s="1579">
        <v>0</v>
      </c>
      <c r="F143" s="1579">
        <v>0</v>
      </c>
      <c r="G143" s="1581">
        <v>0</v>
      </c>
      <c r="H143" s="1579">
        <f t="shared" ref="H143:K144" si="104">D143</f>
        <v>17.399999999999999</v>
      </c>
      <c r="I143" s="1579">
        <f t="shared" si="104"/>
        <v>0</v>
      </c>
      <c r="J143" s="1579">
        <f t="shared" si="104"/>
        <v>0</v>
      </c>
      <c r="K143" s="1581">
        <f t="shared" si="104"/>
        <v>0</v>
      </c>
      <c r="L143" s="1175"/>
      <c r="M143" s="1580"/>
      <c r="N143" s="1581"/>
      <c r="O143" s="1578">
        <f t="shared" si="99"/>
        <v>17.399999999999999</v>
      </c>
      <c r="P143" s="1580">
        <v>0</v>
      </c>
      <c r="Q143" s="1579">
        <v>0</v>
      </c>
      <c r="R143" s="1579">
        <v>0</v>
      </c>
      <c r="S143" s="1580">
        <f t="shared" si="93"/>
        <v>0</v>
      </c>
      <c r="T143" s="1579">
        <f t="shared" si="94"/>
        <v>0</v>
      </c>
      <c r="U143" s="1579">
        <f t="shared" si="95"/>
        <v>0</v>
      </c>
      <c r="V143" s="1578">
        <f t="shared" si="97"/>
        <v>-17.399999999999999</v>
      </c>
      <c r="W143" s="1175"/>
      <c r="X143" s="1580">
        <f t="shared" si="101"/>
        <v>0</v>
      </c>
      <c r="Y143" s="1579">
        <f t="shared" si="102"/>
        <v>0</v>
      </c>
      <c r="Z143" s="1580">
        <f t="shared" si="86"/>
        <v>0</v>
      </c>
      <c r="AA143" s="1586">
        <f t="shared" si="103"/>
        <v>0</v>
      </c>
      <c r="AB143" s="1574"/>
      <c r="AC143" s="933"/>
    </row>
    <row r="144" spans="1:37">
      <c r="A144" s="1207" t="s">
        <v>1353</v>
      </c>
      <c r="B144" s="859"/>
      <c r="C144" s="1578">
        <v>41.7</v>
      </c>
      <c r="D144" s="1580">
        <v>0</v>
      </c>
      <c r="E144" s="1579">
        <v>0</v>
      </c>
      <c r="F144" s="1579">
        <v>0</v>
      </c>
      <c r="G144" s="1581">
        <v>0</v>
      </c>
      <c r="H144" s="1579">
        <f t="shared" si="104"/>
        <v>0</v>
      </c>
      <c r="I144" s="1579">
        <f t="shared" si="104"/>
        <v>0</v>
      </c>
      <c r="J144" s="1579">
        <f t="shared" si="104"/>
        <v>0</v>
      </c>
      <c r="K144" s="1581">
        <f t="shared" si="104"/>
        <v>0</v>
      </c>
      <c r="L144" s="1175"/>
      <c r="M144" s="1580"/>
      <c r="N144" s="1581"/>
      <c r="O144" s="1578">
        <f t="shared" si="99"/>
        <v>0</v>
      </c>
      <c r="P144" s="1580">
        <f>E144</f>
        <v>0</v>
      </c>
      <c r="Q144" s="1579">
        <f>F144</f>
        <v>0</v>
      </c>
      <c r="R144" s="1579">
        <f>G144</f>
        <v>0</v>
      </c>
      <c r="S144" s="1580">
        <f t="shared" si="93"/>
        <v>0</v>
      </c>
      <c r="T144" s="1579">
        <f t="shared" si="94"/>
        <v>0</v>
      </c>
      <c r="U144" s="1579">
        <f t="shared" si="95"/>
        <v>0</v>
      </c>
      <c r="V144" s="1578">
        <f t="shared" si="97"/>
        <v>0</v>
      </c>
      <c r="W144" s="1175"/>
      <c r="X144" s="1580">
        <f t="shared" si="101"/>
        <v>0</v>
      </c>
      <c r="Y144" s="1579">
        <f t="shared" si="102"/>
        <v>0</v>
      </c>
      <c r="Z144" s="1580">
        <f t="shared" si="86"/>
        <v>0</v>
      </c>
      <c r="AA144" s="1586">
        <f t="shared" si="103"/>
        <v>0</v>
      </c>
      <c r="AB144" s="1574"/>
      <c r="AC144" s="933"/>
    </row>
    <row r="145" spans="1:29">
      <c r="A145" s="1207" t="s">
        <v>1299</v>
      </c>
      <c r="B145" s="859"/>
      <c r="C145" s="1578">
        <v>33.51</v>
      </c>
      <c r="D145" s="1580">
        <v>43.11</v>
      </c>
      <c r="E145" s="1579">
        <v>9.6</v>
      </c>
      <c r="F145" s="1579">
        <v>9.6</v>
      </c>
      <c r="G145" s="1581">
        <v>9.6</v>
      </c>
      <c r="H145" s="1579">
        <v>9.6000000000000014</v>
      </c>
      <c r="I145" s="1579">
        <f t="shared" ref="I145:K146" si="105">E145</f>
        <v>9.6</v>
      </c>
      <c r="J145" s="1579">
        <f t="shared" si="105"/>
        <v>9.6</v>
      </c>
      <c r="K145" s="1581">
        <f t="shared" si="105"/>
        <v>9.6</v>
      </c>
      <c r="L145" s="1175"/>
      <c r="M145" s="1580"/>
      <c r="N145" s="1581">
        <v>-33.51</v>
      </c>
      <c r="O145" s="1578">
        <f t="shared" si="99"/>
        <v>9.6000000000000014</v>
      </c>
      <c r="P145" s="1580">
        <f>O145</f>
        <v>9.6000000000000014</v>
      </c>
      <c r="Q145" s="1579">
        <f>P145</f>
        <v>9.6000000000000014</v>
      </c>
      <c r="R145" s="1579">
        <f>Q145</f>
        <v>9.6000000000000014</v>
      </c>
      <c r="S145" s="1580">
        <f t="shared" si="93"/>
        <v>0</v>
      </c>
      <c r="T145" s="1579">
        <f t="shared" si="94"/>
        <v>0</v>
      </c>
      <c r="U145" s="1579">
        <f t="shared" si="95"/>
        <v>0</v>
      </c>
      <c r="V145" s="1578">
        <f t="shared" si="97"/>
        <v>0</v>
      </c>
      <c r="W145" s="1175"/>
      <c r="X145" s="1580">
        <f t="shared" si="101"/>
        <v>9.6000000000000014</v>
      </c>
      <c r="Y145" s="1579">
        <f t="shared" si="102"/>
        <v>9.6</v>
      </c>
      <c r="Z145" s="1580">
        <f t="shared" si="86"/>
        <v>0</v>
      </c>
      <c r="AA145" s="1586">
        <f t="shared" si="103"/>
        <v>0</v>
      </c>
      <c r="AB145" s="1574"/>
      <c r="AC145" s="933"/>
    </row>
    <row r="146" spans="1:29">
      <c r="A146" s="1207" t="s">
        <v>1367</v>
      </c>
      <c r="B146" s="859"/>
      <c r="C146" s="1578">
        <v>5.7880000000000003</v>
      </c>
      <c r="D146" s="1584">
        <v>5.7880000000000003</v>
      </c>
      <c r="E146" s="1579">
        <v>5.7880000000000003</v>
      </c>
      <c r="F146" s="1175">
        <v>5.7880000000000003</v>
      </c>
      <c r="G146" s="1581">
        <v>5.7880000000000003</v>
      </c>
      <c r="H146" s="1579">
        <f>D146</f>
        <v>5.7880000000000003</v>
      </c>
      <c r="I146" s="1579">
        <f t="shared" si="105"/>
        <v>5.7880000000000003</v>
      </c>
      <c r="J146" s="1579">
        <f t="shared" si="105"/>
        <v>5.7880000000000003</v>
      </c>
      <c r="K146" s="1581">
        <f t="shared" si="105"/>
        <v>5.7880000000000003</v>
      </c>
      <c r="L146" s="1175"/>
      <c r="M146" s="1580">
        <v>-5.7880000000000003</v>
      </c>
      <c r="N146" s="1581"/>
      <c r="O146" s="1578">
        <f t="shared" si="99"/>
        <v>0</v>
      </c>
      <c r="P146" s="1580">
        <f>E146</f>
        <v>5.7880000000000003</v>
      </c>
      <c r="Q146" s="1579">
        <f>F146</f>
        <v>5.7880000000000003</v>
      </c>
      <c r="R146" s="1579">
        <f>G146</f>
        <v>5.7880000000000003</v>
      </c>
      <c r="S146" s="1580">
        <f t="shared" si="93"/>
        <v>0</v>
      </c>
      <c r="T146" s="1579">
        <f t="shared" si="94"/>
        <v>0</v>
      </c>
      <c r="U146" s="1579">
        <f t="shared" si="95"/>
        <v>0</v>
      </c>
      <c r="V146" s="1578">
        <f t="shared" si="97"/>
        <v>5.7880000000000003</v>
      </c>
      <c r="W146" s="1175"/>
      <c r="X146" s="1580">
        <f t="shared" si="101"/>
        <v>5.7880000000000003</v>
      </c>
      <c r="Y146" s="1579">
        <f t="shared" si="102"/>
        <v>5.7880000000000003</v>
      </c>
      <c r="Z146" s="1580">
        <f t="shared" ref="Z146:Z149" si="106">Y146-X146</f>
        <v>0</v>
      </c>
      <c r="AA146" s="1586">
        <f t="shared" si="103"/>
        <v>0</v>
      </c>
      <c r="AB146" s="1574"/>
      <c r="AC146" s="933"/>
    </row>
    <row r="147" spans="1:29">
      <c r="A147" s="1207" t="s">
        <v>1366</v>
      </c>
      <c r="B147" s="859"/>
      <c r="C147" s="1578">
        <f>243.287-0.754</f>
        <v>242.53300000000002</v>
      </c>
      <c r="D147" s="1584">
        <v>201</v>
      </c>
      <c r="E147" s="1579">
        <v>0</v>
      </c>
      <c r="F147" s="1175">
        <v>0</v>
      </c>
      <c r="G147" s="1581">
        <v>0</v>
      </c>
      <c r="H147" s="1579">
        <f>D147</f>
        <v>201</v>
      </c>
      <c r="I147" s="1579">
        <v>186</v>
      </c>
      <c r="J147" s="1579">
        <v>145</v>
      </c>
      <c r="K147" s="1581">
        <v>145</v>
      </c>
      <c r="L147" s="1175"/>
      <c r="M147" s="1580"/>
      <c r="N147" s="1581"/>
      <c r="O147" s="1578">
        <f t="shared" si="99"/>
        <v>201</v>
      </c>
      <c r="P147" s="1580">
        <f>170.57+15</f>
        <v>185.57</v>
      </c>
      <c r="Q147" s="1579">
        <f>145</f>
        <v>145</v>
      </c>
      <c r="R147" s="1579">
        <v>145</v>
      </c>
      <c r="S147" s="1580">
        <f t="shared" si="93"/>
        <v>-185.57</v>
      </c>
      <c r="T147" s="1579">
        <f t="shared" si="94"/>
        <v>-145</v>
      </c>
      <c r="U147" s="1579">
        <f t="shared" si="95"/>
        <v>-145</v>
      </c>
      <c r="V147" s="1578">
        <f t="shared" si="97"/>
        <v>-15.430000000000007</v>
      </c>
      <c r="W147" s="1175"/>
      <c r="X147" s="1580">
        <f t="shared" si="101"/>
        <v>185.57</v>
      </c>
      <c r="Y147" s="1579">
        <f t="shared" si="102"/>
        <v>0</v>
      </c>
      <c r="Z147" s="1580">
        <f t="shared" si="106"/>
        <v>-185.57</v>
      </c>
      <c r="AA147" s="1586">
        <f t="shared" si="103"/>
        <v>-0.22093932473213435</v>
      </c>
      <c r="AB147" s="1574"/>
      <c r="AC147" s="933"/>
    </row>
    <row r="148" spans="1:29">
      <c r="A148" s="1207" t="s">
        <v>1365</v>
      </c>
      <c r="B148" s="859"/>
      <c r="C148" s="1578">
        <v>6.6210000000000004</v>
      </c>
      <c r="D148" s="1584">
        <v>1.825</v>
      </c>
      <c r="E148" s="1579">
        <v>8.8740000000000006</v>
      </c>
      <c r="F148" s="1175">
        <v>9.5879999999999992</v>
      </c>
      <c r="G148" s="1581">
        <v>5.6239999999999997</v>
      </c>
      <c r="H148" s="1579">
        <f>D148</f>
        <v>1.825</v>
      </c>
      <c r="I148" s="1579">
        <f>E148</f>
        <v>8.8740000000000006</v>
      </c>
      <c r="J148" s="1579">
        <f>F148</f>
        <v>9.5879999999999992</v>
      </c>
      <c r="K148" s="1581">
        <f>G148</f>
        <v>5.6239999999999997</v>
      </c>
      <c r="L148" s="1175"/>
      <c r="M148" s="1580"/>
      <c r="N148" s="1581"/>
      <c r="O148" s="1578">
        <f t="shared" si="99"/>
        <v>1.825</v>
      </c>
      <c r="P148" s="1580">
        <v>1.9084082591893754</v>
      </c>
      <c r="Q148" s="1579">
        <v>2.0132746751772168</v>
      </c>
      <c r="R148" s="1579">
        <v>2.1527810186866403</v>
      </c>
      <c r="S148" s="1580">
        <f t="shared" si="93"/>
        <v>6.9655917408106252</v>
      </c>
      <c r="T148" s="1579">
        <f t="shared" si="94"/>
        <v>7.5747253248227828</v>
      </c>
      <c r="U148" s="1579">
        <f t="shared" si="95"/>
        <v>3.4712189813133594</v>
      </c>
      <c r="V148" s="1578">
        <f t="shared" si="97"/>
        <v>8.3408259189375444E-2</v>
      </c>
      <c r="W148" s="1175"/>
      <c r="X148" s="1580">
        <f t="shared" si="101"/>
        <v>1.9084082591893754</v>
      </c>
      <c r="Y148" s="1579">
        <f t="shared" si="102"/>
        <v>8.8740000000000006</v>
      </c>
      <c r="Z148" s="1580">
        <f t="shared" si="106"/>
        <v>6.9655917408106252</v>
      </c>
      <c r="AA148" s="1586">
        <f t="shared" si="103"/>
        <v>8.2932216175805994E-3</v>
      </c>
      <c r="AB148" s="1574"/>
      <c r="AC148" s="933"/>
    </row>
    <row r="149" spans="1:29">
      <c r="A149" s="1207" t="s">
        <v>1285</v>
      </c>
      <c r="B149" s="859"/>
      <c r="C149" s="1578">
        <f>C141-SUM(C142:C148)</f>
        <v>247.66938646</v>
      </c>
      <c r="D149" s="1580">
        <f>D141-SUM(D142:D148)</f>
        <v>201.06199999999995</v>
      </c>
      <c r="E149" s="1579">
        <f>E141-SUM(E142:E148)</f>
        <v>166.36081300000001</v>
      </c>
      <c r="F149" s="1579">
        <f>F141-SUM(F142:F148)</f>
        <v>192.60032600000002</v>
      </c>
      <c r="G149" s="1581">
        <f>G141-SUM(G142:G148)</f>
        <v>141.29589999999999</v>
      </c>
      <c r="H149" s="1579">
        <v>205.04799999999994</v>
      </c>
      <c r="I149" s="1579">
        <v>193.746813</v>
      </c>
      <c r="J149" s="1579">
        <v>219.98632600000002</v>
      </c>
      <c r="K149" s="1581">
        <v>168.68189999999998</v>
      </c>
      <c r="L149" s="1175"/>
      <c r="M149" s="1580"/>
      <c r="N149" s="1581">
        <v>3.9860000000000002</v>
      </c>
      <c r="O149" s="1578">
        <f t="shared" si="99"/>
        <v>205.04799999999994</v>
      </c>
      <c r="P149" s="1580">
        <v>214.41934067411668</v>
      </c>
      <c r="Q149" s="1579">
        <v>226.20161402506184</v>
      </c>
      <c r="R149" s="1579">
        <v>241.8758588052921</v>
      </c>
      <c r="S149" s="1580">
        <f t="shared" si="93"/>
        <v>-48.058527674116675</v>
      </c>
      <c r="T149" s="1579">
        <f t="shared" si="94"/>
        <v>-33.60128802506182</v>
      </c>
      <c r="U149" s="1579">
        <f t="shared" si="95"/>
        <v>-100.57995880529211</v>
      </c>
      <c r="V149" s="1578">
        <f t="shared" si="97"/>
        <v>9.3713406741167375</v>
      </c>
      <c r="W149" s="1175"/>
      <c r="X149" s="1580">
        <f t="shared" si="101"/>
        <v>214.41934067411668</v>
      </c>
      <c r="Y149" s="1579">
        <f t="shared" si="102"/>
        <v>166.36081300000001</v>
      </c>
      <c r="Z149" s="1580">
        <f t="shared" si="106"/>
        <v>-48.058527674116675</v>
      </c>
      <c r="AA149" s="1586">
        <f t="shared" si="103"/>
        <v>-5.7218400883439838E-2</v>
      </c>
      <c r="AB149" s="1574"/>
      <c r="AC149" s="933"/>
    </row>
    <row r="150" spans="1:29" s="1477" customFormat="1">
      <c r="A150" s="1445" t="s">
        <v>1364</v>
      </c>
      <c r="B150" s="1589" t="s">
        <v>1373</v>
      </c>
      <c r="C150" s="1595">
        <v>1674.4260000000002</v>
      </c>
      <c r="D150" s="1592">
        <v>1866.9</v>
      </c>
      <c r="E150" s="1593">
        <v>2069.3000000000002</v>
      </c>
      <c r="F150" s="1593">
        <v>2279.4</v>
      </c>
      <c r="G150" s="1596">
        <v>2630.6</v>
      </c>
      <c r="H150" s="1593">
        <f>SUM(H151:H168)</f>
        <v>1765.2360467337262</v>
      </c>
      <c r="I150" s="1593">
        <f>SUM(I151:I168)</f>
        <v>1664.0406263914394</v>
      </c>
      <c r="J150" s="1593">
        <f>SUM(J151:J168)</f>
        <v>1717.604027915243</v>
      </c>
      <c r="K150" s="1596">
        <f>SUM(K151:K168)</f>
        <v>1774.8915521940278</v>
      </c>
      <c r="L150" s="1594"/>
      <c r="M150" s="1592">
        <f>SUM(M151:M168)</f>
        <v>-33</v>
      </c>
      <c r="N150" s="1596">
        <f>SUM(N151:N168)</f>
        <v>-101.66395326627412</v>
      </c>
      <c r="O150" s="1595">
        <f t="shared" si="99"/>
        <v>1732.236046733726</v>
      </c>
      <c r="P150" s="1592">
        <f t="shared" ref="P150:U150" si="107">SUM(P151:P168)</f>
        <v>1606.0507106511786</v>
      </c>
      <c r="Q150" s="1593">
        <f t="shared" si="107"/>
        <v>1606.5788702552634</v>
      </c>
      <c r="R150" s="1593">
        <f t="shared" si="107"/>
        <v>1687.2794202763516</v>
      </c>
      <c r="S150" s="1592">
        <f t="shared" si="107"/>
        <v>463.24928934882155</v>
      </c>
      <c r="T150" s="1593">
        <f t="shared" si="107"/>
        <v>672.82112974473694</v>
      </c>
      <c r="U150" s="1593">
        <f t="shared" si="107"/>
        <v>943.32057972364828</v>
      </c>
      <c r="V150" s="1595">
        <f t="shared" si="97"/>
        <v>-126.18533608254734</v>
      </c>
      <c r="W150" s="1594"/>
      <c r="X150" s="1592">
        <f>SUM(X151:X168)</f>
        <v>1606.0507106511786</v>
      </c>
      <c r="Y150" s="1593">
        <f>SUM(Y151:Y168)</f>
        <v>2093.4945201911723</v>
      </c>
      <c r="Z150" s="1592">
        <f>SUM(Z151:Z168)</f>
        <v>487.44380953999405</v>
      </c>
      <c r="AA150" s="1591">
        <f t="shared" si="103"/>
        <v>0.58034976625869161</v>
      </c>
      <c r="AB150" s="1590"/>
      <c r="AC150" s="933"/>
    </row>
    <row r="151" spans="1:29">
      <c r="A151" s="1207" t="s">
        <v>1363</v>
      </c>
      <c r="B151" s="1589"/>
      <c r="C151" s="1578">
        <v>14.62605784000012</v>
      </c>
      <c r="D151" s="1580">
        <v>100.011</v>
      </c>
      <c r="E151" s="1579">
        <v>244.91299000000001</v>
      </c>
      <c r="F151" s="1579">
        <v>339.638374</v>
      </c>
      <c r="G151" s="1581">
        <v>342.95548400000001</v>
      </c>
      <c r="H151" s="1579">
        <f t="shared" ref="H151:K152" si="108">O151</f>
        <v>5</v>
      </c>
      <c r="I151" s="1579">
        <f t="shared" si="108"/>
        <v>4.5876482407622996</v>
      </c>
      <c r="J151" s="1579">
        <f t="shared" si="108"/>
        <v>6.0103328624467185</v>
      </c>
      <c r="K151" s="1581">
        <f t="shared" si="108"/>
        <v>5.539048040585981</v>
      </c>
      <c r="L151" s="1175"/>
      <c r="M151" s="1580"/>
      <c r="N151" s="1581">
        <f>O203-D151</f>
        <v>-95.010999999999996</v>
      </c>
      <c r="O151" s="1578">
        <f t="shared" si="99"/>
        <v>5</v>
      </c>
      <c r="P151" s="1580">
        <f>P203</f>
        <v>4.5876482407622996</v>
      </c>
      <c r="Q151" s="1579">
        <f>Q203</f>
        <v>6.0103328624467185</v>
      </c>
      <c r="R151" s="1579">
        <f>R203</f>
        <v>5.539048040585981</v>
      </c>
      <c r="S151" s="1580">
        <f t="shared" ref="S151:S168" si="109">E151-P151</f>
        <v>240.32534175923772</v>
      </c>
      <c r="T151" s="1579">
        <f t="shared" ref="T151:T168" si="110">F151-Q151</f>
        <v>333.62804113755328</v>
      </c>
      <c r="U151" s="1579">
        <f t="shared" ref="U151:U168" si="111">G151-R151</f>
        <v>337.41643595941406</v>
      </c>
      <c r="V151" s="1578">
        <f t="shared" si="97"/>
        <v>-0.4123517592377004</v>
      </c>
      <c r="W151" s="1175"/>
      <c r="X151" s="1580">
        <f t="shared" ref="X151:X168" si="112">P151</f>
        <v>4.5876482407622996</v>
      </c>
      <c r="Y151" s="1579">
        <f t="shared" ref="Y151:Y159" si="113">E151</f>
        <v>244.91299000000001</v>
      </c>
      <c r="Z151" s="1580">
        <f t="shared" ref="Z151:Z172" si="114">Y151-X151</f>
        <v>240.32534175923772</v>
      </c>
      <c r="AA151" s="1586">
        <f t="shared" si="103"/>
        <v>0.28613094101581826</v>
      </c>
      <c r="AB151" s="1574"/>
      <c r="AC151" s="933"/>
    </row>
    <row r="152" spans="1:29">
      <c r="A152" s="1207" t="s">
        <v>1159</v>
      </c>
      <c r="B152" s="1589"/>
      <c r="C152" s="1578">
        <v>13.135912310000002</v>
      </c>
      <c r="D152" s="1580">
        <v>30.960999999999999</v>
      </c>
      <c r="E152" s="1579">
        <v>76.354355999999996</v>
      </c>
      <c r="F152" s="1579">
        <v>83.971952000000002</v>
      </c>
      <c r="G152" s="1581">
        <v>85.777156000000005</v>
      </c>
      <c r="H152" s="1579">
        <f t="shared" si="108"/>
        <v>12.0267243655789</v>
      </c>
      <c r="I152" s="1579">
        <f t="shared" si="108"/>
        <v>9.6734017825300498</v>
      </c>
      <c r="J152" s="1579">
        <f t="shared" si="108"/>
        <v>7.246098684648814</v>
      </c>
      <c r="K152" s="1581">
        <f t="shared" si="108"/>
        <v>4.9472217852946869</v>
      </c>
      <c r="L152" s="1175"/>
      <c r="M152" s="1580"/>
      <c r="N152" s="1581">
        <f>O217-D217</f>
        <v>-18.934275634421098</v>
      </c>
      <c r="O152" s="1578">
        <f t="shared" si="99"/>
        <v>12.0267243655789</v>
      </c>
      <c r="P152" s="1580">
        <f>P217</f>
        <v>9.6734017825300498</v>
      </c>
      <c r="Q152" s="1579">
        <f>Q217</f>
        <v>7.246098684648814</v>
      </c>
      <c r="R152" s="1579">
        <f>R217</f>
        <v>4.9472217852946869</v>
      </c>
      <c r="S152" s="1580">
        <f t="shared" si="109"/>
        <v>66.680954217469946</v>
      </c>
      <c r="T152" s="1579">
        <f t="shared" si="110"/>
        <v>76.725853315351188</v>
      </c>
      <c r="U152" s="1579">
        <f t="shared" si="111"/>
        <v>80.829934214705318</v>
      </c>
      <c r="V152" s="1578">
        <f t="shared" si="97"/>
        <v>-2.3533225830488504</v>
      </c>
      <c r="W152" s="1175"/>
      <c r="X152" s="1580">
        <f t="shared" si="112"/>
        <v>9.6734017825300498</v>
      </c>
      <c r="Y152" s="1579">
        <f t="shared" si="113"/>
        <v>76.354355999999996</v>
      </c>
      <c r="Z152" s="1580">
        <f t="shared" si="114"/>
        <v>66.680954217469946</v>
      </c>
      <c r="AA152" s="1586">
        <f t="shared" si="103"/>
        <v>7.9390230087310332E-2</v>
      </c>
      <c r="AB152" s="1574"/>
      <c r="AC152" s="933"/>
    </row>
    <row r="153" spans="1:29">
      <c r="A153" s="1207" t="s">
        <v>1362</v>
      </c>
      <c r="B153" s="859"/>
      <c r="C153" s="1578">
        <v>637.48283834999995</v>
      </c>
      <c r="D153" s="1580">
        <v>686.71900000000005</v>
      </c>
      <c r="E153" s="1579">
        <v>706.14700000000005</v>
      </c>
      <c r="F153" s="1579">
        <v>797.78099999999995</v>
      </c>
      <c r="G153" s="1581">
        <v>828.06</v>
      </c>
      <c r="H153" s="1579">
        <f t="shared" ref="H153:K155" si="115">D153</f>
        <v>686.71900000000005</v>
      </c>
      <c r="I153" s="1579">
        <f t="shared" si="115"/>
        <v>706.14700000000005</v>
      </c>
      <c r="J153" s="1579">
        <f t="shared" si="115"/>
        <v>797.78099999999995</v>
      </c>
      <c r="K153" s="1581">
        <f t="shared" si="115"/>
        <v>828.06</v>
      </c>
      <c r="L153" s="1175"/>
      <c r="M153" s="1472">
        <v>-33</v>
      </c>
      <c r="N153" s="1581"/>
      <c r="O153" s="1578">
        <f t="shared" si="99"/>
        <v>653.71900000000005</v>
      </c>
      <c r="P153" s="1580">
        <v>683.59602125425715</v>
      </c>
      <c r="Q153" s="1579">
        <v>721.15940130530134</v>
      </c>
      <c r="R153" s="1579">
        <v>771.13087931770497</v>
      </c>
      <c r="S153" s="1580">
        <f t="shared" si="109"/>
        <v>22.550978745742896</v>
      </c>
      <c r="T153" s="1579">
        <f t="shared" si="110"/>
        <v>76.621598694698605</v>
      </c>
      <c r="U153" s="1579">
        <f t="shared" si="111"/>
        <v>56.929120682294979</v>
      </c>
      <c r="V153" s="1578">
        <f t="shared" si="97"/>
        <v>29.877021254257102</v>
      </c>
      <c r="W153" s="1175"/>
      <c r="X153" s="1580">
        <f t="shared" si="112"/>
        <v>683.59602125425715</v>
      </c>
      <c r="Y153" s="1579">
        <f t="shared" si="113"/>
        <v>706.14700000000005</v>
      </c>
      <c r="Z153" s="1580">
        <f t="shared" si="114"/>
        <v>22.550978745742896</v>
      </c>
      <c r="AA153" s="1586">
        <f t="shared" si="103"/>
        <v>2.6849156739414504E-2</v>
      </c>
      <c r="AB153" s="1574"/>
      <c r="AC153" s="933"/>
    </row>
    <row r="154" spans="1:29">
      <c r="A154" s="1207" t="s">
        <v>1361</v>
      </c>
      <c r="B154" s="859"/>
      <c r="C154" s="1578">
        <v>56.95</v>
      </c>
      <c r="D154" s="1580">
        <v>59.430999999999997</v>
      </c>
      <c r="E154" s="1579">
        <v>64.906999999999996</v>
      </c>
      <c r="F154" s="1579">
        <v>67.263999999999996</v>
      </c>
      <c r="G154" s="1581">
        <v>71.463999999999999</v>
      </c>
      <c r="H154" s="1579">
        <f t="shared" si="115"/>
        <v>59.430999999999997</v>
      </c>
      <c r="I154" s="1579">
        <f t="shared" si="115"/>
        <v>64.906999999999996</v>
      </c>
      <c r="J154" s="1579">
        <f t="shared" si="115"/>
        <v>67.263999999999996</v>
      </c>
      <c r="K154" s="1581">
        <f t="shared" si="115"/>
        <v>71.463999999999999</v>
      </c>
      <c r="L154" s="1175"/>
      <c r="M154" s="1588"/>
      <c r="N154" s="1581"/>
      <c r="O154" s="1578">
        <f t="shared" si="99"/>
        <v>59.430999999999997</v>
      </c>
      <c r="P154" s="1580">
        <f>E154*1.00302774446063</f>
        <v>65.103521809706109</v>
      </c>
      <c r="Q154" s="1579">
        <f>F154*1.00468080129246</f>
        <v>67.578849418136016</v>
      </c>
      <c r="R154" s="1579">
        <f>G154*1.00952632570434</f>
        <v>72.144789340134963</v>
      </c>
      <c r="S154" s="1580">
        <f t="shared" si="109"/>
        <v>-0.19652180970611255</v>
      </c>
      <c r="T154" s="1579">
        <f t="shared" si="110"/>
        <v>-0.31484941813602063</v>
      </c>
      <c r="U154" s="1579">
        <f t="shared" si="111"/>
        <v>-0.6807893401349645</v>
      </c>
      <c r="V154" s="1578">
        <f t="shared" si="97"/>
        <v>5.6725218097061116</v>
      </c>
      <c r="W154" s="1175"/>
      <c r="X154" s="1580">
        <f t="shared" si="112"/>
        <v>65.103521809706109</v>
      </c>
      <c r="Y154" s="1579">
        <f t="shared" si="113"/>
        <v>64.906999999999996</v>
      </c>
      <c r="Z154" s="1580">
        <f t="shared" si="114"/>
        <v>-0.19652180970611255</v>
      </c>
      <c r="AA154" s="1586">
        <f t="shared" si="103"/>
        <v>-2.3397853064399159E-4</v>
      </c>
      <c r="AB154" s="1574"/>
      <c r="AC154" s="933"/>
    </row>
    <row r="155" spans="1:29">
      <c r="A155" s="1207" t="s">
        <v>1360</v>
      </c>
      <c r="B155" s="859"/>
      <c r="C155" s="1578">
        <v>0</v>
      </c>
      <c r="D155" s="1584">
        <v>0</v>
      </c>
      <c r="E155" s="1579">
        <v>0</v>
      </c>
      <c r="F155" s="1579">
        <v>32.137999999999998</v>
      </c>
      <c r="G155" s="1581">
        <v>44.780999999999999</v>
      </c>
      <c r="H155" s="1579">
        <f t="shared" si="115"/>
        <v>0</v>
      </c>
      <c r="I155" s="1579">
        <f t="shared" si="115"/>
        <v>0</v>
      </c>
      <c r="J155" s="1579">
        <f t="shared" si="115"/>
        <v>32.137999999999998</v>
      </c>
      <c r="K155" s="1581">
        <f t="shared" si="115"/>
        <v>44.780999999999999</v>
      </c>
      <c r="L155" s="1175"/>
      <c r="M155" s="1580"/>
      <c r="N155" s="1581"/>
      <c r="O155" s="1578">
        <f t="shared" si="99"/>
        <v>0</v>
      </c>
      <c r="P155" s="1580">
        <f>E155</f>
        <v>0</v>
      </c>
      <c r="Q155" s="1579">
        <f>F155</f>
        <v>32.137999999999998</v>
      </c>
      <c r="R155" s="1579">
        <f>G155</f>
        <v>44.780999999999999</v>
      </c>
      <c r="S155" s="1580">
        <f t="shared" si="109"/>
        <v>0</v>
      </c>
      <c r="T155" s="1579">
        <f t="shared" si="110"/>
        <v>0</v>
      </c>
      <c r="U155" s="1579">
        <f t="shared" si="111"/>
        <v>0</v>
      </c>
      <c r="V155" s="1578">
        <f t="shared" si="97"/>
        <v>0</v>
      </c>
      <c r="W155" s="1175"/>
      <c r="X155" s="1576">
        <f t="shared" si="112"/>
        <v>0</v>
      </c>
      <c r="Y155" s="1577">
        <f t="shared" si="113"/>
        <v>0</v>
      </c>
      <c r="Z155" s="1576">
        <f t="shared" si="114"/>
        <v>0</v>
      </c>
      <c r="AA155" s="1575">
        <f t="shared" si="103"/>
        <v>0</v>
      </c>
      <c r="AB155" s="1574"/>
      <c r="AC155" s="933"/>
    </row>
    <row r="156" spans="1:29">
      <c r="A156" s="1207" t="s">
        <v>1359</v>
      </c>
      <c r="B156" s="859"/>
      <c r="C156" s="1578">
        <v>0</v>
      </c>
      <c r="D156" s="1580">
        <v>0</v>
      </c>
      <c r="E156" s="1579">
        <v>97.951999999999998</v>
      </c>
      <c r="F156" s="1579">
        <v>161.19399999999999</v>
      </c>
      <c r="G156" s="1581">
        <v>483.19099999999997</v>
      </c>
      <c r="H156" s="1579">
        <f>D156</f>
        <v>0</v>
      </c>
      <c r="I156" s="1579">
        <v>0</v>
      </c>
      <c r="J156" s="1579">
        <v>0</v>
      </c>
      <c r="K156" s="1581">
        <v>0</v>
      </c>
      <c r="L156" s="1175"/>
      <c r="M156" s="1588"/>
      <c r="N156" s="1581"/>
      <c r="O156" s="1578">
        <v>0</v>
      </c>
      <c r="P156" s="1580">
        <v>0</v>
      </c>
      <c r="Q156" s="1579">
        <v>0</v>
      </c>
      <c r="R156" s="1579">
        <v>0</v>
      </c>
      <c r="S156" s="1580">
        <f t="shared" si="109"/>
        <v>97.951999999999998</v>
      </c>
      <c r="T156" s="1579">
        <f t="shared" si="110"/>
        <v>161.19399999999999</v>
      </c>
      <c r="U156" s="1579">
        <f t="shared" si="111"/>
        <v>483.19099999999997</v>
      </c>
      <c r="V156" s="1578">
        <f t="shared" si="97"/>
        <v>0</v>
      </c>
      <c r="W156" s="1175"/>
      <c r="X156" s="1580">
        <f t="shared" si="112"/>
        <v>0</v>
      </c>
      <c r="Y156" s="1579">
        <f t="shared" si="113"/>
        <v>97.951999999999998</v>
      </c>
      <c r="Z156" s="1580">
        <f t="shared" si="114"/>
        <v>97.951999999999998</v>
      </c>
      <c r="AA156" s="1586">
        <f t="shared" si="103"/>
        <v>0.11662148373207967</v>
      </c>
      <c r="AB156" s="1574"/>
      <c r="AC156" s="933"/>
    </row>
    <row r="157" spans="1:29">
      <c r="A157" s="1207" t="s">
        <v>1358</v>
      </c>
      <c r="B157" s="859"/>
      <c r="C157" s="1578">
        <v>0</v>
      </c>
      <c r="D157" s="1580">
        <v>4.6689999999999996</v>
      </c>
      <c r="E157" s="1579">
        <f>22.351</f>
        <v>22.350999999999999</v>
      </c>
      <c r="F157" s="1579">
        <f>22.828</f>
        <v>22.827999999999999</v>
      </c>
      <c r="G157" s="1581">
        <f>18.67</f>
        <v>18.670000000000002</v>
      </c>
      <c r="H157" s="1579">
        <v>0</v>
      </c>
      <c r="I157" s="1579">
        <v>0</v>
      </c>
      <c r="J157" s="1579">
        <v>0</v>
      </c>
      <c r="K157" s="1581">
        <v>0</v>
      </c>
      <c r="L157" s="1175"/>
      <c r="M157" s="1588"/>
      <c r="N157" s="1581">
        <v>-4.6689999999999996</v>
      </c>
      <c r="O157" s="1578">
        <v>0</v>
      </c>
      <c r="P157" s="1580">
        <v>0</v>
      </c>
      <c r="Q157" s="1579">
        <v>0</v>
      </c>
      <c r="R157" s="1579">
        <v>0</v>
      </c>
      <c r="S157" s="1580">
        <f t="shared" si="109"/>
        <v>22.350999999999999</v>
      </c>
      <c r="T157" s="1579">
        <f t="shared" si="110"/>
        <v>22.827999999999999</v>
      </c>
      <c r="U157" s="1579">
        <f t="shared" si="111"/>
        <v>18.670000000000002</v>
      </c>
      <c r="V157" s="1578">
        <f t="shared" si="97"/>
        <v>0</v>
      </c>
      <c r="W157" s="1175"/>
      <c r="X157" s="1580">
        <f t="shared" si="112"/>
        <v>0</v>
      </c>
      <c r="Y157" s="1579">
        <f t="shared" si="113"/>
        <v>22.350999999999999</v>
      </c>
      <c r="Z157" s="1580">
        <f t="shared" si="114"/>
        <v>22.350999999999999</v>
      </c>
      <c r="AA157" s="1586">
        <f t="shared" si="103"/>
        <v>2.6611062386635419E-2</v>
      </c>
      <c r="AB157" s="1574"/>
      <c r="AC157" s="933"/>
    </row>
    <row r="158" spans="1:29">
      <c r="A158" s="1207" t="s">
        <v>1357</v>
      </c>
      <c r="B158" s="859"/>
      <c r="C158" s="1578">
        <v>122.34</v>
      </c>
      <c r="D158" s="1580">
        <f>250-D162</f>
        <v>171.48699999999999</v>
      </c>
      <c r="E158" s="1579">
        <v>0</v>
      </c>
      <c r="F158" s="1579">
        <v>0</v>
      </c>
      <c r="G158" s="1581">
        <v>0</v>
      </c>
      <c r="H158" s="1579">
        <f t="shared" ref="H158:K159" si="116">D158</f>
        <v>171.48699999999999</v>
      </c>
      <c r="I158" s="1579">
        <f t="shared" si="116"/>
        <v>0</v>
      </c>
      <c r="J158" s="1579">
        <f t="shared" si="116"/>
        <v>0</v>
      </c>
      <c r="K158" s="1581">
        <f t="shared" si="116"/>
        <v>0</v>
      </c>
      <c r="L158" s="1175"/>
      <c r="M158" s="1588"/>
      <c r="N158" s="1581"/>
      <c r="O158" s="1578">
        <f t="shared" ref="O158:O169" si="117">D158+M158+N158</f>
        <v>171.48699999999999</v>
      </c>
      <c r="P158" s="1580">
        <v>0</v>
      </c>
      <c r="Q158" s="1579">
        <v>0</v>
      </c>
      <c r="R158" s="1579">
        <v>0</v>
      </c>
      <c r="S158" s="1580">
        <f t="shared" si="109"/>
        <v>0</v>
      </c>
      <c r="T158" s="1579">
        <f t="shared" si="110"/>
        <v>0</v>
      </c>
      <c r="U158" s="1579">
        <f t="shared" si="111"/>
        <v>0</v>
      </c>
      <c r="V158" s="1578">
        <f t="shared" si="97"/>
        <v>-171.48699999999999</v>
      </c>
      <c r="W158" s="1175"/>
      <c r="X158" s="1580">
        <f t="shared" si="112"/>
        <v>0</v>
      </c>
      <c r="Y158" s="1579">
        <f t="shared" si="113"/>
        <v>0</v>
      </c>
      <c r="Z158" s="1580">
        <f t="shared" si="114"/>
        <v>0</v>
      </c>
      <c r="AA158" s="1586">
        <f t="shared" si="103"/>
        <v>0</v>
      </c>
      <c r="AB158" s="1574"/>
      <c r="AC158" s="933"/>
    </row>
    <row r="159" spans="1:29">
      <c r="A159" s="1207" t="s">
        <v>1356</v>
      </c>
      <c r="B159" s="859"/>
      <c r="C159" s="1578">
        <v>60.935000000000002</v>
      </c>
      <c r="D159" s="1580">
        <v>0</v>
      </c>
      <c r="E159" s="1579">
        <v>0</v>
      </c>
      <c r="F159" s="1579">
        <v>0</v>
      </c>
      <c r="G159" s="1581">
        <v>0</v>
      </c>
      <c r="H159" s="1579">
        <f t="shared" si="116"/>
        <v>0</v>
      </c>
      <c r="I159" s="1579">
        <f t="shared" si="116"/>
        <v>0</v>
      </c>
      <c r="J159" s="1579">
        <f t="shared" si="116"/>
        <v>0</v>
      </c>
      <c r="K159" s="1581">
        <f t="shared" si="116"/>
        <v>0</v>
      </c>
      <c r="L159" s="1175"/>
      <c r="M159" s="1588"/>
      <c r="N159" s="1581"/>
      <c r="O159" s="1578">
        <f t="shared" si="117"/>
        <v>0</v>
      </c>
      <c r="P159" s="1580">
        <v>0</v>
      </c>
      <c r="Q159" s="1579">
        <v>0</v>
      </c>
      <c r="R159" s="1579">
        <v>0</v>
      </c>
      <c r="S159" s="1580">
        <f t="shared" si="109"/>
        <v>0</v>
      </c>
      <c r="T159" s="1579">
        <f t="shared" si="110"/>
        <v>0</v>
      </c>
      <c r="U159" s="1579">
        <f t="shared" si="111"/>
        <v>0</v>
      </c>
      <c r="V159" s="1578">
        <f t="shared" ref="V159:V171" si="118">P159-O159</f>
        <v>0</v>
      </c>
      <c r="W159" s="1175"/>
      <c r="X159" s="1580">
        <f t="shared" si="112"/>
        <v>0</v>
      </c>
      <c r="Y159" s="1579">
        <f t="shared" si="113"/>
        <v>0</v>
      </c>
      <c r="Z159" s="1580">
        <f t="shared" si="114"/>
        <v>0</v>
      </c>
      <c r="AA159" s="1586">
        <f t="shared" si="103"/>
        <v>0</v>
      </c>
      <c r="AB159" s="1574"/>
      <c r="AC159" s="933"/>
    </row>
    <row r="160" spans="1:29">
      <c r="A160" s="1207" t="s">
        <v>1355</v>
      </c>
      <c r="B160" s="859"/>
      <c r="C160" s="1578">
        <v>8.6029999999999998</v>
      </c>
      <c r="D160" s="1580">
        <v>0</v>
      </c>
      <c r="E160" s="1579">
        <v>0</v>
      </c>
      <c r="F160" s="1579">
        <v>0</v>
      </c>
      <c r="G160" s="1581">
        <v>0</v>
      </c>
      <c r="H160" s="1579">
        <f>D119</f>
        <v>8.48</v>
      </c>
      <c r="I160" s="1579">
        <f>E119</f>
        <v>8.8000000000000007</v>
      </c>
      <c r="J160" s="1579">
        <f>F119</f>
        <v>9.1470000000000002</v>
      </c>
      <c r="K160" s="1581">
        <f>G119</f>
        <v>9.1470000000000002</v>
      </c>
      <c r="L160" s="1175"/>
      <c r="M160" s="1588"/>
      <c r="N160" s="1581">
        <v>8.48</v>
      </c>
      <c r="O160" s="1578">
        <f t="shared" si="117"/>
        <v>8.48</v>
      </c>
      <c r="P160" s="1580">
        <f>P16</f>
        <v>8.8000000000000007</v>
      </c>
      <c r="Q160" s="1579">
        <f>Q16</f>
        <v>9.1470000000000002</v>
      </c>
      <c r="R160" s="1579">
        <f>R16</f>
        <v>9.1470000000000002</v>
      </c>
      <c r="S160" s="1580">
        <f t="shared" si="109"/>
        <v>-8.8000000000000007</v>
      </c>
      <c r="T160" s="1579">
        <f t="shared" si="110"/>
        <v>-9.1470000000000002</v>
      </c>
      <c r="U160" s="1579">
        <f t="shared" si="111"/>
        <v>-9.1470000000000002</v>
      </c>
      <c r="V160" s="1578">
        <f t="shared" si="118"/>
        <v>0.32000000000000028</v>
      </c>
      <c r="W160" s="1175"/>
      <c r="X160" s="1580">
        <f t="shared" si="112"/>
        <v>8.8000000000000007</v>
      </c>
      <c r="Y160" s="1579">
        <f>E119</f>
        <v>8.8000000000000007</v>
      </c>
      <c r="Z160" s="1580">
        <f t="shared" si="114"/>
        <v>0</v>
      </c>
      <c r="AA160" s="1586">
        <f t="shared" si="103"/>
        <v>0</v>
      </c>
      <c r="AB160" s="1574"/>
      <c r="AC160" s="933"/>
    </row>
    <row r="161" spans="1:29">
      <c r="A161" s="1207" t="s">
        <v>1354</v>
      </c>
      <c r="B161" s="859"/>
      <c r="C161" s="1578">
        <v>1.706</v>
      </c>
      <c r="D161" s="1580">
        <v>0</v>
      </c>
      <c r="E161" s="1579">
        <v>0</v>
      </c>
      <c r="F161" s="1579">
        <v>0</v>
      </c>
      <c r="G161" s="1581">
        <v>0</v>
      </c>
      <c r="H161" s="1579">
        <f t="shared" ref="H161:K165" si="119">D161</f>
        <v>0</v>
      </c>
      <c r="I161" s="1579">
        <f t="shared" si="119"/>
        <v>0</v>
      </c>
      <c r="J161" s="1579">
        <f t="shared" si="119"/>
        <v>0</v>
      </c>
      <c r="K161" s="1581">
        <f t="shared" si="119"/>
        <v>0</v>
      </c>
      <c r="L161" s="1175"/>
      <c r="M161" s="1588"/>
      <c r="N161" s="1581"/>
      <c r="O161" s="1578">
        <f t="shared" si="117"/>
        <v>0</v>
      </c>
      <c r="P161" s="1580">
        <f>E161</f>
        <v>0</v>
      </c>
      <c r="Q161" s="1579">
        <v>0</v>
      </c>
      <c r="R161" s="1579">
        <v>0</v>
      </c>
      <c r="S161" s="1580">
        <f t="shared" si="109"/>
        <v>0</v>
      </c>
      <c r="T161" s="1579">
        <f t="shared" si="110"/>
        <v>0</v>
      </c>
      <c r="U161" s="1579">
        <f t="shared" si="111"/>
        <v>0</v>
      </c>
      <c r="V161" s="1578">
        <f t="shared" si="118"/>
        <v>0</v>
      </c>
      <c r="W161" s="1175"/>
      <c r="X161" s="1580">
        <f t="shared" si="112"/>
        <v>0</v>
      </c>
      <c r="Y161" s="1579">
        <f>E161</f>
        <v>0</v>
      </c>
      <c r="Z161" s="1580">
        <f t="shared" si="114"/>
        <v>0</v>
      </c>
      <c r="AA161" s="1586">
        <f t="shared" si="103"/>
        <v>0</v>
      </c>
      <c r="AB161" s="1574"/>
      <c r="AC161" s="933"/>
    </row>
    <row r="162" spans="1:29">
      <c r="A162" s="1207" t="s">
        <v>1353</v>
      </c>
      <c r="B162" s="859"/>
      <c r="C162" s="1578">
        <v>1E-3</v>
      </c>
      <c r="D162" s="1579">
        <f>-31.487+110</f>
        <v>78.513000000000005</v>
      </c>
      <c r="E162" s="1579">
        <v>84.641999999999996</v>
      </c>
      <c r="F162" s="1579">
        <v>0.94899999999999995</v>
      </c>
      <c r="G162" s="1581">
        <v>0.58899999999999997</v>
      </c>
      <c r="H162" s="1579">
        <f t="shared" si="119"/>
        <v>78.513000000000005</v>
      </c>
      <c r="I162" s="1579">
        <f t="shared" si="119"/>
        <v>84.641999999999996</v>
      </c>
      <c r="J162" s="1579">
        <f t="shared" si="119"/>
        <v>0.94899999999999995</v>
      </c>
      <c r="K162" s="1581">
        <f t="shared" si="119"/>
        <v>0.58899999999999997</v>
      </c>
      <c r="L162" s="1175"/>
      <c r="M162" s="1588"/>
      <c r="N162" s="1581"/>
      <c r="O162" s="1578">
        <f t="shared" si="117"/>
        <v>78.513000000000005</v>
      </c>
      <c r="P162" s="1580">
        <f>E162</f>
        <v>84.641999999999996</v>
      </c>
      <c r="Q162" s="1579">
        <f>F162</f>
        <v>0.94899999999999995</v>
      </c>
      <c r="R162" s="1579">
        <f>G162</f>
        <v>0.58899999999999997</v>
      </c>
      <c r="S162" s="1580">
        <f t="shared" si="109"/>
        <v>0</v>
      </c>
      <c r="T162" s="1579">
        <f t="shared" si="110"/>
        <v>0</v>
      </c>
      <c r="U162" s="1579">
        <f t="shared" si="111"/>
        <v>0</v>
      </c>
      <c r="V162" s="1578">
        <f t="shared" si="118"/>
        <v>6.1289999999999907</v>
      </c>
      <c r="W162" s="1175"/>
      <c r="X162" s="1580">
        <f t="shared" si="112"/>
        <v>84.641999999999996</v>
      </c>
      <c r="Y162" s="1579">
        <f>E162</f>
        <v>84.641999999999996</v>
      </c>
      <c r="Z162" s="1580">
        <f t="shared" si="114"/>
        <v>0</v>
      </c>
      <c r="AA162" s="1586">
        <f t="shared" si="103"/>
        <v>0</v>
      </c>
      <c r="AB162" s="1574"/>
      <c r="AC162" s="933"/>
    </row>
    <row r="163" spans="1:29">
      <c r="A163" s="1207" t="s">
        <v>1352</v>
      </c>
      <c r="B163" s="859"/>
      <c r="C163" s="1578">
        <v>4.4999999999999997E-3</v>
      </c>
      <c r="D163" s="1580">
        <f>11.553-4.858</f>
        <v>6.6950000000000012</v>
      </c>
      <c r="E163" s="1579">
        <f>10.7-4.821</f>
        <v>5.8789999999999996</v>
      </c>
      <c r="F163" s="1579">
        <f>10.7-4.821</f>
        <v>5.8789999999999996</v>
      </c>
      <c r="G163" s="1581">
        <f>10.7-4.821</f>
        <v>5.8789999999999996</v>
      </c>
      <c r="H163" s="1579">
        <f t="shared" si="119"/>
        <v>6.6950000000000012</v>
      </c>
      <c r="I163" s="1579">
        <f t="shared" si="119"/>
        <v>5.8789999999999996</v>
      </c>
      <c r="J163" s="1579">
        <f t="shared" si="119"/>
        <v>5.8789999999999996</v>
      </c>
      <c r="K163" s="1581">
        <f t="shared" si="119"/>
        <v>5.8789999999999996</v>
      </c>
      <c r="L163" s="1175"/>
      <c r="M163" s="1588"/>
      <c r="N163" s="1581"/>
      <c r="O163" s="1578">
        <f t="shared" si="117"/>
        <v>6.6950000000000012</v>
      </c>
      <c r="P163" s="1580">
        <f>E163</f>
        <v>5.8789999999999996</v>
      </c>
      <c r="Q163" s="1579">
        <f>F163</f>
        <v>5.8789999999999996</v>
      </c>
      <c r="R163" s="1579">
        <f>Q163</f>
        <v>5.8789999999999996</v>
      </c>
      <c r="S163" s="1580">
        <f t="shared" si="109"/>
        <v>0</v>
      </c>
      <c r="T163" s="1579">
        <f t="shared" si="110"/>
        <v>0</v>
      </c>
      <c r="U163" s="1579">
        <f t="shared" si="111"/>
        <v>0</v>
      </c>
      <c r="V163" s="1578">
        <f t="shared" si="118"/>
        <v>-0.81600000000000161</v>
      </c>
      <c r="W163" s="1175"/>
      <c r="X163" s="1580">
        <f t="shared" si="112"/>
        <v>5.8789999999999996</v>
      </c>
      <c r="Y163" s="1579">
        <f>E163</f>
        <v>5.8789999999999996</v>
      </c>
      <c r="Z163" s="1580">
        <f t="shared" si="114"/>
        <v>0</v>
      </c>
      <c r="AA163" s="1586">
        <f t="shared" si="103"/>
        <v>0</v>
      </c>
      <c r="AB163" s="1574"/>
      <c r="AC163" s="933"/>
    </row>
    <row r="164" spans="1:29">
      <c r="A164" s="1207" t="s">
        <v>1351</v>
      </c>
      <c r="B164" s="859"/>
      <c r="C164" s="1578">
        <v>11.826000000000001</v>
      </c>
      <c r="D164" s="1580">
        <v>12.228</v>
      </c>
      <c r="E164" s="1579">
        <v>13.664999999999999</v>
      </c>
      <c r="F164" s="1579">
        <v>13.587</v>
      </c>
      <c r="G164" s="1581">
        <v>13.391999999999999</v>
      </c>
      <c r="H164" s="1579">
        <f t="shared" si="119"/>
        <v>12.228</v>
      </c>
      <c r="I164" s="1579">
        <f t="shared" si="119"/>
        <v>13.664999999999999</v>
      </c>
      <c r="J164" s="1579">
        <f t="shared" si="119"/>
        <v>13.587</v>
      </c>
      <c r="K164" s="1581">
        <f t="shared" si="119"/>
        <v>13.391999999999999</v>
      </c>
      <c r="L164" s="1175"/>
      <c r="M164" s="1580"/>
      <c r="N164" s="1581"/>
      <c r="O164" s="1578">
        <f t="shared" si="117"/>
        <v>12.228</v>
      </c>
      <c r="P164" s="1580">
        <v>12.864765351613173</v>
      </c>
      <c r="Q164" s="1579">
        <v>13.679782497184679</v>
      </c>
      <c r="R164" s="1579">
        <v>14.732384015020061</v>
      </c>
      <c r="S164" s="1580">
        <f t="shared" si="109"/>
        <v>0.80023464838682656</v>
      </c>
      <c r="T164" s="1579">
        <f t="shared" si="110"/>
        <v>-9.2782497184678903E-2</v>
      </c>
      <c r="U164" s="1579">
        <f t="shared" si="111"/>
        <v>-1.3403840150200619</v>
      </c>
      <c r="V164" s="1578">
        <f t="shared" si="118"/>
        <v>0.63676535161317283</v>
      </c>
      <c r="W164" s="1175"/>
      <c r="X164" s="1580">
        <f t="shared" si="112"/>
        <v>12.864765351613173</v>
      </c>
      <c r="Y164" s="1579">
        <f>E164</f>
        <v>13.664999999999999</v>
      </c>
      <c r="Z164" s="1580">
        <f t="shared" si="114"/>
        <v>0.80023464838682656</v>
      </c>
      <c r="AA164" s="1586">
        <f t="shared" si="103"/>
        <v>9.527580042131943E-4</v>
      </c>
      <c r="AB164" s="1574"/>
      <c r="AC164" s="933"/>
    </row>
    <row r="165" spans="1:29">
      <c r="A165" s="1207" t="s">
        <v>1350</v>
      </c>
      <c r="B165" s="859"/>
      <c r="C165" s="1578">
        <v>1.1499999999999999</v>
      </c>
      <c r="D165" s="1580">
        <f>5.659+0.3+0.143</f>
        <v>6.1019999999999994</v>
      </c>
      <c r="E165" s="1579">
        <v>5.9539999999999997</v>
      </c>
      <c r="F165" s="1579">
        <v>6.5380000000000003</v>
      </c>
      <c r="G165" s="1581">
        <v>6.2169999999999996</v>
      </c>
      <c r="H165" s="1579">
        <f t="shared" si="119"/>
        <v>6.1019999999999994</v>
      </c>
      <c r="I165" s="1579">
        <f t="shared" si="119"/>
        <v>5.9539999999999997</v>
      </c>
      <c r="J165" s="1579">
        <f t="shared" si="119"/>
        <v>6.5380000000000003</v>
      </c>
      <c r="K165" s="1581">
        <f t="shared" si="119"/>
        <v>6.2169999999999996</v>
      </c>
      <c r="L165" s="1175"/>
      <c r="M165" s="1580"/>
      <c r="N165" s="1581"/>
      <c r="O165" s="1578">
        <f t="shared" si="117"/>
        <v>6.1019999999999994</v>
      </c>
      <c r="P165" s="1580">
        <v>6.1546118063587558</v>
      </c>
      <c r="Q165" s="1579">
        <v>6.2547072541545443</v>
      </c>
      <c r="R165" s="1579">
        <v>6.3860482987519926</v>
      </c>
      <c r="S165" s="1580">
        <f t="shared" si="109"/>
        <v>-0.20061180635875608</v>
      </c>
      <c r="T165" s="1579">
        <f t="shared" si="110"/>
        <v>0.28329274584545594</v>
      </c>
      <c r="U165" s="1579">
        <f t="shared" si="111"/>
        <v>-0.16904829875199301</v>
      </c>
      <c r="V165" s="1578">
        <f t="shared" si="118"/>
        <v>5.2611806358756397E-2</v>
      </c>
      <c r="W165" s="1175"/>
      <c r="X165" s="1580">
        <f t="shared" si="112"/>
        <v>6.1546118063587558</v>
      </c>
      <c r="Y165" s="1579">
        <f>E165</f>
        <v>5.9539999999999997</v>
      </c>
      <c r="Z165" s="1580">
        <f t="shared" si="114"/>
        <v>-0.20061180635875608</v>
      </c>
      <c r="AA165" s="1586">
        <f t="shared" si="103"/>
        <v>-2.3884807366598735E-4</v>
      </c>
      <c r="AB165" s="1574"/>
      <c r="AC165" s="933"/>
    </row>
    <row r="166" spans="1:29">
      <c r="A166" s="1207" t="s">
        <v>1349</v>
      </c>
      <c r="B166" s="859"/>
      <c r="C166" s="1578">
        <v>15.449</v>
      </c>
      <c r="D166" s="1580">
        <v>0</v>
      </c>
      <c r="E166" s="1579">
        <v>0</v>
      </c>
      <c r="F166" s="1579">
        <v>0</v>
      </c>
      <c r="G166" s="1581">
        <v>0</v>
      </c>
      <c r="H166" s="1577">
        <v>15.262922368146977</v>
      </c>
      <c r="I166" s="1577">
        <v>15.262922368146977</v>
      </c>
      <c r="J166" s="1577">
        <v>15.262922368146977</v>
      </c>
      <c r="K166" s="1587">
        <v>15.262922368146977</v>
      </c>
      <c r="L166" s="1175"/>
      <c r="M166" s="1580"/>
      <c r="N166" s="1581">
        <v>15.262922368146977</v>
      </c>
      <c r="O166" s="1578">
        <f t="shared" si="117"/>
        <v>15.262922368146977</v>
      </c>
      <c r="P166" s="1580">
        <v>15.394520191172491</v>
      </c>
      <c r="Q166" s="1579">
        <v>15.644888766903732</v>
      </c>
      <c r="R166" s="1579">
        <v>15.973411901522248</v>
      </c>
      <c r="S166" s="1580">
        <f t="shared" si="109"/>
        <v>-15.394520191172491</v>
      </c>
      <c r="T166" s="1579">
        <f t="shared" si="110"/>
        <v>-15.644888766903732</v>
      </c>
      <c r="U166" s="1579">
        <f t="shared" si="111"/>
        <v>-15.973411901522248</v>
      </c>
      <c r="V166" s="1578">
        <f t="shared" si="118"/>
        <v>0.1315978230255137</v>
      </c>
      <c r="W166" s="1175"/>
      <c r="X166" s="1580">
        <f t="shared" si="112"/>
        <v>15.394520191172491</v>
      </c>
      <c r="Y166" s="1579">
        <f>X166</f>
        <v>15.394520191172491</v>
      </c>
      <c r="Z166" s="1580">
        <f t="shared" si="114"/>
        <v>0</v>
      </c>
      <c r="AA166" s="1586">
        <f t="shared" si="103"/>
        <v>0</v>
      </c>
      <c r="AB166" s="1574"/>
      <c r="AC166" s="933"/>
    </row>
    <row r="167" spans="1:29">
      <c r="A167" s="1207" t="s">
        <v>1348</v>
      </c>
      <c r="B167" s="859"/>
      <c r="C167" s="1585">
        <f>8.667+4.826+1.898</f>
        <v>15.390999999999998</v>
      </c>
      <c r="D167" s="1584">
        <f>-14.886+5.18+16.033</f>
        <v>6.3270000000000017</v>
      </c>
      <c r="E167" s="1583">
        <f>-14.887+16.033+0.006+5.174</f>
        <v>6.3260000000000014</v>
      </c>
      <c r="F167" s="1583">
        <f>-16.542+17.975+5.174+0.006</f>
        <v>6.6130000000000004</v>
      </c>
      <c r="G167" s="1582">
        <f>-16.16+17.232+5.174+0.006</f>
        <v>6.2519999999999998</v>
      </c>
      <c r="H167" s="1583">
        <f>D167</f>
        <v>6.3270000000000017</v>
      </c>
      <c r="I167" s="1583">
        <f>E167</f>
        <v>6.3260000000000014</v>
      </c>
      <c r="J167" s="1583">
        <f>F167</f>
        <v>6.6130000000000004</v>
      </c>
      <c r="K167" s="1582">
        <f>G167</f>
        <v>6.2519999999999998</v>
      </c>
      <c r="L167" s="1175"/>
      <c r="M167" s="1580"/>
      <c r="N167" s="1581"/>
      <c r="O167" s="1578">
        <f t="shared" si="117"/>
        <v>6.3270000000000017</v>
      </c>
      <c r="P167" s="1580">
        <v>6.3815517697200699</v>
      </c>
      <c r="Q167" s="1579">
        <v>6.4853380526115734</v>
      </c>
      <c r="R167" s="1579">
        <v>6.6215220560806092</v>
      </c>
      <c r="S167" s="1580">
        <f t="shared" si="109"/>
        <v>-5.5551769720068478E-2</v>
      </c>
      <c r="T167" s="1579">
        <f t="shared" si="110"/>
        <v>0.12766194738842707</v>
      </c>
      <c r="U167" s="1579">
        <f t="shared" si="111"/>
        <v>-0.3695220560806094</v>
      </c>
      <c r="V167" s="1578">
        <f t="shared" si="118"/>
        <v>5.4551769720068144E-2</v>
      </c>
      <c r="W167" s="1175"/>
      <c r="X167" s="1576">
        <f t="shared" si="112"/>
        <v>6.3815517697200699</v>
      </c>
      <c r="Y167" s="1577">
        <f>E167</f>
        <v>6.3260000000000014</v>
      </c>
      <c r="Z167" s="1576">
        <f t="shared" si="114"/>
        <v>-5.5551769720068478E-2</v>
      </c>
      <c r="AA167" s="1575">
        <f t="shared" si="103"/>
        <v>-6.6139842052201104E-5</v>
      </c>
      <c r="AB167" s="1574"/>
      <c r="AC167" s="933"/>
    </row>
    <row r="168" spans="1:29">
      <c r="A168" s="1436" t="s">
        <v>1285</v>
      </c>
      <c r="B168" s="1573"/>
      <c r="C168" s="1571">
        <f>C150-SUM(C151:C167)</f>
        <v>714.82569150000006</v>
      </c>
      <c r="D168" s="1569">
        <f>D150-SUM(D151:D167)</f>
        <v>703.75700000000006</v>
      </c>
      <c r="E168" s="1570">
        <f>E150-SUM(E151:E167)</f>
        <v>740.20965400000023</v>
      </c>
      <c r="F168" s="1570">
        <f>F150-SUM(F151:F167)</f>
        <v>741.01867400000037</v>
      </c>
      <c r="G168" s="1572">
        <f>G150-SUM(G151:G167)</f>
        <v>723.37236000000007</v>
      </c>
      <c r="H168" s="1569">
        <v>696.96440000000007</v>
      </c>
      <c r="I168" s="1570">
        <v>738.19665400000019</v>
      </c>
      <c r="J168" s="1570">
        <v>749.18867400000045</v>
      </c>
      <c r="K168" s="1572">
        <v>763.3613600000001</v>
      </c>
      <c r="L168" s="1175"/>
      <c r="M168" s="1569"/>
      <c r="N168" s="1572">
        <v>-6.7926000000000002</v>
      </c>
      <c r="O168" s="1571">
        <f t="shared" si="117"/>
        <v>696.96440000000007</v>
      </c>
      <c r="P168" s="1569">
        <v>702.97366844505859</v>
      </c>
      <c r="Q168" s="1570">
        <v>714.40647141387592</v>
      </c>
      <c r="R168" s="1570">
        <v>729.40811552125604</v>
      </c>
      <c r="S168" s="1569">
        <f t="shared" si="109"/>
        <v>37.235985554941635</v>
      </c>
      <c r="T168" s="1570">
        <f t="shared" si="110"/>
        <v>26.612202586124454</v>
      </c>
      <c r="U168" s="1570">
        <f t="shared" si="111"/>
        <v>-6.0357555212559646</v>
      </c>
      <c r="V168" s="1571">
        <f t="shared" si="118"/>
        <v>6.0092684450585239</v>
      </c>
      <c r="W168" s="1175"/>
      <c r="X168" s="1569">
        <f t="shared" si="112"/>
        <v>702.97366844505859</v>
      </c>
      <c r="Y168" s="1570">
        <f>E168</f>
        <v>740.20965400000023</v>
      </c>
      <c r="Z168" s="1569">
        <f t="shared" si="114"/>
        <v>37.235985554941635</v>
      </c>
      <c r="AA168" s="1568">
        <f t="shared" si="103"/>
        <v>4.4333100739582451E-2</v>
      </c>
      <c r="AB168" s="934"/>
      <c r="AC168" s="933"/>
    </row>
    <row r="169" spans="1:29">
      <c r="A169" s="1429" t="s">
        <v>67</v>
      </c>
      <c r="B169" s="1567" t="s">
        <v>1368</v>
      </c>
      <c r="C169" s="1552">
        <f t="shared" ref="C169:K169" si="120">C5-C66</f>
        <v>-2130.2805883699912</v>
      </c>
      <c r="D169" s="1564">
        <f t="shared" si="120"/>
        <v>-1586.9160000000047</v>
      </c>
      <c r="E169" s="1565">
        <f t="shared" si="120"/>
        <v>-1083.5020000000004</v>
      </c>
      <c r="F169" s="1565">
        <f t="shared" si="120"/>
        <v>-389.49900000000343</v>
      </c>
      <c r="G169" s="1566">
        <f t="shared" si="120"/>
        <v>150.71530599999824</v>
      </c>
      <c r="H169" s="1565">
        <f t="shared" si="120"/>
        <v>-2067.8850062421297</v>
      </c>
      <c r="I169" s="1565">
        <f t="shared" si="120"/>
        <v>-1315.9830484930062</v>
      </c>
      <c r="J169" s="1565">
        <f t="shared" si="120"/>
        <v>-715.31009078083298</v>
      </c>
      <c r="K169" s="1566">
        <f t="shared" si="120"/>
        <v>3.8645827279688092</v>
      </c>
      <c r="L169" s="1175"/>
      <c r="M169" s="1564">
        <f>M5-M66</f>
        <v>123.437</v>
      </c>
      <c r="N169" s="1566">
        <f>N5-N66</f>
        <v>-481.36670624212405</v>
      </c>
      <c r="O169" s="1552">
        <f t="shared" si="117"/>
        <v>-1944.8457062421289</v>
      </c>
      <c r="P169" s="1564">
        <f t="shared" ref="P169:U169" si="121">P5-P66</f>
        <v>-1509.1118999086539</v>
      </c>
      <c r="Q169" s="1565">
        <f t="shared" si="121"/>
        <v>-897.37431347983511</v>
      </c>
      <c r="R169" s="1565">
        <f t="shared" si="121"/>
        <v>-451.87226890415332</v>
      </c>
      <c r="S169" s="1564">
        <f t="shared" si="121"/>
        <v>425.60989990865158</v>
      </c>
      <c r="T169" s="1565">
        <f t="shared" si="121"/>
        <v>507.87531347985305</v>
      </c>
      <c r="U169" s="1565">
        <f t="shared" si="121"/>
        <v>602.58757490416133</v>
      </c>
      <c r="V169" s="1552">
        <f t="shared" si="118"/>
        <v>435.73380633347506</v>
      </c>
      <c r="W169" s="1175"/>
      <c r="X169" s="1564">
        <f>X5-X66</f>
        <v>-1509.1118999086539</v>
      </c>
      <c r="Y169" s="1565">
        <f>Y5-Y66</f>
        <v>-1084.129078025966</v>
      </c>
      <c r="Z169" s="1564">
        <f t="shared" si="114"/>
        <v>424.98282188268786</v>
      </c>
      <c r="AA169" s="1563">
        <f t="shared" si="103"/>
        <v>0.50598382114306195</v>
      </c>
      <c r="AC169" s="933"/>
    </row>
    <row r="170" spans="1:29">
      <c r="A170" s="1424" t="s">
        <v>185</v>
      </c>
      <c r="B170" s="1562"/>
      <c r="C170" s="1561">
        <f t="shared" ref="C170:K170" si="122">C169/C172*100</f>
        <v>-2.7073322035670961</v>
      </c>
      <c r="D170" s="1559">
        <f t="shared" si="122"/>
        <v>-1.9701542731426385</v>
      </c>
      <c r="E170" s="1560">
        <f t="shared" si="122"/>
        <v>-1.2900156287434239</v>
      </c>
      <c r="F170" s="1560">
        <f t="shared" si="122"/>
        <v>-0.44000603043587133</v>
      </c>
      <c r="G170" s="1558">
        <f t="shared" si="122"/>
        <v>0.15997019435169882</v>
      </c>
      <c r="H170" s="1559">
        <f t="shared" si="122"/>
        <v>-2.5472180379260303</v>
      </c>
      <c r="I170" s="1560">
        <f t="shared" si="122"/>
        <v>-1.5545653765030529</v>
      </c>
      <c r="J170" s="1560">
        <f t="shared" si="122"/>
        <v>-0.80175204156892454</v>
      </c>
      <c r="K170" s="1558">
        <f t="shared" si="122"/>
        <v>4.0698439981126178E-3</v>
      </c>
      <c r="L170" s="1369"/>
      <c r="M170" s="1559">
        <f t="shared" ref="M170:R170" si="123">M169/M172*100</f>
        <v>0.15204953466868926</v>
      </c>
      <c r="N170" s="1558">
        <f t="shared" si="123"/>
        <v>-0.59294687726625406</v>
      </c>
      <c r="O170" s="1561">
        <f t="shared" si="123"/>
        <v>-2.3956583895956158</v>
      </c>
      <c r="P170" s="1559">
        <f t="shared" si="123"/>
        <v>-1.7776766268749042</v>
      </c>
      <c r="Q170" s="1560">
        <f t="shared" si="123"/>
        <v>-1.0020126618799639</v>
      </c>
      <c r="R170" s="1560">
        <f t="shared" si="123"/>
        <v>-0.47186573337737586</v>
      </c>
      <c r="S170" s="1559">
        <f>P170-E170</f>
        <v>-0.48766099813148034</v>
      </c>
      <c r="T170" s="1560">
        <f>Q170-F170</f>
        <v>-0.56200663144409257</v>
      </c>
      <c r="U170" s="1560">
        <f>R170-G170</f>
        <v>-0.63183592772907471</v>
      </c>
      <c r="V170" s="1561">
        <f t="shared" si="118"/>
        <v>0.61798176272071159</v>
      </c>
      <c r="W170" s="1175"/>
      <c r="X170" s="1559">
        <f>X169/X172*100</f>
        <v>-1.7776766268749042</v>
      </c>
      <c r="Y170" s="1560">
        <f>Y169/Y172*100</f>
        <v>-1.2907622267690271</v>
      </c>
      <c r="Z170" s="1559">
        <f t="shared" si="114"/>
        <v>0.48691440010587717</v>
      </c>
      <c r="AA170" s="1558">
        <f t="shared" si="103"/>
        <v>5.7971945229156002E-4</v>
      </c>
    </row>
    <row r="171" spans="1:29">
      <c r="A171" s="1419" t="s">
        <v>1347</v>
      </c>
      <c r="B171" s="1557"/>
      <c r="C171" s="1551">
        <f t="shared" ref="C171:K171" si="124">C169+C116</f>
        <v>-750.87358836999124</v>
      </c>
      <c r="D171" s="1549">
        <f t="shared" si="124"/>
        <v>-364.41600000000471</v>
      </c>
      <c r="E171" s="1550">
        <f t="shared" si="124"/>
        <v>43.197999999999638</v>
      </c>
      <c r="F171" s="1550">
        <f t="shared" si="124"/>
        <v>734.40099999999666</v>
      </c>
      <c r="G171" s="1553">
        <f t="shared" si="124"/>
        <v>1242.2153059999982</v>
      </c>
      <c r="H171" s="1556">
        <f t="shared" si="124"/>
        <v>-845.38500624212975</v>
      </c>
      <c r="I171" s="1555">
        <f t="shared" si="124"/>
        <v>-195.761048493006</v>
      </c>
      <c r="J171" s="1555">
        <f t="shared" si="124"/>
        <v>401.78990921916716</v>
      </c>
      <c r="K171" s="1554">
        <f t="shared" si="124"/>
        <v>1088.0865827279688</v>
      </c>
      <c r="L171" s="1156"/>
      <c r="M171" s="1549">
        <f>M169+M116</f>
        <v>123.437</v>
      </c>
      <c r="N171" s="1553">
        <f>N169+N116</f>
        <v>-479.72660624212403</v>
      </c>
      <c r="O171" s="1552">
        <f>D171+M171+N171</f>
        <v>-720.70560624212874</v>
      </c>
      <c r="P171" s="1549">
        <f t="shared" ref="P171:U171" si="125">P169+P116</f>
        <v>-390.8531924835961</v>
      </c>
      <c r="Q171" s="1550">
        <f t="shared" si="125"/>
        <v>215.06076290229612</v>
      </c>
      <c r="R171" s="1550">
        <f t="shared" si="125"/>
        <v>664.49094569432896</v>
      </c>
      <c r="S171" s="1549">
        <f t="shared" si="125"/>
        <v>434.05119248359387</v>
      </c>
      <c r="T171" s="1550">
        <f t="shared" si="125"/>
        <v>519.34023709772191</v>
      </c>
      <c r="U171" s="1550">
        <f t="shared" si="125"/>
        <v>577.72436030567906</v>
      </c>
      <c r="V171" s="1551">
        <f t="shared" si="118"/>
        <v>329.85241375853263</v>
      </c>
      <c r="W171" s="1175"/>
      <c r="X171" s="1549">
        <f>X169+X116</f>
        <v>-390.8531924835961</v>
      </c>
      <c r="Y171" s="1550">
        <f>Y169+Y116</f>
        <v>42.570921974034036</v>
      </c>
      <c r="Z171" s="1549">
        <f t="shared" si="114"/>
        <v>433.42411445763014</v>
      </c>
      <c r="AA171" s="1548">
        <f t="shared" si="103"/>
        <v>0.51603400965076318</v>
      </c>
    </row>
    <row r="172" spans="1:29">
      <c r="A172" s="1547" t="s">
        <v>20</v>
      </c>
      <c r="B172" s="1546"/>
      <c r="C172" s="1540">
        <v>78685.600000000006</v>
      </c>
      <c r="D172" s="1537">
        <v>80547.803876732884</v>
      </c>
      <c r="E172" s="1538">
        <v>83991.385519523988</v>
      </c>
      <c r="F172" s="1538">
        <v>88521.286768311911</v>
      </c>
      <c r="G172" s="1536">
        <v>94214.617048377477</v>
      </c>
      <c r="H172" s="1545">
        <v>81182.096524639157</v>
      </c>
      <c r="I172" s="1544">
        <v>84652.795461923233</v>
      </c>
      <c r="J172" s="1544">
        <v>89218.368484733015</v>
      </c>
      <c r="K172" s="1543">
        <v>94956.532234675367</v>
      </c>
      <c r="L172" s="1542"/>
      <c r="M172" s="1537">
        <v>81182.096524639157</v>
      </c>
      <c r="N172" s="1536">
        <f>M172</f>
        <v>81182.096524639157</v>
      </c>
      <c r="O172" s="1540">
        <f>M172</f>
        <v>81182.096524639157</v>
      </c>
      <c r="P172" s="1537">
        <v>84892.374523797494</v>
      </c>
      <c r="Q172" s="1538">
        <v>89557.183019642922</v>
      </c>
      <c r="R172" s="1538">
        <v>95762.89120845469</v>
      </c>
      <c r="S172" s="1541">
        <f>E172-P172</f>
        <v>-900.989004273506</v>
      </c>
      <c r="T172" s="1538">
        <f>F172-Q172</f>
        <v>-1035.8962513310107</v>
      </c>
      <c r="U172" s="1538">
        <f>G172-R172</f>
        <v>-1548.2741600772133</v>
      </c>
      <c r="V172" s="1540"/>
      <c r="W172" s="1539"/>
      <c r="X172" s="1537">
        <f>P172</f>
        <v>84892.374523797494</v>
      </c>
      <c r="Y172" s="1538">
        <f>E172</f>
        <v>83991.385519523988</v>
      </c>
      <c r="Z172" s="1537">
        <f t="shared" si="114"/>
        <v>-900.989004273506</v>
      </c>
      <c r="AA172" s="1536">
        <f t="shared" si="103"/>
        <v>-1.0727159680727842</v>
      </c>
    </row>
    <row r="173" spans="1:29">
      <c r="C173" s="1413"/>
      <c r="D173" s="1413"/>
      <c r="E173" s="1413"/>
      <c r="F173" s="1413"/>
      <c r="G173" s="1413"/>
      <c r="H173" s="1413"/>
      <c r="I173" s="1413"/>
      <c r="J173" s="1413"/>
      <c r="K173" s="1413"/>
      <c r="L173" s="1413"/>
      <c r="M173" s="1413"/>
      <c r="N173" s="1413"/>
      <c r="O173" s="933"/>
      <c r="P173" s="1502"/>
      <c r="Q173" s="933"/>
      <c r="R173" s="933"/>
      <c r="S173" s="933"/>
      <c r="T173" s="1413"/>
      <c r="X173" s="933"/>
      <c r="Y173" s="933"/>
      <c r="Z173" s="933"/>
    </row>
    <row r="174" spans="1:29">
      <c r="A174" s="792" t="s">
        <v>1424</v>
      </c>
      <c r="C174" s="933"/>
      <c r="D174" s="933"/>
      <c r="E174" s="933"/>
      <c r="F174" s="933"/>
      <c r="G174" s="933"/>
      <c r="H174" s="933"/>
      <c r="I174" s="933"/>
      <c r="J174" s="933"/>
      <c r="K174" s="933"/>
      <c r="L174" s="1413"/>
      <c r="M174" s="932"/>
      <c r="N174" s="933"/>
      <c r="O174" s="933"/>
      <c r="P174" s="933"/>
      <c r="Q174" s="933"/>
      <c r="R174" s="933"/>
      <c r="T174" s="1413"/>
      <c r="Y174" s="933"/>
    </row>
    <row r="175" spans="1:29">
      <c r="A175" s="1796"/>
      <c r="B175" s="1796"/>
      <c r="C175" s="1390"/>
      <c r="D175" s="1804" t="s">
        <v>1336</v>
      </c>
      <c r="E175" s="1804"/>
      <c r="F175" s="1804"/>
      <c r="G175" s="1804"/>
      <c r="H175" s="1804" t="s">
        <v>1042</v>
      </c>
      <c r="I175" s="1804"/>
      <c r="J175" s="1804"/>
      <c r="K175" s="1804"/>
      <c r="M175" s="1804" t="s">
        <v>1335</v>
      </c>
      <c r="N175" s="1804"/>
      <c r="O175" s="1804"/>
      <c r="P175" s="1804"/>
      <c r="Q175" s="1804"/>
      <c r="R175" s="1805"/>
      <c r="S175" s="1796" t="s">
        <v>1345</v>
      </c>
      <c r="T175" s="1796"/>
      <c r="U175" s="1796"/>
      <c r="V175" s="1412"/>
      <c r="Y175" s="933"/>
    </row>
    <row r="176" spans="1:29">
      <c r="A176" s="1389" t="s">
        <v>1334</v>
      </c>
      <c r="B176" s="1792" t="s">
        <v>1333</v>
      </c>
      <c r="C176" s="1808" t="s">
        <v>540</v>
      </c>
      <c r="D176" s="1792" t="s">
        <v>1332</v>
      </c>
      <c r="E176" s="1792" t="s">
        <v>983</v>
      </c>
      <c r="F176" s="1792" t="s">
        <v>982</v>
      </c>
      <c r="G176" s="1792" t="s">
        <v>981</v>
      </c>
      <c r="H176" s="1792" t="s">
        <v>541</v>
      </c>
      <c r="I176" s="1792" t="s">
        <v>542</v>
      </c>
      <c r="J176" s="1792" t="s">
        <v>543</v>
      </c>
      <c r="K176" s="1792" t="s">
        <v>544</v>
      </c>
      <c r="M176" s="1793" t="s">
        <v>1331</v>
      </c>
      <c r="N176" s="1794"/>
      <c r="O176" s="1794" t="s">
        <v>1330</v>
      </c>
      <c r="P176" s="1792" t="s">
        <v>1153</v>
      </c>
      <c r="Q176" s="1792" t="s">
        <v>1152</v>
      </c>
      <c r="R176" s="1801" t="s">
        <v>1151</v>
      </c>
      <c r="S176" s="1802">
        <v>2017</v>
      </c>
      <c r="T176" s="1797">
        <v>2018</v>
      </c>
      <c r="U176" s="1799">
        <v>2019</v>
      </c>
      <c r="V176" s="1790" t="s">
        <v>1344</v>
      </c>
      <c r="Y176" s="933"/>
    </row>
    <row r="177" spans="1:28">
      <c r="A177" s="1389"/>
      <c r="B177" s="1792"/>
      <c r="C177" s="1808"/>
      <c r="D177" s="1792"/>
      <c r="E177" s="1792"/>
      <c r="F177" s="1792"/>
      <c r="G177" s="1792"/>
      <c r="H177" s="1792"/>
      <c r="I177" s="1792"/>
      <c r="J177" s="1792"/>
      <c r="K177" s="1792"/>
      <c r="M177" s="1388" t="s">
        <v>1329</v>
      </c>
      <c r="N177" s="1387" t="s">
        <v>1328</v>
      </c>
      <c r="O177" s="1794"/>
      <c r="P177" s="1792"/>
      <c r="Q177" s="1792"/>
      <c r="R177" s="1801"/>
      <c r="S177" s="1803"/>
      <c r="T177" s="1798"/>
      <c r="U177" s="1800"/>
      <c r="V177" s="1791"/>
      <c r="Y177" s="933"/>
    </row>
    <row r="178" spans="1:28" s="906" customFormat="1">
      <c r="A178" s="1411" t="s">
        <v>1343</v>
      </c>
      <c r="B178" s="1411"/>
      <c r="C178" s="1534">
        <f t="shared" ref="C178:K178" si="126">SUM(C179:C183)-C184</f>
        <v>15308.182000000001</v>
      </c>
      <c r="D178" s="1533">
        <f t="shared" si="126"/>
        <v>15895.623000000001</v>
      </c>
      <c r="E178" s="1533">
        <f t="shared" si="126"/>
        <v>16161.531748999998</v>
      </c>
      <c r="F178" s="1533">
        <f t="shared" si="126"/>
        <v>16715.923745200002</v>
      </c>
      <c r="G178" s="1534">
        <f t="shared" si="126"/>
        <v>17472.156555205998</v>
      </c>
      <c r="H178" s="1534">
        <f t="shared" si="126"/>
        <v>15964.876629458346</v>
      </c>
      <c r="I178" s="1534">
        <f t="shared" si="126"/>
        <v>16161.113225962075</v>
      </c>
      <c r="J178" s="1534">
        <f t="shared" si="126"/>
        <v>16796.731219405265</v>
      </c>
      <c r="K178" s="1534">
        <f t="shared" si="126"/>
        <v>17401.44205300427</v>
      </c>
      <c r="L178" s="1535"/>
      <c r="M178" s="1533">
        <f t="shared" ref="M178:V178" si="127">SUM(M179:M183)-M184</f>
        <v>-50.149000000000001</v>
      </c>
      <c r="N178" s="1534">
        <f t="shared" si="127"/>
        <v>53.003365444717588</v>
      </c>
      <c r="O178" s="1526">
        <f t="shared" si="127"/>
        <v>15914.727629458348</v>
      </c>
      <c r="P178" s="1533">
        <f t="shared" si="127"/>
        <v>16360.894467516824</v>
      </c>
      <c r="Q178" s="1533">
        <f t="shared" si="127"/>
        <v>17042.955098883132</v>
      </c>
      <c r="R178" s="1534">
        <f t="shared" si="127"/>
        <v>17876.075499537976</v>
      </c>
      <c r="S178" s="1533">
        <f t="shared" si="127"/>
        <v>-199.362718516825</v>
      </c>
      <c r="T178" s="1533">
        <f t="shared" si="127"/>
        <v>-327.03135368312974</v>
      </c>
      <c r="U178" s="1532">
        <f t="shared" si="127"/>
        <v>-403.91894433197592</v>
      </c>
      <c r="V178" s="1532">
        <f t="shared" si="127"/>
        <v>446.1668380584789</v>
      </c>
      <c r="W178" s="1405"/>
      <c r="Y178" s="1404"/>
    </row>
    <row r="179" spans="1:28">
      <c r="A179" s="898" t="s">
        <v>1323</v>
      </c>
      <c r="B179" s="898"/>
      <c r="C179" s="1530">
        <f t="shared" ref="C179:K179" si="128">C67</f>
        <v>7049.4970000000003</v>
      </c>
      <c r="D179" s="1109">
        <f t="shared" si="128"/>
        <v>7222.5</v>
      </c>
      <c r="E179" s="1109">
        <f t="shared" si="128"/>
        <v>7342.7</v>
      </c>
      <c r="F179" s="1109">
        <f t="shared" si="128"/>
        <v>7699.2</v>
      </c>
      <c r="G179" s="1530">
        <f t="shared" si="128"/>
        <v>8085.5</v>
      </c>
      <c r="H179" s="1530">
        <f t="shared" si="128"/>
        <v>7201.1417612672449</v>
      </c>
      <c r="I179" s="1530">
        <f t="shared" si="128"/>
        <v>7488.4949056169517</v>
      </c>
      <c r="J179" s="1530">
        <f t="shared" si="128"/>
        <v>7840.8095029322694</v>
      </c>
      <c r="K179" s="1530">
        <f t="shared" si="128"/>
        <v>8245.647688662415</v>
      </c>
      <c r="L179" s="1531"/>
      <c r="M179" s="1109">
        <f t="shared" ref="M179:R179" si="129">M67</f>
        <v>-12.704000000000001</v>
      </c>
      <c r="N179" s="1530">
        <f t="shared" si="129"/>
        <v>-21.358238732754554</v>
      </c>
      <c r="O179" s="1531">
        <f t="shared" si="129"/>
        <v>7188.4377612672461</v>
      </c>
      <c r="P179" s="1109">
        <f t="shared" si="129"/>
        <v>7371.4673858151309</v>
      </c>
      <c r="Q179" s="1109">
        <f t="shared" si="129"/>
        <v>7707.2793039276958</v>
      </c>
      <c r="R179" s="1530">
        <f t="shared" si="129"/>
        <v>8120.4779537428549</v>
      </c>
      <c r="S179" s="1529">
        <f t="shared" ref="S179:U184" si="130">E179-P179</f>
        <v>-28.767385815131092</v>
      </c>
      <c r="T179" s="1528">
        <f t="shared" si="130"/>
        <v>-8.0793039276959462</v>
      </c>
      <c r="U179" s="1528">
        <f t="shared" si="130"/>
        <v>-34.977953742854879</v>
      </c>
      <c r="V179" s="1527">
        <f t="shared" ref="V179:V184" si="131">P179-O179</f>
        <v>183.02962454788485</v>
      </c>
      <c r="Y179" s="933"/>
    </row>
    <row r="180" spans="1:28">
      <c r="A180" s="898" t="s">
        <v>1162</v>
      </c>
      <c r="B180" s="898"/>
      <c r="C180" s="1530">
        <f t="shared" ref="C180:K180" si="132">C81</f>
        <v>4654.8230000000003</v>
      </c>
      <c r="D180" s="1109">
        <f t="shared" si="132"/>
        <v>4511.6000000000004</v>
      </c>
      <c r="E180" s="1109">
        <f t="shared" si="132"/>
        <v>4717</v>
      </c>
      <c r="F180" s="1109">
        <f t="shared" si="132"/>
        <v>4645.8</v>
      </c>
      <c r="G180" s="1530">
        <f t="shared" si="132"/>
        <v>4730.1000000000004</v>
      </c>
      <c r="H180" s="1530">
        <f t="shared" si="132"/>
        <v>4752.0725142932788</v>
      </c>
      <c r="I180" s="1530">
        <f t="shared" si="132"/>
        <v>4540.6149956677091</v>
      </c>
      <c r="J180" s="1530">
        <f t="shared" si="132"/>
        <v>4637.9157963354837</v>
      </c>
      <c r="K180" s="1530">
        <f t="shared" si="132"/>
        <v>4635.0370933982322</v>
      </c>
      <c r="L180" s="1531"/>
      <c r="M180" s="1109">
        <f t="shared" ref="M180:R180" si="133">M81</f>
        <v>-37.445</v>
      </c>
      <c r="N180" s="1530">
        <f t="shared" si="133"/>
        <v>240.47251429327886</v>
      </c>
      <c r="O180" s="1531">
        <f t="shared" si="133"/>
        <v>4714.6275142932791</v>
      </c>
      <c r="P180" s="1109">
        <f t="shared" si="133"/>
        <v>4762.2591206522739</v>
      </c>
      <c r="Q180" s="1109">
        <f t="shared" si="133"/>
        <v>4865.0333575507748</v>
      </c>
      <c r="R180" s="1530">
        <f t="shared" si="133"/>
        <v>4996.8086751432611</v>
      </c>
      <c r="S180" s="1529">
        <f t="shared" si="130"/>
        <v>-45.25912065227385</v>
      </c>
      <c r="T180" s="1528">
        <f t="shared" si="130"/>
        <v>-219.2333575507746</v>
      </c>
      <c r="U180" s="1528">
        <f t="shared" si="130"/>
        <v>-266.70867514326073</v>
      </c>
      <c r="V180" s="1527">
        <f t="shared" si="131"/>
        <v>47.631606358994759</v>
      </c>
      <c r="Y180" s="933"/>
    </row>
    <row r="181" spans="1:28">
      <c r="A181" s="898" t="s">
        <v>1342</v>
      </c>
      <c r="B181" s="898"/>
      <c r="C181" s="1530">
        <v>60.7</v>
      </c>
      <c r="D181" s="1109">
        <f>44.141</f>
        <v>44.140999999999998</v>
      </c>
      <c r="E181" s="1109">
        <v>49.786000000000001</v>
      </c>
      <c r="F181" s="1109">
        <v>50.771000000000001</v>
      </c>
      <c r="G181" s="1530">
        <v>49.805999999999997</v>
      </c>
      <c r="H181" s="1530">
        <f>O181</f>
        <v>60.391264013626873</v>
      </c>
      <c r="I181" s="1530">
        <f>P181</f>
        <v>60.911961078203319</v>
      </c>
      <c r="J181" s="1530">
        <f>Q181</f>
        <v>61.902601952408119</v>
      </c>
      <c r="K181" s="1530">
        <f>R181</f>
        <v>63.202479320502192</v>
      </c>
      <c r="L181" s="1531"/>
      <c r="M181" s="1109">
        <v>0</v>
      </c>
      <c r="N181" s="1530">
        <v>0</v>
      </c>
      <c r="O181" s="1531">
        <v>60.391264013626873</v>
      </c>
      <c r="P181" s="1109">
        <v>60.911961078203319</v>
      </c>
      <c r="Q181" s="1109">
        <v>61.902601952408119</v>
      </c>
      <c r="R181" s="1530">
        <v>63.202479320502192</v>
      </c>
      <c r="S181" s="1529">
        <f t="shared" si="130"/>
        <v>-11.125961078203318</v>
      </c>
      <c r="T181" s="1528">
        <f t="shared" si="130"/>
        <v>-11.131601952408118</v>
      </c>
      <c r="U181" s="1528">
        <f t="shared" si="130"/>
        <v>-13.396479320502195</v>
      </c>
      <c r="V181" s="1527">
        <f t="shared" si="131"/>
        <v>0.52069706457644571</v>
      </c>
      <c r="Y181" s="933"/>
    </row>
    <row r="182" spans="1:28">
      <c r="A182" s="898" t="s">
        <v>1341</v>
      </c>
      <c r="B182" s="898"/>
      <c r="C182" s="1530">
        <f t="shared" ref="C182:K182" si="134">C103</f>
        <v>3992.864</v>
      </c>
      <c r="D182" s="1109">
        <f t="shared" si="134"/>
        <v>4168.277</v>
      </c>
      <c r="E182" s="1109">
        <f t="shared" si="134"/>
        <v>4221.8822739999996</v>
      </c>
      <c r="F182" s="1109">
        <f t="shared" si="134"/>
        <v>4436.5526149999996</v>
      </c>
      <c r="G182" s="1530">
        <f t="shared" si="134"/>
        <v>4677.2078250000004</v>
      </c>
      <c r="H182" s="1530">
        <f t="shared" si="134"/>
        <v>4215.808</v>
      </c>
      <c r="I182" s="1530">
        <f t="shared" si="134"/>
        <v>4375.3867987150197</v>
      </c>
      <c r="J182" s="1530">
        <f t="shared" si="134"/>
        <v>4523.9620981009093</v>
      </c>
      <c r="K182" s="1530">
        <f t="shared" si="134"/>
        <v>4679.4709715329282</v>
      </c>
      <c r="L182" s="1531"/>
      <c r="M182" s="1109">
        <f t="shared" ref="M182:R182" si="135">M103</f>
        <v>0</v>
      </c>
      <c r="N182" s="1530">
        <f t="shared" si="135"/>
        <v>47.530999999999999</v>
      </c>
      <c r="O182" s="1531">
        <f t="shared" si="135"/>
        <v>4215.808</v>
      </c>
      <c r="P182" s="1109">
        <f t="shared" si="135"/>
        <v>4435.3435302137414</v>
      </c>
      <c r="Q182" s="1109">
        <f t="shared" si="135"/>
        <v>4716.3343547506665</v>
      </c>
      <c r="R182" s="1530">
        <f t="shared" si="135"/>
        <v>5079.2363746805449</v>
      </c>
      <c r="S182" s="1529">
        <f t="shared" si="130"/>
        <v>-213.46125621374176</v>
      </c>
      <c r="T182" s="1528">
        <f t="shared" si="130"/>
        <v>-279.78173975066693</v>
      </c>
      <c r="U182" s="1528">
        <f t="shared" si="130"/>
        <v>-402.02854968054453</v>
      </c>
      <c r="V182" s="1527">
        <f t="shared" si="131"/>
        <v>219.53553021374137</v>
      </c>
      <c r="Y182" s="933"/>
    </row>
    <row r="183" spans="1:28">
      <c r="A183" s="898" t="s">
        <v>1340</v>
      </c>
      <c r="B183" s="898"/>
      <c r="C183" s="1530">
        <v>3032.6</v>
      </c>
      <c r="D183" s="1109">
        <f>O183</f>
        <v>3123.578</v>
      </c>
      <c r="E183" s="1109">
        <f>P183</f>
        <v>3217.2853399999999</v>
      </c>
      <c r="F183" s="1109">
        <f>Q183</f>
        <v>3313.8039002</v>
      </c>
      <c r="G183" s="1530">
        <f>R183</f>
        <v>3413.2180172060002</v>
      </c>
      <c r="H183" s="1530">
        <f>D183</f>
        <v>3123.578</v>
      </c>
      <c r="I183" s="1530">
        <f>E183</f>
        <v>3217.2853399999999</v>
      </c>
      <c r="J183" s="1530">
        <f>F183</f>
        <v>3313.8039002</v>
      </c>
      <c r="K183" s="1530">
        <f>G183</f>
        <v>3413.2180172060002</v>
      </c>
      <c r="L183" s="1531"/>
      <c r="M183" s="1109">
        <v>0</v>
      </c>
      <c r="N183" s="1530">
        <v>0</v>
      </c>
      <c r="O183" s="1531">
        <f>C183*1.03</f>
        <v>3123.578</v>
      </c>
      <c r="P183" s="1109">
        <f>O183*1.03</f>
        <v>3217.2853399999999</v>
      </c>
      <c r="Q183" s="1109">
        <f>P183*1.03</f>
        <v>3313.8039002</v>
      </c>
      <c r="R183" s="1530">
        <f>Q183*1.03</f>
        <v>3413.2180172060002</v>
      </c>
      <c r="S183" s="1529">
        <f t="shared" si="130"/>
        <v>0</v>
      </c>
      <c r="T183" s="1528">
        <f t="shared" si="130"/>
        <v>0</v>
      </c>
      <c r="U183" s="1528">
        <f t="shared" si="130"/>
        <v>0</v>
      </c>
      <c r="V183" s="1527">
        <f t="shared" si="131"/>
        <v>93.707339999999931</v>
      </c>
      <c r="Y183" s="933"/>
    </row>
    <row r="184" spans="1:28">
      <c r="A184" s="898" t="s">
        <v>1339</v>
      </c>
      <c r="B184" s="898"/>
      <c r="C184" s="1530">
        <f t="shared" ref="C184:K184" si="136">C45</f>
        <v>3482.3019999999997</v>
      </c>
      <c r="D184" s="1109">
        <f t="shared" si="136"/>
        <v>3174.473</v>
      </c>
      <c r="E184" s="1109">
        <f t="shared" si="136"/>
        <v>3387.1218650000001</v>
      </c>
      <c r="F184" s="1109">
        <f t="shared" si="136"/>
        <v>3430.2037700000001</v>
      </c>
      <c r="G184" s="1530">
        <f t="shared" si="136"/>
        <v>3483.675287</v>
      </c>
      <c r="H184" s="1530">
        <f t="shared" si="136"/>
        <v>3388.1149101158067</v>
      </c>
      <c r="I184" s="1530">
        <f t="shared" si="136"/>
        <v>3521.5807751158068</v>
      </c>
      <c r="J184" s="1530">
        <f t="shared" si="136"/>
        <v>3581.6626801158068</v>
      </c>
      <c r="K184" s="1530">
        <f t="shared" si="136"/>
        <v>3635.1341971158067</v>
      </c>
      <c r="L184" s="1531"/>
      <c r="M184" s="1109">
        <f t="shared" ref="M184:R184" si="137">M45</f>
        <v>0</v>
      </c>
      <c r="N184" s="1530">
        <f t="shared" si="137"/>
        <v>213.6419101158067</v>
      </c>
      <c r="O184" s="1531">
        <f t="shared" si="137"/>
        <v>3388.1149101158067</v>
      </c>
      <c r="P184" s="1109">
        <f t="shared" si="137"/>
        <v>3486.3728702425251</v>
      </c>
      <c r="Q184" s="1109">
        <f t="shared" si="137"/>
        <v>3621.3984194984159</v>
      </c>
      <c r="R184" s="1530">
        <f t="shared" si="137"/>
        <v>3796.8680005551864</v>
      </c>
      <c r="S184" s="1529">
        <f t="shared" si="130"/>
        <v>-99.251005242525025</v>
      </c>
      <c r="T184" s="1528">
        <f t="shared" si="130"/>
        <v>-191.19464949841586</v>
      </c>
      <c r="U184" s="1528">
        <f t="shared" si="130"/>
        <v>-313.1927135551864</v>
      </c>
      <c r="V184" s="1527">
        <f t="shared" si="131"/>
        <v>98.257960126718444</v>
      </c>
      <c r="Y184" s="933"/>
    </row>
    <row r="185" spans="1:28">
      <c r="A185" s="1396" t="s">
        <v>1338</v>
      </c>
      <c r="B185" s="1396"/>
      <c r="C185" s="1522">
        <f t="shared" ref="C185:K185" si="138">C125</f>
        <v>4950.6450000000004</v>
      </c>
      <c r="D185" s="1523">
        <f t="shared" si="138"/>
        <v>2456.9</v>
      </c>
      <c r="E185" s="1523">
        <f t="shared" si="138"/>
        <v>2840.8</v>
      </c>
      <c r="F185" s="1523">
        <f t="shared" si="138"/>
        <v>2998.5</v>
      </c>
      <c r="G185" s="1522">
        <f t="shared" si="138"/>
        <v>2381.5</v>
      </c>
      <c r="H185" s="1524">
        <f t="shared" si="138"/>
        <v>2974.2630817233862</v>
      </c>
      <c r="I185" s="1522">
        <f t="shared" si="138"/>
        <v>3650.0080109584796</v>
      </c>
      <c r="J185" s="1522">
        <f t="shared" si="138"/>
        <v>3519.8587898024289</v>
      </c>
      <c r="K185" s="1522">
        <f t="shared" si="138"/>
        <v>3238.5613399855488</v>
      </c>
      <c r="L185" s="1526"/>
      <c r="M185" s="1525">
        <f t="shared" ref="M185:V185" si="139">M125</f>
        <v>-12</v>
      </c>
      <c r="N185" s="1522">
        <f t="shared" si="139"/>
        <v>517.36308172338636</v>
      </c>
      <c r="O185" s="1524">
        <f t="shared" si="139"/>
        <v>2962.2630817233867</v>
      </c>
      <c r="P185" s="1523">
        <f t="shared" si="139"/>
        <v>3759.7540221684549</v>
      </c>
      <c r="Q185" s="1523">
        <f t="shared" si="139"/>
        <v>3713.6858421583856</v>
      </c>
      <c r="R185" s="1522">
        <f t="shared" si="139"/>
        <v>3486.2980595298131</v>
      </c>
      <c r="S185" s="1523">
        <f t="shared" si="139"/>
        <v>-918.954022168454</v>
      </c>
      <c r="T185" s="1523">
        <f t="shared" si="139"/>
        <v>-715.18584215838575</v>
      </c>
      <c r="U185" s="1522">
        <f t="shared" si="139"/>
        <v>-1104.7980595298131</v>
      </c>
      <c r="V185" s="1522">
        <f t="shared" si="139"/>
        <v>797.49094044506819</v>
      </c>
      <c r="Y185" s="933"/>
    </row>
    <row r="186" spans="1:28">
      <c r="A186" s="1262"/>
      <c r="B186" s="1262"/>
      <c r="C186" s="1521"/>
      <c r="D186" s="1521"/>
      <c r="E186" s="1521"/>
      <c r="F186" s="1521"/>
      <c r="G186" s="1521"/>
      <c r="H186" s="1521"/>
      <c r="I186" s="1521"/>
      <c r="J186" s="1521"/>
      <c r="K186" s="1521"/>
      <c r="L186" s="1521"/>
      <c r="M186" s="1521"/>
      <c r="N186" s="1521"/>
      <c r="O186" s="1521"/>
      <c r="P186" s="1521"/>
      <c r="Q186" s="1521"/>
      <c r="R186" s="1521"/>
      <c r="S186" s="1521"/>
      <c r="T186" s="1521"/>
      <c r="U186" s="1521"/>
      <c r="V186" s="1521"/>
      <c r="Y186" s="933"/>
    </row>
    <row r="187" spans="1:28">
      <c r="A187" s="792" t="s">
        <v>1423</v>
      </c>
      <c r="B187" s="1262"/>
      <c r="C187" s="1521"/>
      <c r="D187" s="1521"/>
      <c r="E187" s="1521"/>
      <c r="F187" s="1521"/>
      <c r="G187" s="1521"/>
      <c r="H187" s="1521"/>
      <c r="I187" s="1521"/>
      <c r="J187" s="1521"/>
      <c r="K187" s="1521"/>
      <c r="L187" s="1521"/>
      <c r="M187" s="1521"/>
      <c r="N187" s="1521"/>
      <c r="O187" s="1521"/>
      <c r="P187" s="1521"/>
      <c r="Q187" s="1521"/>
      <c r="R187" s="1521"/>
      <c r="S187" s="1521"/>
      <c r="T187" s="1521"/>
      <c r="U187" s="1521"/>
      <c r="V187" s="1521"/>
      <c r="Y187" s="933"/>
    </row>
    <row r="188" spans="1:28">
      <c r="A188" s="1796"/>
      <c r="B188" s="1796"/>
      <c r="C188" s="1390"/>
      <c r="D188" s="1804" t="s">
        <v>1336</v>
      </c>
      <c r="E188" s="1804"/>
      <c r="F188" s="1804"/>
      <c r="G188" s="1804"/>
      <c r="H188" s="1804" t="s">
        <v>1042</v>
      </c>
      <c r="I188" s="1804"/>
      <c r="J188" s="1804"/>
      <c r="K188" s="1804"/>
      <c r="L188" s="933"/>
      <c r="M188" s="1804" t="s">
        <v>1335</v>
      </c>
      <c r="N188" s="1804"/>
      <c r="O188" s="1804"/>
      <c r="P188" s="1804"/>
      <c r="Q188" s="1804"/>
      <c r="R188" s="1805"/>
      <c r="T188" s="1413"/>
      <c r="Y188" s="933"/>
    </row>
    <row r="189" spans="1:28">
      <c r="A189" s="1389" t="s">
        <v>1334</v>
      </c>
      <c r="B189" s="1792" t="s">
        <v>1333</v>
      </c>
      <c r="C189" s="1809" t="s">
        <v>540</v>
      </c>
      <c r="D189" s="1792" t="s">
        <v>1332</v>
      </c>
      <c r="E189" s="1792" t="s">
        <v>983</v>
      </c>
      <c r="F189" s="1792" t="s">
        <v>982</v>
      </c>
      <c r="G189" s="1792" t="s">
        <v>981</v>
      </c>
      <c r="H189" s="1792" t="s">
        <v>541</v>
      </c>
      <c r="I189" s="1792" t="s">
        <v>542</v>
      </c>
      <c r="J189" s="1792" t="s">
        <v>543</v>
      </c>
      <c r="K189" s="1792" t="s">
        <v>544</v>
      </c>
      <c r="M189" s="1793" t="s">
        <v>1331</v>
      </c>
      <c r="N189" s="1794"/>
      <c r="O189" s="1794" t="s">
        <v>1330</v>
      </c>
      <c r="P189" s="1792" t="s">
        <v>1153</v>
      </c>
      <c r="Q189" s="1792" t="s">
        <v>1152</v>
      </c>
      <c r="R189" s="1801" t="s">
        <v>1151</v>
      </c>
      <c r="T189" s="1413"/>
      <c r="Y189" s="933"/>
    </row>
    <row r="190" spans="1:28">
      <c r="A190" s="1389"/>
      <c r="B190" s="1792"/>
      <c r="C190" s="1810"/>
      <c r="D190" s="1792"/>
      <c r="E190" s="1792"/>
      <c r="F190" s="1792"/>
      <c r="G190" s="1792"/>
      <c r="H190" s="1792"/>
      <c r="I190" s="1792"/>
      <c r="J190" s="1792"/>
      <c r="K190" s="1792"/>
      <c r="M190" s="1388" t="s">
        <v>1329</v>
      </c>
      <c r="N190" s="1387" t="s">
        <v>1328</v>
      </c>
      <c r="O190" s="1794"/>
      <c r="P190" s="1792"/>
      <c r="Q190" s="1792"/>
      <c r="R190" s="1801"/>
      <c r="S190" s="933"/>
      <c r="V190" s="1361"/>
    </row>
    <row r="191" spans="1:28">
      <c r="A191" s="1501" t="s">
        <v>1422</v>
      </c>
      <c r="B191" s="1172"/>
      <c r="C191" s="1476">
        <v>4121.8567147599997</v>
      </c>
      <c r="D191" s="1519">
        <v>2276.3310000000001</v>
      </c>
      <c r="E191" s="1171">
        <v>2655.9270000000001</v>
      </c>
      <c r="F191" s="1171">
        <v>3341.7460000000001</v>
      </c>
      <c r="G191" s="1518">
        <v>3224.7719999999999</v>
      </c>
      <c r="H191" s="1520">
        <v>2121.4096256725102</v>
      </c>
      <c r="I191" s="1519">
        <v>2476.3840717131802</v>
      </c>
      <c r="J191" s="1171">
        <v>2490.1684287831699</v>
      </c>
      <c r="K191" s="1518">
        <v>2584.04957014404</v>
      </c>
      <c r="L191" s="759"/>
      <c r="M191" s="1495"/>
      <c r="N191" s="1494"/>
      <c r="O191" s="1520">
        <v>2121.4096256725102</v>
      </c>
      <c r="P191" s="1519">
        <v>2476.3840717131802</v>
      </c>
      <c r="Q191" s="1171">
        <v>2490.1684287831699</v>
      </c>
      <c r="R191" s="1518">
        <v>2584.04957014404</v>
      </c>
      <c r="S191" s="1517"/>
      <c r="T191" s="1517"/>
      <c r="U191" s="1517"/>
      <c r="V191" s="1361"/>
      <c r="X191" s="932"/>
      <c r="Y191" s="932"/>
      <c r="Z191" s="932"/>
      <c r="AA191" s="932"/>
      <c r="AB191" s="932"/>
    </row>
    <row r="192" spans="1:28">
      <c r="A192" s="1373" t="s">
        <v>1421</v>
      </c>
      <c r="B192" s="938"/>
      <c r="C192" s="1473">
        <f>C151+C126+C82+C68+C107</f>
        <v>2912.1025462599987</v>
      </c>
      <c r="D192" s="1472">
        <f>D151+D126+D82+D68+D107</f>
        <v>1014.8439999999999</v>
      </c>
      <c r="E192" s="1175">
        <f>E151+E126+E82+E68+E107</f>
        <v>1147.869152</v>
      </c>
      <c r="F192" s="1175">
        <f>F151+F126+F82+F68+F107</f>
        <v>1642.868416</v>
      </c>
      <c r="G192" s="1471">
        <f>G151+G126+G82+G68+G107</f>
        <v>1337.0959990000001</v>
      </c>
      <c r="H192" s="1476">
        <v>930.72872903666689</v>
      </c>
      <c r="I192" s="1475">
        <v>1329.6024585445514</v>
      </c>
      <c r="J192" s="1156">
        <v>1307.6094110766605</v>
      </c>
      <c r="K192" s="1474">
        <v>1096.1795571842692</v>
      </c>
      <c r="L192" s="759"/>
      <c r="M192" s="1508"/>
      <c r="N192" s="1516"/>
      <c r="O192" s="1476">
        <f>O200</f>
        <v>930.72872903666689</v>
      </c>
      <c r="P192" s="1475">
        <f>E192/E191*(P191-P197)+P197</f>
        <v>1329.6024585445514</v>
      </c>
      <c r="Q192" s="1156">
        <f>F192/F191*(Q191-Q197)+Q197</f>
        <v>1307.6094110766605</v>
      </c>
      <c r="R192" s="1474">
        <f>G192/G191*(R191-R197)+R197</f>
        <v>1096.1795571842692</v>
      </c>
      <c r="S192" s="936"/>
      <c r="T192" s="936"/>
      <c r="U192" s="936"/>
      <c r="V192" s="1361"/>
    </row>
    <row r="193" spans="1:29">
      <c r="A193" s="1367" t="s">
        <v>1420</v>
      </c>
      <c r="B193" s="762"/>
      <c r="C193" s="1470">
        <f>C152+C142+C127+C118+C108+C83+C69</f>
        <v>740.16210275000026</v>
      </c>
      <c r="D193" s="1469">
        <f>D152+D142+D127+D118+D108+D83+D69</f>
        <v>419.71900000000005</v>
      </c>
      <c r="E193" s="1155">
        <f>E152+E142+E127+E118+E108+E83+E69</f>
        <v>528.03712300000007</v>
      </c>
      <c r="F193" s="1155">
        <f>F152+F142+F127+F118+F108+F83+F69</f>
        <v>601.69867099999999</v>
      </c>
      <c r="G193" s="1468">
        <f>G152+G142+G127+G118+G108+G83+G69</f>
        <v>565.23699199999999</v>
      </c>
      <c r="H193" s="1470">
        <v>369.245247609778</v>
      </c>
      <c r="I193" s="1469">
        <v>421.84633386387998</v>
      </c>
      <c r="J193" s="1155">
        <v>407.376235246916</v>
      </c>
      <c r="K193" s="1468">
        <v>419.92949262803802</v>
      </c>
      <c r="L193" s="759"/>
      <c r="M193" s="1364"/>
      <c r="N193" s="1362"/>
      <c r="O193" s="1470">
        <v>369.245247609778</v>
      </c>
      <c r="P193" s="1469">
        <v>421.84633386387998</v>
      </c>
      <c r="Q193" s="1155">
        <v>407.376235246916</v>
      </c>
      <c r="R193" s="1468">
        <v>419.92949262803802</v>
      </c>
      <c r="S193" s="1413"/>
      <c r="T193" s="1413"/>
      <c r="U193" s="1413"/>
      <c r="V193" s="930"/>
    </row>
    <row r="194" spans="1:29" hidden="1">
      <c r="A194" s="1373"/>
      <c r="B194" s="938"/>
      <c r="C194" s="1483"/>
      <c r="D194" s="1508"/>
      <c r="E194" s="1507"/>
      <c r="F194" s="1507"/>
      <c r="G194" s="1515"/>
      <c r="H194" s="1483"/>
      <c r="I194" s="1370"/>
      <c r="J194" s="1369"/>
      <c r="K194" s="1368"/>
      <c r="L194" s="759"/>
      <c r="M194" s="1370"/>
      <c r="N194" s="1368"/>
      <c r="O194" s="1483"/>
      <c r="P194" s="1370"/>
      <c r="Q194" s="1369"/>
      <c r="R194" s="1368"/>
      <c r="S194" s="1413"/>
      <c r="T194" s="1413"/>
      <c r="U194" s="1413"/>
      <c r="V194" s="1361"/>
    </row>
    <row r="195" spans="1:29" hidden="1">
      <c r="A195" s="1373" t="s">
        <v>1419</v>
      </c>
      <c r="B195" s="938"/>
      <c r="C195" s="1483"/>
      <c r="D195" s="1508"/>
      <c r="E195" s="1507"/>
      <c r="F195" s="1507"/>
      <c r="G195" s="1515"/>
      <c r="H195" s="1483"/>
      <c r="I195" s="1370"/>
      <c r="J195" s="1369"/>
      <c r="K195" s="1368"/>
      <c r="L195" s="759"/>
      <c r="M195" s="1370"/>
      <c r="N195" s="1368"/>
      <c r="O195" s="1483"/>
      <c r="P195" s="1370"/>
      <c r="Q195" s="1369"/>
      <c r="R195" s="1368"/>
      <c r="S195" s="1413">
        <v>-1918</v>
      </c>
      <c r="T195" s="1413">
        <v>-1159.9000000000001</v>
      </c>
      <c r="U195" s="1413">
        <v>-333.9</v>
      </c>
      <c r="V195" s="1361"/>
    </row>
    <row r="196" spans="1:29" hidden="1">
      <c r="A196" s="1379" t="s">
        <v>1418</v>
      </c>
      <c r="B196" s="1183"/>
      <c r="C196" s="1511"/>
      <c r="D196" s="1514"/>
      <c r="E196" s="1513"/>
      <c r="F196" s="1513"/>
      <c r="G196" s="1512"/>
      <c r="H196" s="1511"/>
      <c r="I196" s="1376"/>
      <c r="J196" s="1375"/>
      <c r="K196" s="1374"/>
      <c r="L196" s="917"/>
      <c r="M196" s="1376"/>
      <c r="N196" s="1374"/>
      <c r="O196" s="1511"/>
      <c r="P196" s="1376"/>
      <c r="Q196" s="1375"/>
      <c r="R196" s="1374"/>
      <c r="S196" s="1510">
        <f>S195-S169</f>
        <v>-2343.6098999086516</v>
      </c>
      <c r="T196" s="1510">
        <f>T195-T169</f>
        <v>-1667.7753134798531</v>
      </c>
      <c r="U196" s="1510">
        <f>U195-U169</f>
        <v>-936.48757490416131</v>
      </c>
      <c r="V196" s="1361"/>
      <c r="AB196" s="1413"/>
      <c r="AC196" s="1413"/>
    </row>
    <row r="197" spans="1:29">
      <c r="A197" s="1373" t="s">
        <v>1417</v>
      </c>
      <c r="B197" s="938"/>
      <c r="C197" s="1509"/>
      <c r="D197" s="1508"/>
      <c r="E197" s="938"/>
      <c r="F197" s="1507"/>
      <c r="G197" s="1372"/>
      <c r="H197" s="1484">
        <v>340.87672903666697</v>
      </c>
      <c r="I197" s="1475">
        <v>456.72132896266697</v>
      </c>
      <c r="J197" s="1156">
        <v>164.037397093333</v>
      </c>
      <c r="K197" s="1474">
        <v>42.277806933333302</v>
      </c>
      <c r="L197" s="759"/>
      <c r="M197" s="1370"/>
      <c r="N197" s="1368"/>
      <c r="O197" s="1484">
        <v>340.87672903666697</v>
      </c>
      <c r="P197" s="1475">
        <v>456.72132896266697</v>
      </c>
      <c r="Q197" s="1156">
        <v>164.037397093333</v>
      </c>
      <c r="R197" s="1474">
        <v>42.277806933333302</v>
      </c>
      <c r="S197" s="1502"/>
      <c r="V197" s="1361"/>
    </row>
    <row r="198" spans="1:29">
      <c r="A198" s="1367" t="s">
        <v>829</v>
      </c>
      <c r="B198" s="762"/>
      <c r="C198" s="1506"/>
      <c r="D198" s="1505"/>
      <c r="E198" s="762"/>
      <c r="F198" s="1504"/>
      <c r="G198" s="1366"/>
      <c r="H198" s="1503">
        <v>60.154716888823501</v>
      </c>
      <c r="I198" s="1469">
        <v>80.597881581647101</v>
      </c>
      <c r="J198" s="1155">
        <v>28.947775957647099</v>
      </c>
      <c r="K198" s="1468">
        <v>7.4607894588235304</v>
      </c>
      <c r="L198" s="759"/>
      <c r="M198" s="1364"/>
      <c r="N198" s="1362"/>
      <c r="O198" s="1503">
        <v>60.154716888823501</v>
      </c>
      <c r="P198" s="1469">
        <v>80.597881581647101</v>
      </c>
      <c r="Q198" s="1155">
        <v>28.947775957647099</v>
      </c>
      <c r="R198" s="1468">
        <v>7.4607894588235304</v>
      </c>
      <c r="S198" s="1502"/>
    </row>
    <row r="199" spans="1:29">
      <c r="A199" s="1501"/>
      <c r="B199" s="1496"/>
      <c r="C199" s="1500"/>
      <c r="D199" s="1499"/>
      <c r="E199" s="1172"/>
      <c r="F199" s="1498"/>
      <c r="G199" s="1496"/>
      <c r="H199" s="1497"/>
      <c r="I199" s="938"/>
      <c r="J199" s="938"/>
      <c r="K199" s="1496"/>
      <c r="L199" s="759"/>
      <c r="M199" s="1495"/>
      <c r="N199" s="1494"/>
      <c r="O199" s="1493"/>
      <c r="P199" s="1492"/>
      <c r="Q199" s="1491"/>
      <c r="R199" s="1490"/>
    </row>
    <row r="200" spans="1:29" s="1477" customFormat="1">
      <c r="A200" s="1379" t="s">
        <v>1327</v>
      </c>
      <c r="B200" s="1378"/>
      <c r="C200" s="1482">
        <f>SUM(C201:C204)</f>
        <v>2912.1025462599982</v>
      </c>
      <c r="D200" s="1481">
        <f>SUM(D201:D204)</f>
        <v>1014.8439999999999</v>
      </c>
      <c r="E200" s="1480">
        <f>SUM(E201:E204)</f>
        <v>1147.869152</v>
      </c>
      <c r="F200" s="1480">
        <f>SUM(F201:F204)</f>
        <v>1642.868416</v>
      </c>
      <c r="G200" s="1479">
        <f>SUM(G201:G204)</f>
        <v>1337.0959990000001</v>
      </c>
      <c r="H200" s="1482">
        <v>930.72872903666689</v>
      </c>
      <c r="I200" s="1481">
        <v>1329.6024585445512</v>
      </c>
      <c r="J200" s="1480">
        <v>1307.6094110766603</v>
      </c>
      <c r="K200" s="1479">
        <v>1096.1795571842695</v>
      </c>
      <c r="L200" s="917"/>
      <c r="M200" s="1379"/>
      <c r="N200" s="1378"/>
      <c r="O200" s="1482">
        <f>SUM(O201:O204)</f>
        <v>930.72872903666689</v>
      </c>
      <c r="P200" s="1481">
        <f>SUM(P201:P204)</f>
        <v>1329.6024585445512</v>
      </c>
      <c r="Q200" s="1480">
        <f>SUM(Q201:Q204)</f>
        <v>1307.6094110766603</v>
      </c>
      <c r="R200" s="1479">
        <f>SUM(R201:R204)</f>
        <v>1096.1795571842695</v>
      </c>
      <c r="W200" s="1478"/>
    </row>
    <row r="201" spans="1:29">
      <c r="A201" s="1373" t="s">
        <v>1323</v>
      </c>
      <c r="B201" s="1372"/>
      <c r="C201" s="1476">
        <f>C68</f>
        <v>164.18161628999974</v>
      </c>
      <c r="D201" s="1475">
        <f>D68</f>
        <v>167.85900000000001</v>
      </c>
      <c r="E201" s="1156">
        <f>E68</f>
        <v>40.054031999999999</v>
      </c>
      <c r="F201" s="1156">
        <f>F68</f>
        <v>193.40563800000001</v>
      </c>
      <c r="G201" s="1474">
        <f>G68</f>
        <v>309.32682</v>
      </c>
      <c r="H201" s="1473">
        <v>100</v>
      </c>
      <c r="I201" s="1489">
        <v>49.212221206924283</v>
      </c>
      <c r="J201" s="1488">
        <v>51.375104024514712</v>
      </c>
      <c r="K201" s="1487">
        <v>54.005861137328885</v>
      </c>
      <c r="L201" s="759"/>
      <c r="M201" s="1373"/>
      <c r="N201" s="1372"/>
      <c r="O201" s="1473">
        <v>100</v>
      </c>
      <c r="P201" s="1489">
        <f>($P$192-$P$197)*C201/$C$200</f>
        <v>49.212221206924283</v>
      </c>
      <c r="Q201" s="1488">
        <v>51.375104024514712</v>
      </c>
      <c r="R201" s="1487">
        <v>54.005861137328885</v>
      </c>
    </row>
    <row r="202" spans="1:29">
      <c r="A202" s="1373" t="s">
        <v>1162</v>
      </c>
      <c r="B202" s="1372"/>
      <c r="C202" s="1476">
        <f>C82</f>
        <v>283.29757762000048</v>
      </c>
      <c r="D202" s="1475">
        <f>D82</f>
        <v>175.494</v>
      </c>
      <c r="E202" s="1156">
        <f>E82</f>
        <v>62.789055700000006</v>
      </c>
      <c r="F202" s="1156">
        <f>F82</f>
        <v>93.285781560000004</v>
      </c>
      <c r="G202" s="1474">
        <f>G82</f>
        <v>98.551059480000006</v>
      </c>
      <c r="H202" s="1473">
        <v>125</v>
      </c>
      <c r="I202" s="1489">
        <v>99.91634674003663</v>
      </c>
      <c r="J202" s="1488">
        <v>101.54133492511279</v>
      </c>
      <c r="K202" s="1487">
        <v>103.6735762046747</v>
      </c>
      <c r="L202" s="759"/>
      <c r="M202" s="1373"/>
      <c r="N202" s="1372"/>
      <c r="O202" s="1473">
        <v>125</v>
      </c>
      <c r="P202" s="1489">
        <f>($P$192-$P$197)*C202/$C$200+15</f>
        <v>99.91634674003663</v>
      </c>
      <c r="Q202" s="1488">
        <v>101.54133492511279</v>
      </c>
      <c r="R202" s="1487">
        <v>103.6735762046747</v>
      </c>
    </row>
    <row r="203" spans="1:29">
      <c r="A203" s="1373" t="s">
        <v>1320</v>
      </c>
      <c r="B203" s="1372"/>
      <c r="C203" s="1476">
        <f>C151+C107</f>
        <v>15.30529378000012</v>
      </c>
      <c r="D203" s="1475">
        <f>D151+D107</f>
        <v>100.56099999999999</v>
      </c>
      <c r="E203" s="1156">
        <f>E151+E107</f>
        <v>244.91299000000001</v>
      </c>
      <c r="F203" s="1156">
        <f>F151+F107</f>
        <v>339.638374</v>
      </c>
      <c r="G203" s="1474">
        <f>G151+G107</f>
        <v>342.95548400000001</v>
      </c>
      <c r="H203" s="1473">
        <v>5</v>
      </c>
      <c r="I203" s="1489">
        <v>4.5876482407622996</v>
      </c>
      <c r="J203" s="1488">
        <v>6.0103328624467185</v>
      </c>
      <c r="K203" s="1487">
        <v>5.539048040585981</v>
      </c>
      <c r="L203" s="759"/>
      <c r="M203" s="1373"/>
      <c r="N203" s="1372"/>
      <c r="O203" s="1473">
        <v>5</v>
      </c>
      <c r="P203" s="1489">
        <f>($P$192-$P$197)*C203/$C$200</f>
        <v>4.5876482407622996</v>
      </c>
      <c r="Q203" s="1488">
        <f>($Q$192-$Q$197)*C203/$C$200</f>
        <v>6.0103328624467185</v>
      </c>
      <c r="R203" s="1487">
        <f>($R$192-$R$197)*C203/$C$200</f>
        <v>5.539048040585981</v>
      </c>
    </row>
    <row r="204" spans="1:29">
      <c r="A204" s="1373" t="s">
        <v>1322</v>
      </c>
      <c r="B204" s="1372"/>
      <c r="C204" s="1476">
        <f>C126</f>
        <v>2449.3180585699979</v>
      </c>
      <c r="D204" s="1475">
        <f>D126</f>
        <v>570.92999999999995</v>
      </c>
      <c r="E204" s="1156">
        <f>E126</f>
        <v>800.11307429999999</v>
      </c>
      <c r="F204" s="1156">
        <f>F126</f>
        <v>1016.53862244</v>
      </c>
      <c r="G204" s="1474">
        <f>G126</f>
        <v>586.26263552</v>
      </c>
      <c r="H204" s="1473">
        <v>700.72872903666689</v>
      </c>
      <c r="I204" s="1475">
        <v>1175.886242356828</v>
      </c>
      <c r="J204" s="1156">
        <v>1148.6826392645862</v>
      </c>
      <c r="K204" s="1474">
        <v>932.96107180167985</v>
      </c>
      <c r="L204" s="759"/>
      <c r="M204" s="1373"/>
      <c r="N204" s="1372"/>
      <c r="O204" s="1473">
        <f>O197-211.078+D204</f>
        <v>700.72872903666689</v>
      </c>
      <c r="P204" s="1475">
        <f>($P$192-$P$197)*C204/$C$200+P197-15</f>
        <v>1175.886242356828</v>
      </c>
      <c r="Q204" s="1156">
        <f>Q192-Q201-Q202-Q203</f>
        <v>1148.6826392645862</v>
      </c>
      <c r="R204" s="1474">
        <f>R192-R201-R202-R203</f>
        <v>932.96107180167985</v>
      </c>
    </row>
    <row r="205" spans="1:29">
      <c r="A205" s="1373"/>
      <c r="B205" s="1372"/>
      <c r="C205" s="1483"/>
      <c r="D205" s="1373"/>
      <c r="E205" s="938"/>
      <c r="F205" s="938"/>
      <c r="G205" s="1372"/>
      <c r="H205" s="1486"/>
      <c r="I205" s="1373"/>
      <c r="J205" s="938"/>
      <c r="K205" s="1372"/>
      <c r="L205" s="759"/>
      <c r="M205" s="1373"/>
      <c r="N205" s="1372"/>
      <c r="O205" s="1486"/>
      <c r="P205" s="1373"/>
      <c r="Q205" s="938"/>
      <c r="R205" s="1372"/>
    </row>
    <row r="206" spans="1:29" s="1477" customFormat="1">
      <c r="A206" s="1379" t="s">
        <v>1326</v>
      </c>
      <c r="B206" s="1378"/>
      <c r="C206" s="1482">
        <f>C191-C192</f>
        <v>1209.754168500001</v>
      </c>
      <c r="D206" s="1481">
        <f>D191-D192</f>
        <v>1261.4870000000001</v>
      </c>
      <c r="E206" s="1480">
        <f>E191-E192</f>
        <v>1508.0578480000001</v>
      </c>
      <c r="F206" s="1480">
        <f>F191-F192</f>
        <v>1698.8775840000001</v>
      </c>
      <c r="G206" s="1479">
        <f>G191-G192</f>
        <v>1887.6760009999998</v>
      </c>
      <c r="H206" s="1485">
        <v>1190.6808966358433</v>
      </c>
      <c r="I206" s="1481">
        <v>1146.7816131686288</v>
      </c>
      <c r="J206" s="1480">
        <v>1182.5590177065094</v>
      </c>
      <c r="K206" s="1479">
        <v>1487.8700129597707</v>
      </c>
      <c r="L206" s="917"/>
      <c r="M206" s="1379"/>
      <c r="N206" s="1378"/>
      <c r="O206" s="1485">
        <f>O191-O192</f>
        <v>1190.6808966358433</v>
      </c>
      <c r="P206" s="1481">
        <f>P191-P192</f>
        <v>1146.7816131686288</v>
      </c>
      <c r="Q206" s="1480">
        <f>Q191-Q192</f>
        <v>1182.5590177065094</v>
      </c>
      <c r="R206" s="1479">
        <f>R191-R192</f>
        <v>1487.8700129597707</v>
      </c>
      <c r="W206" s="1478"/>
    </row>
    <row r="207" spans="1:29">
      <c r="A207" s="1373" t="s">
        <v>1325</v>
      </c>
      <c r="B207" s="1372"/>
      <c r="C207" s="1484">
        <v>675.83219930999996</v>
      </c>
      <c r="D207" s="1475">
        <f>D206-D208</f>
        <v>784.94500000000016</v>
      </c>
      <c r="E207" s="1156">
        <f>E206-E208</f>
        <v>932.49484800000016</v>
      </c>
      <c r="F207" s="1156">
        <f>F206-F208</f>
        <v>825.89458400000012</v>
      </c>
      <c r="G207" s="1474">
        <f>G206-G208</f>
        <v>841.15200099999993</v>
      </c>
      <c r="H207" s="1473">
        <v>675.83219930999996</v>
      </c>
      <c r="I207" s="1475">
        <v>696.10716528929993</v>
      </c>
      <c r="J207" s="1156">
        <v>716.99038024797892</v>
      </c>
      <c r="K207" s="1474">
        <v>738.50009165541826</v>
      </c>
      <c r="L207" s="759"/>
      <c r="M207" s="1373"/>
      <c r="N207" s="1372"/>
      <c r="O207" s="1473">
        <f>C207</f>
        <v>675.83219930999996</v>
      </c>
      <c r="P207" s="1475">
        <f>O207*1.03</f>
        <v>696.10716528929993</v>
      </c>
      <c r="Q207" s="1156">
        <f>P207*1.03</f>
        <v>716.99038024797892</v>
      </c>
      <c r="R207" s="1474">
        <f>Q207*1.03</f>
        <v>738.50009165541826</v>
      </c>
    </row>
    <row r="208" spans="1:29">
      <c r="A208" s="1373" t="s">
        <v>780</v>
      </c>
      <c r="B208" s="1372"/>
      <c r="C208" s="1484">
        <f>C206-C207</f>
        <v>533.92196919000105</v>
      </c>
      <c r="D208" s="1475">
        <v>476.54199999999997</v>
      </c>
      <c r="E208" s="1156">
        <v>575.56299999999999</v>
      </c>
      <c r="F208" s="1156">
        <v>872.98299999999995</v>
      </c>
      <c r="G208" s="1474">
        <v>1046.5239999999999</v>
      </c>
      <c r="H208" s="1473">
        <v>514.84869732584332</v>
      </c>
      <c r="I208" s="1475">
        <v>450.67444787932891</v>
      </c>
      <c r="J208" s="1156">
        <v>465.56863745853047</v>
      </c>
      <c r="K208" s="1474">
        <v>749.36992130435249</v>
      </c>
      <c r="L208" s="759"/>
      <c r="M208" s="1373"/>
      <c r="N208" s="1372"/>
      <c r="O208" s="1473">
        <f>O206-O207</f>
        <v>514.84869732584332</v>
      </c>
      <c r="P208" s="1475">
        <f>P206-P207</f>
        <v>450.67444787932891</v>
      </c>
      <c r="Q208" s="1156">
        <f>Q206-Q207</f>
        <v>465.56863745853047</v>
      </c>
      <c r="R208" s="1474">
        <f>R206-R207</f>
        <v>749.36992130435249</v>
      </c>
    </row>
    <row r="209" spans="1:23">
      <c r="A209" s="1373"/>
      <c r="B209" s="1372"/>
      <c r="C209" s="1483"/>
      <c r="D209" s="1373"/>
      <c r="E209" s="938"/>
      <c r="F209" s="938"/>
      <c r="G209" s="1372"/>
      <c r="H209" s="1483"/>
      <c r="I209" s="1475"/>
      <c r="J209" s="1156"/>
      <c r="K209" s="1474"/>
      <c r="L209" s="759"/>
      <c r="M209" s="1373"/>
      <c r="N209" s="1372"/>
      <c r="O209" s="1483"/>
      <c r="P209" s="1475"/>
      <c r="Q209" s="1156"/>
      <c r="R209" s="1474"/>
    </row>
    <row r="210" spans="1:23" s="1477" customFormat="1">
      <c r="A210" s="1379" t="s">
        <v>1324</v>
      </c>
      <c r="B210" s="1378"/>
      <c r="C210" s="1482">
        <f>SUM(C211:C217)</f>
        <v>740.16210275000014</v>
      </c>
      <c r="D210" s="1481">
        <f>SUM(D211:D217)</f>
        <v>419.71900000000005</v>
      </c>
      <c r="E210" s="1480">
        <f>SUM(E211:E217)</f>
        <v>528.03712300000007</v>
      </c>
      <c r="F210" s="1480">
        <f>SUM(F211:F217)</f>
        <v>601.69867099999999</v>
      </c>
      <c r="G210" s="1479">
        <f>SUM(G211:G217)</f>
        <v>565.23699199999999</v>
      </c>
      <c r="H210" s="1482">
        <v>369.245247609778</v>
      </c>
      <c r="I210" s="1481">
        <v>421.84633386387998</v>
      </c>
      <c r="J210" s="1480">
        <v>407.376235246916</v>
      </c>
      <c r="K210" s="1479">
        <v>419.92949262803802</v>
      </c>
      <c r="L210" s="917"/>
      <c r="M210" s="1379"/>
      <c r="N210" s="1378"/>
      <c r="O210" s="1482">
        <f>O193</f>
        <v>369.245247609778</v>
      </c>
      <c r="P210" s="1481">
        <f>P193</f>
        <v>421.84633386387998</v>
      </c>
      <c r="Q210" s="1480">
        <f>Q193</f>
        <v>407.376235246916</v>
      </c>
      <c r="R210" s="1479">
        <f>R193</f>
        <v>419.92949262803802</v>
      </c>
      <c r="W210" s="1478"/>
    </row>
    <row r="211" spans="1:23">
      <c r="A211" s="1373" t="s">
        <v>1323</v>
      </c>
      <c r="B211" s="1372"/>
      <c r="C211" s="1476">
        <f>C69</f>
        <v>33.217016850000022</v>
      </c>
      <c r="D211" s="1475">
        <f>D69</f>
        <v>20.164999999999999</v>
      </c>
      <c r="E211" s="1156">
        <f>E69</f>
        <v>13.669035989999999</v>
      </c>
      <c r="F211" s="1156">
        <f>F69</f>
        <v>24.153909389999999</v>
      </c>
      <c r="G211" s="1474">
        <f>G69</f>
        <v>28.599595420000004</v>
      </c>
      <c r="H211" s="1473">
        <v>17.3594394860636</v>
      </c>
      <c r="I211" s="1472">
        <v>8.315048827094337</v>
      </c>
      <c r="J211" s="1175">
        <v>8.3579992687253579</v>
      </c>
      <c r="K211" s="1471">
        <v>8.7638582776262144</v>
      </c>
      <c r="L211" s="759"/>
      <c r="M211" s="1373"/>
      <c r="N211" s="1372"/>
      <c r="O211" s="1473">
        <f t="shared" ref="O211:R212" si="140">O201*(O$193-O$198)/(O$191-O$197)</f>
        <v>17.3594394860636</v>
      </c>
      <c r="P211" s="1472">
        <f t="shared" si="140"/>
        <v>8.315048827094337</v>
      </c>
      <c r="Q211" s="1175">
        <f t="shared" si="140"/>
        <v>8.3579992687253579</v>
      </c>
      <c r="R211" s="1471">
        <f t="shared" si="140"/>
        <v>8.7638582776262144</v>
      </c>
    </row>
    <row r="212" spans="1:23">
      <c r="A212" s="1373" t="s">
        <v>1162</v>
      </c>
      <c r="B212" s="1372"/>
      <c r="C212" s="1476">
        <f>C83</f>
        <v>54.884850279999924</v>
      </c>
      <c r="D212" s="1475">
        <f>D83</f>
        <v>43.484999999999999</v>
      </c>
      <c r="E212" s="1156">
        <f>E83</f>
        <v>22.220635680000001</v>
      </c>
      <c r="F212" s="1156">
        <f>F83</f>
        <v>34.228735210000004</v>
      </c>
      <c r="G212" s="1474">
        <f>G83</f>
        <v>52.862629570000003</v>
      </c>
      <c r="H212" s="1473">
        <v>21.699299357579498</v>
      </c>
      <c r="I212" s="1472">
        <v>16.882174415069805</v>
      </c>
      <c r="J212" s="1175">
        <v>16.519332061002206</v>
      </c>
      <c r="K212" s="1471">
        <v>16.823739310110529</v>
      </c>
      <c r="L212" s="759"/>
      <c r="M212" s="1373"/>
      <c r="N212" s="1372"/>
      <c r="O212" s="1473">
        <f t="shared" si="140"/>
        <v>21.699299357579498</v>
      </c>
      <c r="P212" s="1472">
        <f t="shared" si="140"/>
        <v>16.882174415069805</v>
      </c>
      <c r="Q212" s="1175">
        <f t="shared" si="140"/>
        <v>16.519332061002206</v>
      </c>
      <c r="R212" s="1471">
        <f t="shared" si="140"/>
        <v>16.823739310110529</v>
      </c>
    </row>
    <row r="213" spans="1:23">
      <c r="A213" s="1373" t="s">
        <v>1161</v>
      </c>
      <c r="B213" s="1372"/>
      <c r="C213" s="1476">
        <f>C108</f>
        <v>18.927046139999998</v>
      </c>
      <c r="D213" s="1475">
        <f>D108</f>
        <v>12.321</v>
      </c>
      <c r="E213" s="1156">
        <f>E108</f>
        <v>24.797895</v>
      </c>
      <c r="F213" s="1156">
        <f>F108</f>
        <v>26.588263999999999</v>
      </c>
      <c r="G213" s="1474">
        <f>G108</f>
        <v>32.686925000000002</v>
      </c>
      <c r="H213" s="1473">
        <v>12.321</v>
      </c>
      <c r="I213" s="1472">
        <v>12.061999999999999</v>
      </c>
      <c r="J213" s="1175">
        <v>10.82</v>
      </c>
      <c r="K213" s="1471">
        <v>13.25</v>
      </c>
      <c r="L213" s="759"/>
      <c r="M213" s="1373"/>
      <c r="N213" s="1372"/>
      <c r="O213" s="1473">
        <f>D213</f>
        <v>12.321</v>
      </c>
      <c r="P213" s="1472">
        <v>12.061999999999999</v>
      </c>
      <c r="Q213" s="1175">
        <v>10.82</v>
      </c>
      <c r="R213" s="1471">
        <v>13.25</v>
      </c>
    </row>
    <row r="214" spans="1:23">
      <c r="A214" s="1373" t="s">
        <v>1224</v>
      </c>
      <c r="B214" s="1372"/>
      <c r="C214" s="1476">
        <f>C118</f>
        <v>47.090900030000007</v>
      </c>
      <c r="D214" s="1475">
        <f>D118</f>
        <v>120.60599999999999</v>
      </c>
      <c r="E214" s="1156">
        <f>E118</f>
        <v>149.88206099999999</v>
      </c>
      <c r="F214" s="1156">
        <f>F118</f>
        <v>106.95584700000001</v>
      </c>
      <c r="G214" s="1474">
        <f>G118</f>
        <v>100.390947</v>
      </c>
      <c r="H214" s="1473">
        <v>93.840929275276409</v>
      </c>
      <c r="I214" s="1472">
        <v>96.656157153534707</v>
      </c>
      <c r="J214" s="1175">
        <v>99.555841868140746</v>
      </c>
      <c r="K214" s="1471">
        <v>102.54251712418497</v>
      </c>
      <c r="L214" s="759"/>
      <c r="M214" s="1373"/>
      <c r="N214" s="1372"/>
      <c r="O214" s="1473">
        <f>O207/D207*D214-10</f>
        <v>93.840929275276409</v>
      </c>
      <c r="P214" s="1472">
        <f>O214*(P207/O207)</f>
        <v>96.656157153534707</v>
      </c>
      <c r="Q214" s="1175">
        <f>P214*(Q207/P207)</f>
        <v>99.555841868140746</v>
      </c>
      <c r="R214" s="1471">
        <f>Q214*(R207/Q207)</f>
        <v>102.54251712418497</v>
      </c>
    </row>
    <row r="215" spans="1:23">
      <c r="A215" s="1373" t="s">
        <v>1322</v>
      </c>
      <c r="B215" s="1372"/>
      <c r="C215" s="1476">
        <f>C127</f>
        <v>437.32576360000019</v>
      </c>
      <c r="D215" s="1475">
        <f>D127</f>
        <v>96.566000000000003</v>
      </c>
      <c r="E215" s="1156">
        <f>E127</f>
        <v>150.83595233000003</v>
      </c>
      <c r="F215" s="1156">
        <f>F127</f>
        <v>178.57628940000001</v>
      </c>
      <c r="G215" s="1474">
        <f>G127</f>
        <v>99.227639010000004</v>
      </c>
      <c r="H215" s="1473">
        <v>122.62300706821307</v>
      </c>
      <c r="I215" s="1472">
        <v>202.11020561314467</v>
      </c>
      <c r="J215" s="1175">
        <v>189.13556282994776</v>
      </c>
      <c r="K215" s="1471">
        <v>151.99735899357376</v>
      </c>
      <c r="L215" s="759"/>
      <c r="M215" s="1373"/>
      <c r="N215" s="1372"/>
      <c r="O215" s="1473">
        <f>(O204-O197)*(O$193-O$198)/(O$191-O$197)+O198</f>
        <v>122.62300706821307</v>
      </c>
      <c r="P215" s="1472">
        <f>(P204-P197)*(P$193-P$198)/(P$191-P$197)+P198</f>
        <v>202.11020561314467</v>
      </c>
      <c r="Q215" s="1175">
        <f>(Q204-Q197)*(Q$193-Q$198)/(Q$191-Q$197)+Q198</f>
        <v>189.13556282994776</v>
      </c>
      <c r="R215" s="1471">
        <f>(R204-R197)*(R$193-R$198)/(R$191-R$197)+R198</f>
        <v>151.99735899357376</v>
      </c>
    </row>
    <row r="216" spans="1:23">
      <c r="A216" s="1373" t="s">
        <v>1321</v>
      </c>
      <c r="B216" s="1372"/>
      <c r="C216" s="1476">
        <f>C142</f>
        <v>135.58061354000006</v>
      </c>
      <c r="D216" s="1475">
        <f>D142</f>
        <v>95.614999999999995</v>
      </c>
      <c r="E216" s="1156">
        <f>E142</f>
        <v>90.277186999999998</v>
      </c>
      <c r="F216" s="1156">
        <f>F142</f>
        <v>147.22367399999999</v>
      </c>
      <c r="G216" s="1474">
        <f>G142</f>
        <v>165.69210000000001</v>
      </c>
      <c r="H216" s="1473">
        <v>89.374848057066515</v>
      </c>
      <c r="I216" s="1472">
        <v>76.147346072506409</v>
      </c>
      <c r="J216" s="1175">
        <v>75.741400534451088</v>
      </c>
      <c r="K216" s="1471">
        <v>121.6047971372478</v>
      </c>
      <c r="L216" s="759"/>
      <c r="M216" s="1373"/>
      <c r="N216" s="1372"/>
      <c r="O216" s="1473">
        <f>O208*(O$193-O$198)/(O$191-O$197)</f>
        <v>89.374848057066515</v>
      </c>
      <c r="P216" s="1472">
        <f>P208*(P$193-P$198)/(P$191-P$197)</f>
        <v>76.147346072506409</v>
      </c>
      <c r="Q216" s="1175">
        <f>Q208*(Q$193-Q$198)/(Q$191-Q$197)</f>
        <v>75.741400534451088</v>
      </c>
      <c r="R216" s="1471">
        <f>R208*(R$193-R$198)/(R$191-R$197)</f>
        <v>121.6047971372478</v>
      </c>
    </row>
    <row r="217" spans="1:23">
      <c r="A217" s="1367" t="s">
        <v>1320</v>
      </c>
      <c r="B217" s="1366"/>
      <c r="C217" s="1470">
        <f>C152</f>
        <v>13.135912310000002</v>
      </c>
      <c r="D217" s="1469">
        <f>D152</f>
        <v>30.960999999999999</v>
      </c>
      <c r="E217" s="1155">
        <f>E152</f>
        <v>76.354355999999996</v>
      </c>
      <c r="F217" s="1155">
        <f>F152</f>
        <v>83.971952000000002</v>
      </c>
      <c r="G217" s="1468">
        <f>G152</f>
        <v>85.777156000000005</v>
      </c>
      <c r="H217" s="1467">
        <v>12.0267243655789</v>
      </c>
      <c r="I217" s="1466">
        <v>9.6734017825300498</v>
      </c>
      <c r="J217" s="1170">
        <v>7.246098684648814</v>
      </c>
      <c r="K217" s="1465">
        <v>4.9472217852946869</v>
      </c>
      <c r="L217" s="759"/>
      <c r="M217" s="1367"/>
      <c r="N217" s="1366"/>
      <c r="O217" s="1467">
        <f>O210-SUM(O211:O216)</f>
        <v>12.0267243655789</v>
      </c>
      <c r="P217" s="1466">
        <f>P210-SUM(P211:P216)</f>
        <v>9.6734017825300498</v>
      </c>
      <c r="Q217" s="1170">
        <f>Q210-SUM(Q211:Q216)</f>
        <v>7.246098684648814</v>
      </c>
      <c r="R217" s="1465">
        <f>R210-SUM(R211:R216)</f>
        <v>4.9472217852946869</v>
      </c>
    </row>
    <row r="218" spans="1:23">
      <c r="O218" s="936"/>
      <c r="P218" s="936"/>
      <c r="Q218" s="936"/>
      <c r="R218" s="936"/>
      <c r="S218" s="936"/>
    </row>
    <row r="219" spans="1:23">
      <c r="A219" s="792" t="s">
        <v>1416</v>
      </c>
      <c r="O219" s="936"/>
      <c r="P219" s="936"/>
      <c r="Q219" s="936"/>
      <c r="R219" s="936"/>
      <c r="S219" s="936"/>
    </row>
    <row r="220" spans="1:23">
      <c r="A220" s="1796"/>
      <c r="B220" s="1796"/>
      <c r="C220" s="1390"/>
      <c r="D220" s="1804"/>
      <c r="E220" s="1804"/>
      <c r="F220" s="1804"/>
      <c r="G220" s="1805"/>
      <c r="H220" s="1804" t="s">
        <v>1042</v>
      </c>
      <c r="I220" s="1804"/>
      <c r="J220" s="1804"/>
      <c r="K220" s="1804"/>
      <c r="M220" s="1804" t="s">
        <v>17</v>
      </c>
      <c r="N220" s="1804"/>
      <c r="O220" s="1804"/>
      <c r="P220" s="1804"/>
      <c r="Q220" s="1804"/>
      <c r="R220" s="1805"/>
      <c r="S220" s="1796" t="s">
        <v>1345</v>
      </c>
      <c r="T220" s="1796"/>
      <c r="U220" s="1796"/>
      <c r="V220" s="1412"/>
    </row>
    <row r="221" spans="1:23" ht="12.75" customHeight="1">
      <c r="A221" s="1389"/>
      <c r="B221" s="1792" t="s">
        <v>1333</v>
      </c>
      <c r="C221" s="1808" t="s">
        <v>540</v>
      </c>
      <c r="D221" s="1792" t="s">
        <v>1332</v>
      </c>
      <c r="E221" s="1792" t="s">
        <v>983</v>
      </c>
      <c r="F221" s="1792" t="s">
        <v>982</v>
      </c>
      <c r="G221" s="1801" t="s">
        <v>981</v>
      </c>
      <c r="H221" s="1792" t="s">
        <v>541</v>
      </c>
      <c r="I221" s="1792" t="s">
        <v>542</v>
      </c>
      <c r="J221" s="1792" t="s">
        <v>543</v>
      </c>
      <c r="K221" s="1792" t="s">
        <v>544</v>
      </c>
      <c r="M221" s="1793" t="s">
        <v>1331</v>
      </c>
      <c r="N221" s="1794"/>
      <c r="O221" s="1794" t="s">
        <v>1330</v>
      </c>
      <c r="P221" s="1792" t="s">
        <v>1153</v>
      </c>
      <c r="Q221" s="1792" t="s">
        <v>1152</v>
      </c>
      <c r="R221" s="1801" t="s">
        <v>1151</v>
      </c>
      <c r="S221" s="1802">
        <v>2017</v>
      </c>
      <c r="T221" s="1797">
        <v>2018</v>
      </c>
      <c r="U221" s="1799">
        <v>2019</v>
      </c>
      <c r="V221" s="1795" t="s">
        <v>1344</v>
      </c>
    </row>
    <row r="222" spans="1:23">
      <c r="A222" s="1389"/>
      <c r="B222" s="1792"/>
      <c r="C222" s="1808"/>
      <c r="D222" s="1814"/>
      <c r="E222" s="1814"/>
      <c r="F222" s="1814"/>
      <c r="G222" s="1815"/>
      <c r="H222" s="1792"/>
      <c r="I222" s="1792"/>
      <c r="J222" s="1792"/>
      <c r="K222" s="1792"/>
      <c r="M222" s="1388" t="s">
        <v>1329</v>
      </c>
      <c r="N222" s="1387" t="s">
        <v>1328</v>
      </c>
      <c r="O222" s="1794"/>
      <c r="P222" s="1792"/>
      <c r="Q222" s="1792"/>
      <c r="R222" s="1801"/>
      <c r="S222" s="1811"/>
      <c r="T222" s="1792"/>
      <c r="U222" s="1801"/>
      <c r="V222" s="1793"/>
    </row>
    <row r="223" spans="1:23">
      <c r="A223" s="1429" t="s">
        <v>26</v>
      </c>
      <c r="B223" s="1429" t="s">
        <v>1148</v>
      </c>
      <c r="C223" s="1426">
        <f t="shared" ref="C223:K223" si="141">C5/C$172*100</f>
        <v>42.85426864843123</v>
      </c>
      <c r="D223" s="1463">
        <f t="shared" si="141"/>
        <v>39.81794966015763</v>
      </c>
      <c r="E223" s="1462">
        <f t="shared" si="141"/>
        <v>39.78324419024225</v>
      </c>
      <c r="F223" s="1462">
        <f t="shared" si="141"/>
        <v>39.812571966154295</v>
      </c>
      <c r="G223" s="1461">
        <f t="shared" si="141"/>
        <v>38.719379698023438</v>
      </c>
      <c r="H223" s="1463">
        <f t="shared" si="141"/>
        <v>39.655233793250382</v>
      </c>
      <c r="I223" s="1462">
        <f t="shared" si="141"/>
        <v>39.932876629322628</v>
      </c>
      <c r="J223" s="1462">
        <f t="shared" si="141"/>
        <v>39.39264589076425</v>
      </c>
      <c r="K223" s="1461">
        <f t="shared" si="141"/>
        <v>38.423321584230216</v>
      </c>
      <c r="L223" s="1414"/>
      <c r="M223" s="1463">
        <f t="shared" ref="M223:R232" si="142">M5/M$172*100</f>
        <v>-0.14981505184839228</v>
      </c>
      <c r="N223" s="1462">
        <f t="shared" si="142"/>
        <v>0.14992046315398652</v>
      </c>
      <c r="O223" s="1464">
        <f t="shared" si="142"/>
        <v>39.506949128092145</v>
      </c>
      <c r="P223" s="1462">
        <f t="shared" si="142"/>
        <v>39.721839847926312</v>
      </c>
      <c r="Q223" s="1462">
        <f t="shared" si="142"/>
        <v>39.341402509758879</v>
      </c>
      <c r="R223" s="1462">
        <f t="shared" si="142"/>
        <v>38.483873468923171</v>
      </c>
      <c r="S223" s="1463">
        <f t="shared" ref="S223:S254" si="143">E223-P223</f>
        <v>6.140434231593872E-2</v>
      </c>
      <c r="T223" s="1462">
        <f t="shared" ref="T223:T254" si="144">F223-Q223</f>
        <v>0.47116945639541541</v>
      </c>
      <c r="U223" s="1461">
        <f t="shared" ref="U223:U254" si="145">G223-R223</f>
        <v>0.23550622910026675</v>
      </c>
      <c r="V223" s="1461">
        <f t="shared" ref="V223:V254" si="146">P223-O223</f>
        <v>0.21489071983416608</v>
      </c>
      <c r="W223" s="1440"/>
    </row>
    <row r="224" spans="1:23">
      <c r="A224" s="1445" t="s">
        <v>901</v>
      </c>
      <c r="B224" s="1349" t="s">
        <v>1415</v>
      </c>
      <c r="C224" s="892">
        <f t="shared" ref="C224:K224" si="147">C6/C$172*100</f>
        <v>10.809835598889757</v>
      </c>
      <c r="D224" s="1459">
        <f t="shared" si="147"/>
        <v>10.78626552413014</v>
      </c>
      <c r="E224" s="892">
        <f t="shared" si="147"/>
        <v>10.880163416134812</v>
      </c>
      <c r="F224" s="892">
        <f t="shared" si="147"/>
        <v>10.666022088802102</v>
      </c>
      <c r="G224" s="1458">
        <f t="shared" si="147"/>
        <v>10.461752442233957</v>
      </c>
      <c r="H224" s="1459">
        <f t="shared" si="147"/>
        <v>10.781489238016331</v>
      </c>
      <c r="I224" s="892">
        <f t="shared" si="147"/>
        <v>10.860527962311396</v>
      </c>
      <c r="J224" s="892">
        <f t="shared" si="147"/>
        <v>10.649411293441458</v>
      </c>
      <c r="K224" s="1458">
        <f t="shared" si="147"/>
        <v>10.444534412223188</v>
      </c>
      <c r="L224" s="1442"/>
      <c r="M224" s="1459">
        <f t="shared" si="142"/>
        <v>0</v>
      </c>
      <c r="N224" s="892">
        <f t="shared" si="142"/>
        <v>7.949905553426069E-2</v>
      </c>
      <c r="O224" s="1460">
        <f t="shared" si="142"/>
        <v>10.781489238016331</v>
      </c>
      <c r="P224" s="892">
        <f t="shared" si="142"/>
        <v>10.726894476509601</v>
      </c>
      <c r="Q224" s="892">
        <f t="shared" si="142"/>
        <v>10.52242494059538</v>
      </c>
      <c r="R224" s="892">
        <f t="shared" si="142"/>
        <v>10.208193264124128</v>
      </c>
      <c r="S224" s="1459">
        <f t="shared" si="143"/>
        <v>0.15326893962521027</v>
      </c>
      <c r="T224" s="892">
        <f t="shared" si="144"/>
        <v>0.14359714820672131</v>
      </c>
      <c r="U224" s="1458">
        <f t="shared" si="145"/>
        <v>0.25355917810982831</v>
      </c>
      <c r="V224" s="1458">
        <f t="shared" si="146"/>
        <v>-5.4594761506729483E-2</v>
      </c>
      <c r="W224" s="1440"/>
    </row>
    <row r="225" spans="1:23">
      <c r="A225" s="1207" t="s">
        <v>1309</v>
      </c>
      <c r="B225" s="764"/>
      <c r="C225" s="1455">
        <f t="shared" ref="C225:K225" si="148">C7/C$172*100</f>
        <v>6.8883923394877842</v>
      </c>
      <c r="D225" s="1456">
        <f t="shared" si="148"/>
        <v>6.8454951402998452</v>
      </c>
      <c r="E225" s="1455">
        <f t="shared" si="148"/>
        <v>6.8574937350701806</v>
      </c>
      <c r="F225" s="1455">
        <f t="shared" si="148"/>
        <v>6.7538534721573509</v>
      </c>
      <c r="G225" s="1454">
        <f t="shared" si="148"/>
        <v>6.6500742626623017</v>
      </c>
      <c r="H225" s="1456">
        <f t="shared" si="148"/>
        <v>6.792009859373989</v>
      </c>
      <c r="I225" s="1455">
        <f t="shared" si="148"/>
        <v>6.8039147066214847</v>
      </c>
      <c r="J225" s="1455">
        <f t="shared" si="148"/>
        <v>6.7010842066934391</v>
      </c>
      <c r="K225" s="1454">
        <f t="shared" si="148"/>
        <v>6.5981158458017903</v>
      </c>
      <c r="L225" s="1434"/>
      <c r="M225" s="1456">
        <f t="shared" si="142"/>
        <v>0</v>
      </c>
      <c r="N225" s="1455">
        <f t="shared" si="142"/>
        <v>0</v>
      </c>
      <c r="O225" s="1457">
        <f t="shared" si="142"/>
        <v>6.792009859373989</v>
      </c>
      <c r="P225" s="1455">
        <f t="shared" si="142"/>
        <v>6.8796571498918224</v>
      </c>
      <c r="Q225" s="1455">
        <f t="shared" si="142"/>
        <v>6.7819491742967086</v>
      </c>
      <c r="R225" s="1455">
        <f t="shared" si="142"/>
        <v>6.6069329220826205</v>
      </c>
      <c r="S225" s="1456">
        <f t="shared" si="143"/>
        <v>-2.2163414821641858E-2</v>
      </c>
      <c r="T225" s="1455">
        <f t="shared" si="144"/>
        <v>-2.8095702139357748E-2</v>
      </c>
      <c r="U225" s="1454">
        <f t="shared" si="145"/>
        <v>4.314134057968122E-2</v>
      </c>
      <c r="V225" s="1454">
        <f t="shared" si="146"/>
        <v>8.7647290517833376E-2</v>
      </c>
    </row>
    <row r="226" spans="1:23">
      <c r="A226" s="1207" t="s">
        <v>1308</v>
      </c>
      <c r="B226" s="764"/>
      <c r="C226" s="1455">
        <f t="shared" ref="C226:K226" si="149">C8/C$172*100</f>
        <v>2.6793004535010221</v>
      </c>
      <c r="D226" s="1456">
        <f t="shared" si="149"/>
        <v>2.6926345544058945</v>
      </c>
      <c r="E226" s="1455">
        <f t="shared" si="149"/>
        <v>2.6904580583144631</v>
      </c>
      <c r="F226" s="1455">
        <f t="shared" si="149"/>
        <v>2.6210362328697605</v>
      </c>
      <c r="G226" s="1454">
        <f t="shared" si="149"/>
        <v>2.5661792997137027</v>
      </c>
      <c r="H226" s="1456">
        <f t="shared" si="149"/>
        <v>2.671596439175159</v>
      </c>
      <c r="I226" s="1455">
        <f t="shared" si="149"/>
        <v>2.6694369485015237</v>
      </c>
      <c r="J226" s="1455">
        <f t="shared" si="149"/>
        <v>2.600557530254576</v>
      </c>
      <c r="K226" s="1454">
        <f t="shared" si="149"/>
        <v>2.5461292057558103</v>
      </c>
      <c r="L226" s="1434"/>
      <c r="M226" s="1456">
        <f t="shared" si="142"/>
        <v>0</v>
      </c>
      <c r="N226" s="1455">
        <f t="shared" si="142"/>
        <v>0</v>
      </c>
      <c r="O226" s="1457">
        <f t="shared" si="142"/>
        <v>2.671596439175159</v>
      </c>
      <c r="P226" s="1455">
        <f t="shared" si="142"/>
        <v>2.6373929017886497</v>
      </c>
      <c r="Q226" s="1455">
        <f t="shared" si="142"/>
        <v>2.5668063268647812</v>
      </c>
      <c r="R226" s="1455">
        <f t="shared" si="142"/>
        <v>2.4748079446088136</v>
      </c>
      <c r="S226" s="1456">
        <f t="shared" si="143"/>
        <v>5.306515652581334E-2</v>
      </c>
      <c r="T226" s="1455">
        <f t="shared" si="144"/>
        <v>5.4229906004979345E-2</v>
      </c>
      <c r="U226" s="1454">
        <f t="shared" si="145"/>
        <v>9.137135510488914E-2</v>
      </c>
      <c r="V226" s="1454">
        <f t="shared" si="146"/>
        <v>-3.4203537386509275E-2</v>
      </c>
    </row>
    <row r="227" spans="1:23">
      <c r="A227" s="1207" t="s">
        <v>1307</v>
      </c>
      <c r="B227" s="764"/>
      <c r="C227" s="1455">
        <f t="shared" ref="C227:K227" si="150">C9/C$172*100</f>
        <v>0.27592807403133479</v>
      </c>
      <c r="D227" s="1456">
        <f t="shared" si="150"/>
        <v>0.27573809503223007</v>
      </c>
      <c r="E227" s="1455">
        <f t="shared" si="150"/>
        <v>0.26920569127585148</v>
      </c>
      <c r="F227" s="1455">
        <f t="shared" si="150"/>
        <v>0.25980363412693497</v>
      </c>
      <c r="G227" s="1454">
        <f t="shared" si="150"/>
        <v>0.24874193340897935</v>
      </c>
      <c r="H227" s="1456">
        <f t="shared" si="150"/>
        <v>0.27358369579996167</v>
      </c>
      <c r="I227" s="1455">
        <f t="shared" si="150"/>
        <v>0.26710233107624182</v>
      </c>
      <c r="J227" s="1455">
        <f t="shared" si="150"/>
        <v>0.2577737341603083</v>
      </c>
      <c r="K227" s="1454">
        <f t="shared" si="150"/>
        <v>0.2467984608166027</v>
      </c>
      <c r="L227" s="1434"/>
      <c r="M227" s="1456">
        <f t="shared" si="142"/>
        <v>0</v>
      </c>
      <c r="N227" s="1455">
        <f t="shared" si="142"/>
        <v>0</v>
      </c>
      <c r="O227" s="1457">
        <f t="shared" si="142"/>
        <v>0.27358369579996167</v>
      </c>
      <c r="P227" s="1455">
        <f t="shared" si="142"/>
        <v>0.26634852808436371</v>
      </c>
      <c r="Q227" s="1455">
        <f t="shared" si="142"/>
        <v>0.25679851938795045</v>
      </c>
      <c r="R227" s="1455">
        <f t="shared" si="142"/>
        <v>0.24543263772370183</v>
      </c>
      <c r="S227" s="1456">
        <f t="shared" si="143"/>
        <v>2.857163191487766E-3</v>
      </c>
      <c r="T227" s="1455">
        <f t="shared" si="144"/>
        <v>3.0051147389845156E-3</v>
      </c>
      <c r="U227" s="1454">
        <f t="shared" si="145"/>
        <v>3.3092956852775191E-3</v>
      </c>
      <c r="V227" s="1454">
        <f t="shared" si="146"/>
        <v>-7.2351677155979566E-3</v>
      </c>
    </row>
    <row r="228" spans="1:23">
      <c r="A228" s="1207" t="s">
        <v>1306</v>
      </c>
      <c r="B228" s="764"/>
      <c r="C228" s="1455">
        <f t="shared" ref="C228:K228" si="151">C10/C$172*100</f>
        <v>0.18057231298992446</v>
      </c>
      <c r="D228" s="1456">
        <f t="shared" si="151"/>
        <v>0.18177156043144835</v>
      </c>
      <c r="E228" s="1455">
        <f t="shared" si="151"/>
        <v>0.18177221277592906</v>
      </c>
      <c r="F228" s="1455">
        <f t="shared" si="151"/>
        <v>0.18177209784709109</v>
      </c>
      <c r="G228" s="1454">
        <f t="shared" si="151"/>
        <v>0.18177115756047038</v>
      </c>
      <c r="H228" s="1456">
        <f t="shared" si="151"/>
        <v>0.18035134132753392</v>
      </c>
      <c r="I228" s="1455">
        <f t="shared" si="151"/>
        <v>0.18035198857511114</v>
      </c>
      <c r="J228" s="1455">
        <f t="shared" si="151"/>
        <v>0.18035187454423615</v>
      </c>
      <c r="K228" s="1454">
        <f t="shared" si="151"/>
        <v>0.18035094160427084</v>
      </c>
      <c r="L228" s="1434"/>
      <c r="M228" s="1456">
        <f t="shared" si="142"/>
        <v>0</v>
      </c>
      <c r="N228" s="1455">
        <f t="shared" si="142"/>
        <v>0</v>
      </c>
      <c r="O228" s="1457">
        <f t="shared" si="142"/>
        <v>0.18035134132753392</v>
      </c>
      <c r="P228" s="1455">
        <f t="shared" si="142"/>
        <v>0.18035198857511114</v>
      </c>
      <c r="Q228" s="1455">
        <f t="shared" si="142"/>
        <v>0.18035187454423621</v>
      </c>
      <c r="R228" s="1455">
        <f t="shared" si="142"/>
        <v>0.1803509416042709</v>
      </c>
      <c r="S228" s="1456">
        <f t="shared" si="143"/>
        <v>1.4202242008179156E-3</v>
      </c>
      <c r="T228" s="1455">
        <f t="shared" si="144"/>
        <v>1.4202233028548783E-3</v>
      </c>
      <c r="U228" s="1454">
        <f t="shared" si="145"/>
        <v>1.4202159561994832E-3</v>
      </c>
      <c r="V228" s="1454">
        <f t="shared" si="146"/>
        <v>6.4724757722900428E-7</v>
      </c>
    </row>
    <row r="229" spans="1:23">
      <c r="A229" s="1207" t="s">
        <v>1305</v>
      </c>
      <c r="B229" s="764"/>
      <c r="C229" s="1455">
        <f t="shared" ref="C229:K229" si="152">C11/C$172*100</f>
        <v>1.4332321320546579E-2</v>
      </c>
      <c r="D229" s="1456">
        <f t="shared" si="152"/>
        <v>1.4633546084060034E-2</v>
      </c>
      <c r="E229" s="1455">
        <f t="shared" si="152"/>
        <v>1.397268294529083E-2</v>
      </c>
      <c r="F229" s="1455">
        <f t="shared" si="152"/>
        <v>1.325765861347725E-2</v>
      </c>
      <c r="G229" s="1454">
        <f t="shared" si="152"/>
        <v>1.2456506609769328E-2</v>
      </c>
      <c r="H229" s="1456">
        <f t="shared" si="152"/>
        <v>1.4519211137177997E-2</v>
      </c>
      <c r="I229" s="1455">
        <f t="shared" si="152"/>
        <v>1.3863511459912483E-2</v>
      </c>
      <c r="J229" s="1455">
        <f t="shared" si="152"/>
        <v>1.3154073762297314E-2</v>
      </c>
      <c r="K229" s="1454">
        <f t="shared" si="152"/>
        <v>1.2359181326247306E-2</v>
      </c>
      <c r="L229" s="1434"/>
      <c r="M229" s="1456">
        <f t="shared" si="142"/>
        <v>0</v>
      </c>
      <c r="N229" s="1455">
        <f t="shared" si="142"/>
        <v>0</v>
      </c>
      <c r="O229" s="1457">
        <f t="shared" si="142"/>
        <v>1.4519211137177997E-2</v>
      </c>
      <c r="P229" s="1455">
        <f t="shared" si="142"/>
        <v>1.3863511459912475E-2</v>
      </c>
      <c r="Q229" s="1455">
        <f t="shared" si="142"/>
        <v>1.3154073762297326E-2</v>
      </c>
      <c r="R229" s="1455">
        <f t="shared" si="142"/>
        <v>1.2359181326247311E-2</v>
      </c>
      <c r="S229" s="1456">
        <f t="shared" si="143"/>
        <v>1.0917148537835548E-4</v>
      </c>
      <c r="T229" s="1455">
        <f t="shared" si="144"/>
        <v>1.0358485117992373E-4</v>
      </c>
      <c r="U229" s="1454">
        <f t="shared" si="145"/>
        <v>9.7325283522017164E-5</v>
      </c>
      <c r="V229" s="1454">
        <f t="shared" si="146"/>
        <v>-6.5569967726552235E-4</v>
      </c>
    </row>
    <row r="230" spans="1:23">
      <c r="A230" s="1207" t="s">
        <v>1304</v>
      </c>
      <c r="B230" s="764"/>
      <c r="C230" s="1455">
        <f t="shared" ref="C230:K230" si="153">C12/C$172*100</f>
        <v>0.14016457951645536</v>
      </c>
      <c r="D230" s="1456">
        <f t="shared" si="153"/>
        <v>0.14896247225265352</v>
      </c>
      <c r="E230" s="1455">
        <f t="shared" si="153"/>
        <v>0.15083927859548185</v>
      </c>
      <c r="F230" s="1455">
        <f t="shared" si="153"/>
        <v>0.14863656506075562</v>
      </c>
      <c r="G230" s="1454">
        <f t="shared" si="153"/>
        <v>0.14722980822474066</v>
      </c>
      <c r="H230" s="1456">
        <f t="shared" si="153"/>
        <v>0.1477985973958971</v>
      </c>
      <c r="I230" s="1455">
        <f t="shared" si="153"/>
        <v>0.14966073985942493</v>
      </c>
      <c r="J230" s="1455">
        <f t="shared" si="153"/>
        <v>0.14747523658484632</v>
      </c>
      <c r="K230" s="1454">
        <f t="shared" si="153"/>
        <v>0.14607947103332233</v>
      </c>
      <c r="L230" s="1434"/>
      <c r="M230" s="1456">
        <f t="shared" si="142"/>
        <v>0</v>
      </c>
      <c r="N230" s="1455">
        <f t="shared" si="142"/>
        <v>0</v>
      </c>
      <c r="O230" s="1457">
        <f t="shared" si="142"/>
        <v>0.1477985973958971</v>
      </c>
      <c r="P230" s="1455">
        <f t="shared" si="142"/>
        <v>7.4619187359687408E-2</v>
      </c>
      <c r="Q230" s="1455">
        <f t="shared" si="142"/>
        <v>7.3458652652764397E-2</v>
      </c>
      <c r="R230" s="1455">
        <f t="shared" si="142"/>
        <v>7.2424713920789294E-2</v>
      </c>
      <c r="S230" s="1456">
        <f t="shared" si="143"/>
        <v>7.6220091235794443E-2</v>
      </c>
      <c r="T230" s="1455">
        <f t="shared" si="144"/>
        <v>7.5177912407991224E-2</v>
      </c>
      <c r="U230" s="1454">
        <f t="shared" si="145"/>
        <v>7.4805094303951367E-2</v>
      </c>
      <c r="V230" s="1454">
        <f t="shared" si="146"/>
        <v>-7.3179410036209688E-2</v>
      </c>
    </row>
    <row r="231" spans="1:23">
      <c r="A231" s="1207" t="s">
        <v>1414</v>
      </c>
      <c r="B231" s="764"/>
      <c r="C231" s="1455">
        <f t="shared" ref="C231:K231" si="154">C13/C$172*100</f>
        <v>0.21629204172046729</v>
      </c>
      <c r="D231" s="1456">
        <f t="shared" si="154"/>
        <v>0.20484729819885511</v>
      </c>
      <c r="E231" s="1455">
        <f t="shared" si="154"/>
        <v>0.22371341874854797</v>
      </c>
      <c r="F231" s="1455">
        <f t="shared" si="154"/>
        <v>0.21226532832921136</v>
      </c>
      <c r="G231" s="1454">
        <f t="shared" si="154"/>
        <v>0.19943826752861163</v>
      </c>
      <c r="H231" s="1456">
        <f t="shared" si="154"/>
        <v>0.20324678354410533</v>
      </c>
      <c r="I231" s="1455">
        <f t="shared" si="154"/>
        <v>0.22196549916005701</v>
      </c>
      <c r="J231" s="1455">
        <f t="shared" si="154"/>
        <v>0.21060685505827573</v>
      </c>
      <c r="K231" s="1454">
        <f t="shared" si="154"/>
        <v>0.1978800147583574</v>
      </c>
      <c r="L231" s="1434"/>
      <c r="M231" s="1456">
        <f t="shared" si="142"/>
        <v>0</v>
      </c>
      <c r="N231" s="1455">
        <f t="shared" si="142"/>
        <v>0</v>
      </c>
      <c r="O231" s="1457">
        <f t="shared" si="142"/>
        <v>0.20324678354410533</v>
      </c>
      <c r="P231" s="1455">
        <f t="shared" si="142"/>
        <v>0.2003713536747834</v>
      </c>
      <c r="Q231" s="1455">
        <f t="shared" si="142"/>
        <v>0.18993451364218469</v>
      </c>
      <c r="R231" s="1455">
        <f t="shared" si="142"/>
        <v>0.17762621601485465</v>
      </c>
      <c r="S231" s="1456">
        <f t="shared" si="143"/>
        <v>2.3342065073764573E-2</v>
      </c>
      <c r="T231" s="1455">
        <f t="shared" si="144"/>
        <v>2.2330814687026662E-2</v>
      </c>
      <c r="U231" s="1454">
        <f t="shared" si="145"/>
        <v>2.181205151375698E-2</v>
      </c>
      <c r="V231" s="1454">
        <f t="shared" si="146"/>
        <v>-2.8754298693219327E-3</v>
      </c>
    </row>
    <row r="232" spans="1:23">
      <c r="A232" s="1207" t="s">
        <v>1302</v>
      </c>
      <c r="B232" s="1207"/>
      <c r="C232" s="1434">
        <f t="shared" ref="C232:K232" si="155">C14/C$172*100</f>
        <v>3.868661389123295E-2</v>
      </c>
      <c r="D232" s="1438">
        <f t="shared" si="155"/>
        <v>4.3452457193696545E-2</v>
      </c>
      <c r="E232" s="1434">
        <f t="shared" si="155"/>
        <v>4.7295051455921173E-2</v>
      </c>
      <c r="F232" s="1434">
        <f t="shared" si="155"/>
        <v>4.767704078959225E-2</v>
      </c>
      <c r="G232" s="1437">
        <f t="shared" si="155"/>
        <v>4.8016116200706963E-2</v>
      </c>
      <c r="H232" s="1438">
        <f t="shared" si="155"/>
        <v>4.3112954085113252E-2</v>
      </c>
      <c r="I232" s="1434">
        <f t="shared" si="155"/>
        <v>4.6925525357125061E-2</v>
      </c>
      <c r="J232" s="1434">
        <f t="shared" si="155"/>
        <v>4.7304530128481299E-2</v>
      </c>
      <c r="K232" s="1437">
        <f t="shared" si="155"/>
        <v>4.7640956272706349E-2</v>
      </c>
      <c r="L232" s="1434"/>
      <c r="M232" s="1438">
        <f t="shared" si="142"/>
        <v>0</v>
      </c>
      <c r="N232" s="1434">
        <f t="shared" si="142"/>
        <v>0</v>
      </c>
      <c r="O232" s="1439">
        <f t="shared" si="142"/>
        <v>4.3112954085113252E-2</v>
      </c>
      <c r="P232" s="1434">
        <f t="shared" si="142"/>
        <v>4.692552535712495E-2</v>
      </c>
      <c r="Q232" s="1434">
        <f t="shared" si="142"/>
        <v>4.7304530128481431E-2</v>
      </c>
      <c r="R232" s="1434">
        <f t="shared" si="142"/>
        <v>4.7640956272706328E-2</v>
      </c>
      <c r="S232" s="1438">
        <f t="shared" si="143"/>
        <v>3.6952609879622317E-4</v>
      </c>
      <c r="T232" s="1434">
        <f t="shared" si="144"/>
        <v>3.7251066111081838E-4</v>
      </c>
      <c r="U232" s="1437">
        <f t="shared" si="145"/>
        <v>3.7515992800063458E-4</v>
      </c>
      <c r="V232" s="1437">
        <f t="shared" si="146"/>
        <v>3.8125712720116986E-3</v>
      </c>
    </row>
    <row r="233" spans="1:23">
      <c r="A233" s="1207" t="s">
        <v>1301</v>
      </c>
      <c r="B233" s="1207"/>
      <c r="C233" s="1434">
        <f t="shared" ref="C233:K233" si="156">C15/C$172*100</f>
        <v>6.0595585469259937E-2</v>
      </c>
      <c r="D233" s="1438">
        <f t="shared" si="156"/>
        <v>0</v>
      </c>
      <c r="E233" s="1434">
        <f t="shared" si="156"/>
        <v>0</v>
      </c>
      <c r="F233" s="1434">
        <f t="shared" si="156"/>
        <v>0</v>
      </c>
      <c r="G233" s="1437">
        <f t="shared" si="156"/>
        <v>0</v>
      </c>
      <c r="H233" s="1438">
        <f t="shared" si="156"/>
        <v>7.949905553426069E-2</v>
      </c>
      <c r="I233" s="1434">
        <f t="shared" si="156"/>
        <v>6.5373531634094262E-2</v>
      </c>
      <c r="J233" s="1434">
        <f t="shared" si="156"/>
        <v>6.6725059254541405E-2</v>
      </c>
      <c r="K233" s="1437">
        <f t="shared" si="156"/>
        <v>6.4521823262307085E-2</v>
      </c>
      <c r="L233" s="1434"/>
      <c r="M233" s="1438">
        <f t="shared" ref="M233:R242" si="157">M15/M$172*100</f>
        <v>0</v>
      </c>
      <c r="N233" s="1434">
        <f t="shared" si="157"/>
        <v>7.949905553426069E-2</v>
      </c>
      <c r="O233" s="1439">
        <f t="shared" si="157"/>
        <v>7.949905553426069E-2</v>
      </c>
      <c r="P233" s="1434">
        <f t="shared" si="157"/>
        <v>6.518871018796478E-2</v>
      </c>
      <c r="Q233" s="1434">
        <f t="shared" si="157"/>
        <v>6.647288580631526E-2</v>
      </c>
      <c r="R233" s="1434">
        <f t="shared" si="157"/>
        <v>6.3978064182121153E-2</v>
      </c>
      <c r="S233" s="1438">
        <f t="shared" si="143"/>
        <v>-6.518871018796478E-2</v>
      </c>
      <c r="T233" s="1434">
        <f t="shared" si="144"/>
        <v>-6.647288580631526E-2</v>
      </c>
      <c r="U233" s="1437">
        <f t="shared" si="145"/>
        <v>-6.3978064182121153E-2</v>
      </c>
      <c r="V233" s="1437">
        <f t="shared" si="146"/>
        <v>-1.4310345346295911E-2</v>
      </c>
    </row>
    <row r="234" spans="1:23">
      <c r="A234" s="1207" t="s">
        <v>1413</v>
      </c>
      <c r="B234" s="1207"/>
      <c r="C234" s="1434">
        <f t="shared" ref="C234:K234" si="158">C16/C$172*100</f>
        <v>1.093338552416198E-2</v>
      </c>
      <c r="D234" s="1438">
        <f t="shared" si="158"/>
        <v>1.0527909628644191E-2</v>
      </c>
      <c r="E234" s="1434">
        <f t="shared" si="158"/>
        <v>1.047726495469517E-2</v>
      </c>
      <c r="F234" s="1434">
        <f t="shared" si="158"/>
        <v>1.0333107813875978E-2</v>
      </c>
      <c r="G234" s="1437">
        <f t="shared" si="158"/>
        <v>9.7086845826727542E-3</v>
      </c>
      <c r="H234" s="1438">
        <f t="shared" si="158"/>
        <v>1.0445652875478868E-2</v>
      </c>
      <c r="I234" s="1434">
        <f t="shared" si="158"/>
        <v>1.0395403898927631E-2</v>
      </c>
      <c r="J234" s="1434">
        <f t="shared" si="158"/>
        <v>1.0252373087908717E-2</v>
      </c>
      <c r="K234" s="1437">
        <f t="shared" si="158"/>
        <v>9.6328286056130644E-3</v>
      </c>
      <c r="L234" s="1434"/>
      <c r="M234" s="1438">
        <f t="shared" si="157"/>
        <v>0</v>
      </c>
      <c r="N234" s="1434">
        <f t="shared" si="157"/>
        <v>0</v>
      </c>
      <c r="O234" s="1439">
        <f t="shared" si="157"/>
        <v>1.0445652875478868E-2</v>
      </c>
      <c r="P234" s="1434">
        <f t="shared" si="157"/>
        <v>1.0366066504045233E-2</v>
      </c>
      <c r="Q234" s="1434">
        <f t="shared" si="157"/>
        <v>1.0213586103968627E-2</v>
      </c>
      <c r="R234" s="1434">
        <f t="shared" si="157"/>
        <v>9.5517166248552353E-3</v>
      </c>
      <c r="S234" s="1438">
        <f t="shared" si="143"/>
        <v>1.1119845064993736E-4</v>
      </c>
      <c r="T234" s="1434">
        <f t="shared" si="144"/>
        <v>1.1952170990735082E-4</v>
      </c>
      <c r="U234" s="1437">
        <f t="shared" si="145"/>
        <v>1.5696795781751892E-4</v>
      </c>
      <c r="V234" s="1437">
        <f t="shared" si="146"/>
        <v>-7.9586371433635131E-5</v>
      </c>
    </row>
    <row r="235" spans="1:23">
      <c r="A235" s="1207" t="s">
        <v>1299</v>
      </c>
      <c r="B235" s="1207"/>
      <c r="C235" s="1434">
        <f t="shared" ref="C235:K235" si="159">C17/C$172*100</f>
        <v>4.2587207824557473E-2</v>
      </c>
      <c r="D235" s="1438">
        <f t="shared" si="159"/>
        <v>1.1918388258842481E-2</v>
      </c>
      <c r="E235" s="1434">
        <f t="shared" si="159"/>
        <v>1.1429743586940185E-2</v>
      </c>
      <c r="F235" s="1434">
        <f t="shared" si="159"/>
        <v>1.0844849132306699E-2</v>
      </c>
      <c r="G235" s="1437">
        <f t="shared" si="159"/>
        <v>1.0189501693851365E-2</v>
      </c>
      <c r="H235" s="1438">
        <f t="shared" si="159"/>
        <v>1.182526740620249E-2</v>
      </c>
      <c r="I235" s="1434">
        <f t="shared" si="159"/>
        <v>1.1340440617011961E-2</v>
      </c>
      <c r="J235" s="1434">
        <f t="shared" si="159"/>
        <v>1.0760116064712331E-2</v>
      </c>
      <c r="K235" s="1437">
        <f t="shared" si="159"/>
        <v>1.0109888992444017E-2</v>
      </c>
      <c r="L235" s="1434"/>
      <c r="M235" s="1438">
        <f t="shared" si="157"/>
        <v>0</v>
      </c>
      <c r="N235" s="1434">
        <f t="shared" si="157"/>
        <v>0</v>
      </c>
      <c r="O235" s="1439">
        <f t="shared" si="157"/>
        <v>1.182526740620249E-2</v>
      </c>
      <c r="P235" s="1434">
        <f t="shared" si="157"/>
        <v>1.1308436186231162E-2</v>
      </c>
      <c r="Q235" s="1434">
        <f t="shared" si="157"/>
        <v>1.0719408177336702E-2</v>
      </c>
      <c r="R235" s="1434">
        <f t="shared" si="157"/>
        <v>1.002475998672901E-2</v>
      </c>
      <c r="S235" s="1438">
        <f t="shared" si="143"/>
        <v>1.2130740070902257E-4</v>
      </c>
      <c r="T235" s="1434">
        <f t="shared" si="144"/>
        <v>1.2544095496999641E-4</v>
      </c>
      <c r="U235" s="1437">
        <f t="shared" si="145"/>
        <v>1.6474170712235496E-4</v>
      </c>
      <c r="V235" s="1437">
        <f t="shared" si="146"/>
        <v>-5.1683121997132819E-4</v>
      </c>
    </row>
    <row r="236" spans="1:23">
      <c r="A236" s="1207" t="s">
        <v>1404</v>
      </c>
      <c r="B236" s="1207"/>
      <c r="C236" s="1434">
        <f t="shared" ref="C236:K236" si="160">C18/C$172*100</f>
        <v>0</v>
      </c>
      <c r="D236" s="1438">
        <f t="shared" si="160"/>
        <v>6.7382346119653699E-2</v>
      </c>
      <c r="E236" s="1434">
        <f t="shared" si="160"/>
        <v>0.1438599914177065</v>
      </c>
      <c r="F236" s="1434">
        <f t="shared" si="160"/>
        <v>0.14164615605755626</v>
      </c>
      <c r="G236" s="1437">
        <f t="shared" si="160"/>
        <v>0.13908669812107113</v>
      </c>
      <c r="H236" s="1438">
        <f t="shared" si="160"/>
        <v>6.685587379912919E-2</v>
      </c>
      <c r="I236" s="1434">
        <f t="shared" si="160"/>
        <v>0.14273598330766202</v>
      </c>
      <c r="J236" s="1434">
        <f t="shared" si="160"/>
        <v>0.14053944510480051</v>
      </c>
      <c r="K236" s="1437">
        <f t="shared" si="160"/>
        <v>0.13799998474686084</v>
      </c>
      <c r="L236" s="1434"/>
      <c r="M236" s="1438">
        <f t="shared" si="157"/>
        <v>0</v>
      </c>
      <c r="N236" s="1434">
        <f t="shared" si="157"/>
        <v>0</v>
      </c>
      <c r="O236" s="1439">
        <f t="shared" si="157"/>
        <v>6.685587379912919E-2</v>
      </c>
      <c r="P236" s="1434">
        <f t="shared" si="157"/>
        <v>6.638460072642112E-2</v>
      </c>
      <c r="Q236" s="1434">
        <f t="shared" si="157"/>
        <v>6.542291867760984E-2</v>
      </c>
      <c r="R236" s="1434">
        <f t="shared" si="157"/>
        <v>6.4063006813188453E-2</v>
      </c>
      <c r="S236" s="1438">
        <f t="shared" si="143"/>
        <v>7.7475390691285381E-2</v>
      </c>
      <c r="T236" s="1434">
        <f t="shared" si="144"/>
        <v>7.6223237379946421E-2</v>
      </c>
      <c r="U236" s="1437">
        <f t="shared" si="145"/>
        <v>7.5023691307882681E-2</v>
      </c>
      <c r="V236" s="1437">
        <f t="shared" si="146"/>
        <v>-4.7127307270806995E-4</v>
      </c>
    </row>
    <row r="237" spans="1:23">
      <c r="A237" s="1207" t="s">
        <v>1285</v>
      </c>
      <c r="B237" s="1207"/>
      <c r="C237" s="1434">
        <f t="shared" ref="C237:K237" si="161">C19/C$172*100</f>
        <v>0.2620506836130127</v>
      </c>
      <c r="D237" s="1438">
        <f t="shared" si="161"/>
        <v>0.2889017562243163</v>
      </c>
      <c r="E237" s="1434">
        <f t="shared" si="161"/>
        <v>0.27964628699380473</v>
      </c>
      <c r="F237" s="1434">
        <f t="shared" si="161"/>
        <v>0.26489594600418725</v>
      </c>
      <c r="G237" s="1437">
        <f t="shared" si="161"/>
        <v>0.24886020592708014</v>
      </c>
      <c r="H237" s="1438">
        <f t="shared" si="161"/>
        <v>0.28664450656232121</v>
      </c>
      <c r="I237" s="1434">
        <f t="shared" si="161"/>
        <v>0.27746135224282026</v>
      </c>
      <c r="J237" s="1434">
        <f t="shared" si="161"/>
        <v>0.26282625874303556</v>
      </c>
      <c r="K237" s="1437">
        <f t="shared" si="161"/>
        <v>0.24691580924685783</v>
      </c>
      <c r="L237" s="1434"/>
      <c r="M237" s="1438">
        <f t="shared" si="157"/>
        <v>0</v>
      </c>
      <c r="N237" s="1434">
        <f t="shared" si="157"/>
        <v>0</v>
      </c>
      <c r="O237" s="1439">
        <f t="shared" si="157"/>
        <v>0.28664450656232121</v>
      </c>
      <c r="P237" s="1434">
        <f t="shared" si="157"/>
        <v>0.27411651671348447</v>
      </c>
      <c r="Q237" s="1434">
        <f t="shared" si="157"/>
        <v>0.25983847655074116</v>
      </c>
      <c r="R237" s="1434">
        <f t="shared" si="157"/>
        <v>0.24300020296322708</v>
      </c>
      <c r="S237" s="1438">
        <f t="shared" si="143"/>
        <v>5.5297702803202564E-3</v>
      </c>
      <c r="T237" s="1434">
        <f t="shared" si="144"/>
        <v>5.0574694534460951E-3</v>
      </c>
      <c r="U237" s="1437">
        <f t="shared" si="145"/>
        <v>5.860002963853056E-3</v>
      </c>
      <c r="V237" s="1437">
        <f t="shared" si="146"/>
        <v>-1.252798984883674E-2</v>
      </c>
    </row>
    <row r="238" spans="1:23">
      <c r="A238" s="1445" t="s">
        <v>900</v>
      </c>
      <c r="B238" s="1445" t="s">
        <v>1412</v>
      </c>
      <c r="C238" s="1442">
        <f t="shared" ref="C238:K238" si="162">C20/C$172*100</f>
        <v>7.4031131490387052</v>
      </c>
      <c r="D238" s="1443">
        <f t="shared" si="162"/>
        <v>7.7679336975782816</v>
      </c>
      <c r="E238" s="1442">
        <f t="shared" si="162"/>
        <v>7.7256732459683493</v>
      </c>
      <c r="F238" s="1442">
        <f t="shared" si="162"/>
        <v>7.838227677553129</v>
      </c>
      <c r="G238" s="1441">
        <f t="shared" si="162"/>
        <v>7.8334978490761698</v>
      </c>
      <c r="H238" s="1443">
        <f t="shared" si="162"/>
        <v>7.7072412118612874</v>
      </c>
      <c r="I238" s="1442">
        <f t="shared" si="162"/>
        <v>7.6653109499717615</v>
      </c>
      <c r="J238" s="1442">
        <f t="shared" si="162"/>
        <v>7.7769859703131772</v>
      </c>
      <c r="K238" s="1441">
        <f t="shared" si="162"/>
        <v>7.7722930969723523</v>
      </c>
      <c r="L238" s="1442"/>
      <c r="M238" s="1443">
        <f t="shared" si="157"/>
        <v>0</v>
      </c>
      <c r="N238" s="1442">
        <f t="shared" si="157"/>
        <v>0</v>
      </c>
      <c r="O238" s="1444">
        <f t="shared" si="157"/>
        <v>7.7072412118612874</v>
      </c>
      <c r="P238" s="1442">
        <f t="shared" si="157"/>
        <v>7.6701738609365337</v>
      </c>
      <c r="Q238" s="1442">
        <f t="shared" si="157"/>
        <v>7.7247759850262137</v>
      </c>
      <c r="R238" s="1442">
        <f t="shared" si="157"/>
        <v>7.7755194855901184</v>
      </c>
      <c r="S238" s="1443">
        <f t="shared" si="143"/>
        <v>5.5499385031815507E-2</v>
      </c>
      <c r="T238" s="1442">
        <f t="shared" si="144"/>
        <v>0.11345169252691534</v>
      </c>
      <c r="U238" s="1441">
        <f t="shared" si="145"/>
        <v>5.7978363486051343E-2</v>
      </c>
      <c r="V238" s="1441">
        <f t="shared" si="146"/>
        <v>-3.7067350924753661E-2</v>
      </c>
      <c r="W238" s="1440"/>
    </row>
    <row r="239" spans="1:23">
      <c r="A239" s="1207" t="s">
        <v>1297</v>
      </c>
      <c r="B239" s="1207"/>
      <c r="C239" s="1434">
        <f t="shared" ref="C239:K239" si="163">C21/C$172*100</f>
        <v>3.1319664487916716</v>
      </c>
      <c r="D239" s="1438">
        <f t="shared" si="163"/>
        <v>3.2937335002455068</v>
      </c>
      <c r="E239" s="1434">
        <f t="shared" si="163"/>
        <v>3.3517270641351771</v>
      </c>
      <c r="F239" s="1434">
        <f t="shared" si="163"/>
        <v>3.3882279726119666</v>
      </c>
      <c r="G239" s="1437">
        <f t="shared" si="163"/>
        <v>3.4010179103680622</v>
      </c>
      <c r="H239" s="1438">
        <f t="shared" si="163"/>
        <v>3.2679988736122287</v>
      </c>
      <c r="I239" s="1434">
        <f t="shared" si="163"/>
        <v>3.3255393216946483</v>
      </c>
      <c r="J239" s="1434">
        <f t="shared" si="163"/>
        <v>3.3617550409624877</v>
      </c>
      <c r="K239" s="1437">
        <f t="shared" si="163"/>
        <v>3.3744450482679893</v>
      </c>
      <c r="L239" s="1434"/>
      <c r="M239" s="1438">
        <f t="shared" si="157"/>
        <v>0</v>
      </c>
      <c r="N239" s="1434">
        <f t="shared" si="157"/>
        <v>0</v>
      </c>
      <c r="O239" s="1439">
        <f t="shared" si="157"/>
        <v>3.2679988736122287</v>
      </c>
      <c r="P239" s="1434">
        <f t="shared" si="157"/>
        <v>3.337549894700456</v>
      </c>
      <c r="Q239" s="1434">
        <f t="shared" si="157"/>
        <v>3.3807263510980698</v>
      </c>
      <c r="R239" s="1434">
        <f t="shared" si="157"/>
        <v>3.3950183644552148</v>
      </c>
      <c r="S239" s="1438">
        <f t="shared" si="143"/>
        <v>1.4177169434721026E-2</v>
      </c>
      <c r="T239" s="1434">
        <f t="shared" si="144"/>
        <v>7.5016215138967723E-3</v>
      </c>
      <c r="U239" s="1437">
        <f t="shared" si="145"/>
        <v>5.9995459128474593E-3</v>
      </c>
      <c r="V239" s="1437">
        <f t="shared" si="146"/>
        <v>6.9551021088227305E-2</v>
      </c>
    </row>
    <row r="240" spans="1:23">
      <c r="A240" s="1207" t="s">
        <v>1296</v>
      </c>
      <c r="B240" s="1207"/>
      <c r="C240" s="1434">
        <f t="shared" ref="C240:K240" si="164">C22/C$172*100</f>
        <v>3.6347184237014143</v>
      </c>
      <c r="D240" s="1438">
        <f t="shared" si="164"/>
        <v>3.8125707371235671</v>
      </c>
      <c r="E240" s="1434">
        <f t="shared" si="164"/>
        <v>3.5777776273275967</v>
      </c>
      <c r="F240" s="1434">
        <f t="shared" si="164"/>
        <v>3.6051633640987775</v>
      </c>
      <c r="G240" s="1437">
        <f t="shared" si="164"/>
        <v>3.6804883452633179</v>
      </c>
      <c r="H240" s="1438">
        <f t="shared" si="164"/>
        <v>3.7827823269727388</v>
      </c>
      <c r="I240" s="1434">
        <f t="shared" si="164"/>
        <v>3.5498237047017054</v>
      </c>
      <c r="J240" s="1434">
        <f t="shared" si="164"/>
        <v>3.5769954710011307</v>
      </c>
      <c r="K240" s="1437">
        <f t="shared" si="164"/>
        <v>3.6517319223813738</v>
      </c>
      <c r="L240" s="1434"/>
      <c r="M240" s="1438">
        <f t="shared" si="157"/>
        <v>0</v>
      </c>
      <c r="N240" s="1434">
        <f t="shared" si="157"/>
        <v>0</v>
      </c>
      <c r="O240" s="1439">
        <f t="shared" si="157"/>
        <v>3.7827823269727388</v>
      </c>
      <c r="P240" s="1434">
        <f t="shared" si="157"/>
        <v>3.7959002031229816</v>
      </c>
      <c r="Q240" s="1434">
        <f t="shared" si="157"/>
        <v>3.8157045505910627</v>
      </c>
      <c r="R240" s="1434">
        <f t="shared" si="157"/>
        <v>3.877982386377453</v>
      </c>
      <c r="S240" s="1438">
        <f t="shared" si="143"/>
        <v>-0.21812257579538485</v>
      </c>
      <c r="T240" s="1434">
        <f t="shared" si="144"/>
        <v>-0.21054118649228526</v>
      </c>
      <c r="U240" s="1437">
        <f t="shared" si="145"/>
        <v>-0.19749404111413504</v>
      </c>
      <c r="V240" s="1437">
        <f t="shared" si="146"/>
        <v>1.3117876150242846E-2</v>
      </c>
    </row>
    <row r="241" spans="1:23">
      <c r="A241" s="1207" t="s">
        <v>1295</v>
      </c>
      <c r="B241" s="1207"/>
      <c r="C241" s="1434">
        <f t="shared" ref="C241:K241" si="165">C23/C$172*100</f>
        <v>0.2058884191897882</v>
      </c>
      <c r="D241" s="1438">
        <f t="shared" si="165"/>
        <v>0.2167793429442442</v>
      </c>
      <c r="E241" s="1434">
        <f t="shared" si="165"/>
        <v>0.22624224951715852</v>
      </c>
      <c r="F241" s="1434">
        <f t="shared" si="165"/>
        <v>0.29511997570003456</v>
      </c>
      <c r="G241" s="1437">
        <f t="shared" si="165"/>
        <v>0.28530498602141174</v>
      </c>
      <c r="H241" s="1438">
        <f t="shared" si="165"/>
        <v>0.21508560073587743</v>
      </c>
      <c r="I241" s="1434">
        <f t="shared" si="165"/>
        <v>0.22447457164657092</v>
      </c>
      <c r="J241" s="1434">
        <f t="shared" si="165"/>
        <v>0.29281414179267795</v>
      </c>
      <c r="K241" s="1437">
        <f t="shared" si="165"/>
        <v>0.28307583867499575</v>
      </c>
      <c r="L241" s="1434"/>
      <c r="M241" s="1438">
        <f t="shared" si="157"/>
        <v>0</v>
      </c>
      <c r="N241" s="1434">
        <f t="shared" si="157"/>
        <v>0</v>
      </c>
      <c r="O241" s="1439">
        <f t="shared" si="157"/>
        <v>0.21508560073587743</v>
      </c>
      <c r="P241" s="1434">
        <f t="shared" si="157"/>
        <v>0.22447457164657092</v>
      </c>
      <c r="Q241" s="1434">
        <f t="shared" si="157"/>
        <v>0.23015888262419684</v>
      </c>
      <c r="R241" s="1434">
        <f t="shared" si="157"/>
        <v>0.22073152322159106</v>
      </c>
      <c r="S241" s="1438">
        <f t="shared" si="143"/>
        <v>1.7676778705875973E-3</v>
      </c>
      <c r="T241" s="1434">
        <f t="shared" si="144"/>
        <v>6.4961093075837723E-2</v>
      </c>
      <c r="U241" s="1437">
        <f t="shared" si="145"/>
        <v>6.457346279982068E-2</v>
      </c>
      <c r="V241" s="1437">
        <f t="shared" si="146"/>
        <v>9.3889709106934893E-3</v>
      </c>
    </row>
    <row r="242" spans="1:23">
      <c r="A242" s="1207" t="s">
        <v>1294</v>
      </c>
      <c r="B242" s="1207"/>
      <c r="C242" s="1434">
        <f t="shared" ref="C242:K242" si="166">C24/C$172*100</f>
        <v>0.13590487143772176</v>
      </c>
      <c r="D242" s="1438">
        <f t="shared" si="166"/>
        <v>0.1358113005382626</v>
      </c>
      <c r="E242" s="1434">
        <f t="shared" si="166"/>
        <v>0.13259384794183732</v>
      </c>
      <c r="F242" s="1434">
        <f t="shared" si="166"/>
        <v>0.12796298397296796</v>
      </c>
      <c r="G242" s="1437">
        <f t="shared" si="166"/>
        <v>0.12251468361934804</v>
      </c>
      <c r="H242" s="1438">
        <f t="shared" si="166"/>
        <v>0.13475017852833934</v>
      </c>
      <c r="I242" s="1434">
        <f t="shared" si="166"/>
        <v>0.13155786455994001</v>
      </c>
      <c r="J242" s="1434">
        <f t="shared" si="166"/>
        <v>0.12696318249686828</v>
      </c>
      <c r="K242" s="1437">
        <f t="shared" si="166"/>
        <v>0.12155745084996851</v>
      </c>
      <c r="L242" s="1434"/>
      <c r="M242" s="1438">
        <f t="shared" si="157"/>
        <v>0</v>
      </c>
      <c r="N242" s="1434">
        <f t="shared" si="157"/>
        <v>0</v>
      </c>
      <c r="O242" s="1439">
        <f t="shared" si="157"/>
        <v>0.13475017852833934</v>
      </c>
      <c r="P242" s="1434">
        <f t="shared" si="157"/>
        <v>0.13118658845946274</v>
      </c>
      <c r="Q242" s="1434">
        <f t="shared" si="157"/>
        <v>0.12648285283287111</v>
      </c>
      <c r="R242" s="1434">
        <f t="shared" si="157"/>
        <v>0.12088473201316659</v>
      </c>
      <c r="S242" s="1438">
        <f t="shared" si="143"/>
        <v>1.4072594823745788E-3</v>
      </c>
      <c r="T242" s="1434">
        <f t="shared" si="144"/>
        <v>1.4801311400968464E-3</v>
      </c>
      <c r="U242" s="1437">
        <f t="shared" si="145"/>
        <v>1.6299516061814567E-3</v>
      </c>
      <c r="V242" s="1437">
        <f t="shared" si="146"/>
        <v>-3.5635900688766042E-3</v>
      </c>
    </row>
    <row r="243" spans="1:23">
      <c r="A243" s="1207" t="s">
        <v>1293</v>
      </c>
      <c r="B243" s="1207"/>
      <c r="C243" s="1434">
        <f t="shared" ref="C243:K243" si="167">C25/C$172*100</f>
        <v>8.1216487483097288E-2</v>
      </c>
      <c r="D243" s="1438">
        <f t="shared" si="167"/>
        <v>8.2923427809673531E-2</v>
      </c>
      <c r="E243" s="1434">
        <f t="shared" si="167"/>
        <v>7.9178536689981371E-2</v>
      </c>
      <c r="F243" s="1434">
        <f t="shared" si="167"/>
        <v>7.512673214303775E-2</v>
      </c>
      <c r="G243" s="1437">
        <f t="shared" si="167"/>
        <v>7.0586870788692857E-2</v>
      </c>
      <c r="H243" s="1438">
        <f t="shared" si="167"/>
        <v>8.2275529777341982E-2</v>
      </c>
      <c r="I243" s="1434">
        <f t="shared" si="167"/>
        <v>7.8559898272837408E-2</v>
      </c>
      <c r="J243" s="1434">
        <f t="shared" si="167"/>
        <v>7.4539751319684766E-2</v>
      </c>
      <c r="K243" s="1437">
        <f t="shared" si="167"/>
        <v>7.003536084873474E-2</v>
      </c>
      <c r="L243" s="1434"/>
      <c r="M243" s="1438">
        <f t="shared" ref="M243:R252" si="168">M25/M$172*100</f>
        <v>0</v>
      </c>
      <c r="N243" s="1434">
        <f t="shared" si="168"/>
        <v>0</v>
      </c>
      <c r="O243" s="1439">
        <f t="shared" si="168"/>
        <v>8.2275529777341982E-2</v>
      </c>
      <c r="P243" s="1434">
        <f t="shared" si="168"/>
        <v>7.8559898272837367E-2</v>
      </c>
      <c r="Q243" s="1434">
        <f t="shared" si="168"/>
        <v>7.4539751319684835E-2</v>
      </c>
      <c r="R243" s="1434">
        <f t="shared" si="168"/>
        <v>7.0035360848734754E-2</v>
      </c>
      <c r="S243" s="1438">
        <f t="shared" si="143"/>
        <v>6.1863841714400458E-4</v>
      </c>
      <c r="T243" s="1434">
        <f t="shared" si="144"/>
        <v>5.8698082335291446E-4</v>
      </c>
      <c r="U243" s="1437">
        <f t="shared" si="145"/>
        <v>5.5150993995810305E-4</v>
      </c>
      <c r="V243" s="1437">
        <f t="shared" si="146"/>
        <v>-3.7156315045046157E-3</v>
      </c>
    </row>
    <row r="244" spans="1:23">
      <c r="A244" s="1207" t="s">
        <v>1292</v>
      </c>
      <c r="B244" s="1207"/>
      <c r="C244" s="1434">
        <f t="shared" ref="C244:K244" si="169">C26/C$172*100</f>
        <v>0.11479407613337127</v>
      </c>
      <c r="D244" s="1438">
        <f t="shared" si="169"/>
        <v>0.1180839146720358</v>
      </c>
      <c r="E244" s="1434">
        <f t="shared" si="169"/>
        <v>0.25193059822880653</v>
      </c>
      <c r="F244" s="1434">
        <f t="shared" si="169"/>
        <v>0.24581658033228518</v>
      </c>
      <c r="G244" s="1437">
        <f t="shared" si="169"/>
        <v>0.17911233446223102</v>
      </c>
      <c r="H244" s="1438">
        <f t="shared" si="169"/>
        <v>0.11716130042432747</v>
      </c>
      <c r="I244" s="1434">
        <f t="shared" si="169"/>
        <v>0.24996221193330528</v>
      </c>
      <c r="J244" s="1434">
        <f t="shared" si="169"/>
        <v>0.24389596413347947</v>
      </c>
      <c r="K244" s="1437">
        <f t="shared" si="169"/>
        <v>0.177712892445305</v>
      </c>
      <c r="L244" s="1434"/>
      <c r="M244" s="1438">
        <f t="shared" si="168"/>
        <v>0</v>
      </c>
      <c r="N244" s="1434">
        <f t="shared" si="168"/>
        <v>0</v>
      </c>
      <c r="O244" s="1439">
        <f t="shared" si="168"/>
        <v>0.11716130042432747</v>
      </c>
      <c r="P244" s="1434">
        <f t="shared" si="168"/>
        <v>0</v>
      </c>
      <c r="Q244" s="1434">
        <f t="shared" si="168"/>
        <v>0</v>
      </c>
      <c r="R244" s="1434">
        <f t="shared" si="168"/>
        <v>0</v>
      </c>
      <c r="S244" s="1438">
        <f t="shared" si="143"/>
        <v>0.25193059822880653</v>
      </c>
      <c r="T244" s="1434">
        <f t="shared" si="144"/>
        <v>0.24581658033228518</v>
      </c>
      <c r="U244" s="1437">
        <f t="shared" si="145"/>
        <v>0.17911233446223102</v>
      </c>
      <c r="V244" s="1437">
        <f t="shared" si="146"/>
        <v>-0.11716130042432747</v>
      </c>
    </row>
    <row r="245" spans="1:23">
      <c r="A245" s="1207" t="s">
        <v>1285</v>
      </c>
      <c r="B245" s="1207"/>
      <c r="C245" s="1434">
        <f t="shared" ref="C245:K245" si="170">C27/C$172*100</f>
        <v>9.8624422301639161E-2</v>
      </c>
      <c r="D245" s="1438">
        <f t="shared" si="170"/>
        <v>0.10803147424499322</v>
      </c>
      <c r="E245" s="1434">
        <f t="shared" si="170"/>
        <v>0.10622332212779095</v>
      </c>
      <c r="F245" s="1434">
        <f t="shared" si="170"/>
        <v>0.10081006869405984</v>
      </c>
      <c r="G245" s="1437">
        <f t="shared" si="170"/>
        <v>9.4472718553105239E-2</v>
      </c>
      <c r="H245" s="1438">
        <f t="shared" si="170"/>
        <v>0.10718740181043521</v>
      </c>
      <c r="I245" s="1434">
        <f t="shared" si="170"/>
        <v>0.10539337716275315</v>
      </c>
      <c r="J245" s="1434">
        <f t="shared" si="170"/>
        <v>0.10002241860684927</v>
      </c>
      <c r="K245" s="1437">
        <f t="shared" si="170"/>
        <v>9.3734583503984309E-2</v>
      </c>
      <c r="L245" s="1434"/>
      <c r="M245" s="1438">
        <f t="shared" si="168"/>
        <v>0</v>
      </c>
      <c r="N245" s="1434">
        <f t="shared" si="168"/>
        <v>0</v>
      </c>
      <c r="O245" s="1439">
        <f t="shared" si="168"/>
        <v>0.10718740181043521</v>
      </c>
      <c r="P245" s="1434">
        <f t="shared" si="168"/>
        <v>0.10250270473422468</v>
      </c>
      <c r="Q245" s="1434">
        <f t="shared" si="168"/>
        <v>9.71635965603279E-2</v>
      </c>
      <c r="R245" s="1434">
        <f t="shared" si="168"/>
        <v>9.0867118673958538E-2</v>
      </c>
      <c r="S245" s="1438">
        <f t="shared" si="143"/>
        <v>3.7206173935662723E-3</v>
      </c>
      <c r="T245" s="1434">
        <f t="shared" si="144"/>
        <v>3.64647213373194E-3</v>
      </c>
      <c r="U245" s="1437">
        <f t="shared" si="145"/>
        <v>3.6055998791467009E-3</v>
      </c>
      <c r="V245" s="1437">
        <f t="shared" si="146"/>
        <v>-4.6846970762105256E-3</v>
      </c>
    </row>
    <row r="246" spans="1:23">
      <c r="A246" s="1445" t="s">
        <v>899</v>
      </c>
      <c r="B246" s="1445" t="s">
        <v>1411</v>
      </c>
      <c r="C246" s="1442">
        <f t="shared" ref="C246:K246" si="171">C28/C$172*100</f>
        <v>-7.6252834063666033E-6</v>
      </c>
      <c r="D246" s="1443">
        <f t="shared" si="171"/>
        <v>0</v>
      </c>
      <c r="E246" s="1442">
        <f t="shared" si="171"/>
        <v>0</v>
      </c>
      <c r="F246" s="1442">
        <f t="shared" si="171"/>
        <v>0</v>
      </c>
      <c r="G246" s="1441">
        <f t="shared" si="171"/>
        <v>0</v>
      </c>
      <c r="H246" s="1443">
        <f t="shared" si="171"/>
        <v>0</v>
      </c>
      <c r="I246" s="1442">
        <f t="shared" si="171"/>
        <v>0</v>
      </c>
      <c r="J246" s="1442">
        <f t="shared" si="171"/>
        <v>0</v>
      </c>
      <c r="K246" s="1441">
        <f t="shared" si="171"/>
        <v>0</v>
      </c>
      <c r="L246" s="1442"/>
      <c r="M246" s="1443">
        <f t="shared" si="168"/>
        <v>0</v>
      </c>
      <c r="N246" s="1442">
        <f t="shared" si="168"/>
        <v>0</v>
      </c>
      <c r="O246" s="1444">
        <f t="shared" si="168"/>
        <v>0</v>
      </c>
      <c r="P246" s="1442">
        <f t="shared" si="168"/>
        <v>0</v>
      </c>
      <c r="Q246" s="1442">
        <f t="shared" si="168"/>
        <v>0</v>
      </c>
      <c r="R246" s="1442">
        <f t="shared" si="168"/>
        <v>0</v>
      </c>
      <c r="S246" s="1443">
        <f t="shared" si="143"/>
        <v>0</v>
      </c>
      <c r="T246" s="1442">
        <f t="shared" si="144"/>
        <v>0</v>
      </c>
      <c r="U246" s="1441">
        <f t="shared" si="145"/>
        <v>0</v>
      </c>
      <c r="V246" s="1441">
        <f t="shared" si="146"/>
        <v>0</v>
      </c>
      <c r="W246" s="1440"/>
    </row>
    <row r="247" spans="1:23">
      <c r="A247" s="1445" t="s">
        <v>898</v>
      </c>
      <c r="B247" s="1445" t="s">
        <v>1410</v>
      </c>
      <c r="C247" s="1442">
        <f t="shared" ref="C247:K247" si="172">C29/C$172*100</f>
        <v>14.033483142569924</v>
      </c>
      <c r="D247" s="1443">
        <f t="shared" si="172"/>
        <v>14.302915095774418</v>
      </c>
      <c r="E247" s="1442">
        <f t="shared" si="172"/>
        <v>14.217646162324765</v>
      </c>
      <c r="F247" s="1442">
        <f t="shared" si="172"/>
        <v>14.123044813753568</v>
      </c>
      <c r="G247" s="1441">
        <f t="shared" si="172"/>
        <v>13.959941049536436</v>
      </c>
      <c r="H247" s="1443">
        <f t="shared" si="172"/>
        <v>14.191163437745683</v>
      </c>
      <c r="I247" s="1442">
        <f t="shared" si="172"/>
        <v>14.106560728252997</v>
      </c>
      <c r="J247" s="1442">
        <f t="shared" si="172"/>
        <v>14.012698519744077</v>
      </c>
      <c r="K247" s="1441">
        <f t="shared" si="172"/>
        <v>13.8508691192465</v>
      </c>
      <c r="L247" s="1442"/>
      <c r="M247" s="1443">
        <f t="shared" si="168"/>
        <v>-0.11840418530066688</v>
      </c>
      <c r="N247" s="1442">
        <f t="shared" si="168"/>
        <v>0</v>
      </c>
      <c r="O247" s="1444">
        <f t="shared" si="168"/>
        <v>14.072759252445014</v>
      </c>
      <c r="P247" s="1442">
        <f t="shared" si="168"/>
        <v>14.079366867227375</v>
      </c>
      <c r="Q247" s="1442">
        <f t="shared" si="168"/>
        <v>14.030676791666707</v>
      </c>
      <c r="R247" s="1442">
        <f t="shared" si="168"/>
        <v>13.873167430643027</v>
      </c>
      <c r="S247" s="1443">
        <f t="shared" si="143"/>
        <v>0.13827929509739079</v>
      </c>
      <c r="T247" s="1442">
        <f t="shared" si="144"/>
        <v>9.236802208686079E-2</v>
      </c>
      <c r="U247" s="1441">
        <f t="shared" si="145"/>
        <v>8.6773618893408511E-2</v>
      </c>
      <c r="V247" s="1441">
        <f t="shared" si="146"/>
        <v>6.6076147823608267E-3</v>
      </c>
      <c r="W247" s="1440"/>
    </row>
    <row r="248" spans="1:23">
      <c r="A248" s="1207" t="s">
        <v>1290</v>
      </c>
      <c r="B248" s="1207"/>
      <c r="C248" s="1434">
        <f t="shared" ref="C248:K248" si="173">C30/C$172*100</f>
        <v>7.8241482558435074</v>
      </c>
      <c r="D248" s="1438">
        <f t="shared" si="173"/>
        <v>8.1461153305203471</v>
      </c>
      <c r="E248" s="1434">
        <f t="shared" si="173"/>
        <v>8.1701771646627446</v>
      </c>
      <c r="F248" s="1434">
        <f t="shared" si="173"/>
        <v>8.1274428588349803</v>
      </c>
      <c r="G248" s="1437">
        <f t="shared" si="173"/>
        <v>8.0356724223721514</v>
      </c>
      <c r="H248" s="1438">
        <f t="shared" si="173"/>
        <v>8.0824680328482863</v>
      </c>
      <c r="I248" s="1434">
        <f t="shared" si="173"/>
        <v>8.1063418668632536</v>
      </c>
      <c r="J248" s="1434">
        <f t="shared" si="173"/>
        <v>8.0639414530777032</v>
      </c>
      <c r="K248" s="1437">
        <f t="shared" si="173"/>
        <v>7.9728880381705558</v>
      </c>
      <c r="L248" s="1434"/>
      <c r="M248" s="1438">
        <f t="shared" si="168"/>
        <v>0</v>
      </c>
      <c r="N248" s="1434">
        <f t="shared" si="168"/>
        <v>0</v>
      </c>
      <c r="O248" s="1439">
        <f t="shared" si="168"/>
        <v>8.0824680328482863</v>
      </c>
      <c r="P248" s="1434">
        <f t="shared" si="168"/>
        <v>8.0965658743378111</v>
      </c>
      <c r="Q248" s="1434">
        <f t="shared" si="168"/>
        <v>8.0779260141957767</v>
      </c>
      <c r="R248" s="1434">
        <f t="shared" si="168"/>
        <v>7.9969092491807992</v>
      </c>
      <c r="S248" s="1438">
        <f t="shared" si="143"/>
        <v>7.361129032493352E-2</v>
      </c>
      <c r="T248" s="1434">
        <f t="shared" si="144"/>
        <v>4.9516844639203583E-2</v>
      </c>
      <c r="U248" s="1437">
        <f t="shared" si="145"/>
        <v>3.8763173191352251E-2</v>
      </c>
      <c r="V248" s="1437">
        <f t="shared" si="146"/>
        <v>1.4097841489524754E-2</v>
      </c>
      <c r="W248" s="1440"/>
    </row>
    <row r="249" spans="1:23">
      <c r="A249" s="1207" t="s">
        <v>1289</v>
      </c>
      <c r="B249" s="1207"/>
      <c r="C249" s="1434">
        <f t="shared" ref="C249:K249" si="174">C31/C$172*100</f>
        <v>3.6910336834185666</v>
      </c>
      <c r="D249" s="1438">
        <f t="shared" si="174"/>
        <v>3.6583045820957292</v>
      </c>
      <c r="E249" s="1434">
        <f t="shared" si="174"/>
        <v>3.7071599435351792</v>
      </c>
      <c r="F249" s="1434">
        <f t="shared" si="174"/>
        <v>3.7283823140056898</v>
      </c>
      <c r="G249" s="1437">
        <f t="shared" si="174"/>
        <v>3.7320949871233959</v>
      </c>
      <c r="H249" s="1438">
        <f t="shared" si="174"/>
        <v>3.629721485581082</v>
      </c>
      <c r="I249" s="1434">
        <f t="shared" si="174"/>
        <v>3.6781951298944855</v>
      </c>
      <c r="J249" s="1434">
        <f t="shared" si="174"/>
        <v>3.6992516855593074</v>
      </c>
      <c r="K249" s="1437">
        <f t="shared" si="174"/>
        <v>3.7029353507877927</v>
      </c>
      <c r="L249" s="1434"/>
      <c r="M249" s="1438">
        <f t="shared" si="168"/>
        <v>0</v>
      </c>
      <c r="N249" s="1434">
        <f t="shared" si="168"/>
        <v>0</v>
      </c>
      <c r="O249" s="1439">
        <f t="shared" si="168"/>
        <v>3.629721485581082</v>
      </c>
      <c r="P249" s="1434">
        <f t="shared" si="168"/>
        <v>3.6737593426198387</v>
      </c>
      <c r="Q249" s="1434">
        <f t="shared" si="168"/>
        <v>3.7141381380289475</v>
      </c>
      <c r="R249" s="1434">
        <f t="shared" si="168"/>
        <v>3.7235574330668189</v>
      </c>
      <c r="S249" s="1438">
        <f t="shared" si="143"/>
        <v>3.3400600915340473E-2</v>
      </c>
      <c r="T249" s="1434">
        <f t="shared" si="144"/>
        <v>1.4244175976742213E-2</v>
      </c>
      <c r="U249" s="1437">
        <f t="shared" si="145"/>
        <v>8.5375540565770791E-3</v>
      </c>
      <c r="V249" s="1437">
        <f t="shared" si="146"/>
        <v>4.4037857038756734E-2</v>
      </c>
      <c r="W249" s="1440"/>
    </row>
    <row r="250" spans="1:23">
      <c r="A250" s="1207" t="s">
        <v>1409</v>
      </c>
      <c r="B250" s="1207"/>
      <c r="C250" s="1434">
        <f t="shared" ref="C250:K250" si="175">C32/C$172*100</f>
        <v>1.7142458201119388</v>
      </c>
      <c r="D250" s="1438">
        <f t="shared" si="175"/>
        <v>1.6818298386795789</v>
      </c>
      <c r="E250" s="1434">
        <f t="shared" si="175"/>
        <v>1.5435678218436271</v>
      </c>
      <c r="F250" s="1434">
        <f t="shared" si="175"/>
        <v>1.5073221918839543</v>
      </c>
      <c r="G250" s="1437">
        <f t="shared" si="175"/>
        <v>1.4657555730348131</v>
      </c>
      <c r="H250" s="1438">
        <f t="shared" si="175"/>
        <v>1.6686893514616847</v>
      </c>
      <c r="I250" s="1434">
        <f t="shared" si="175"/>
        <v>1.5315076045931035</v>
      </c>
      <c r="J250" s="1434">
        <f t="shared" si="175"/>
        <v>1.4955451692980963</v>
      </c>
      <c r="K250" s="1437">
        <f t="shared" si="175"/>
        <v>1.4543033191093251</v>
      </c>
      <c r="L250" s="1434"/>
      <c r="M250" s="1438">
        <f t="shared" si="168"/>
        <v>-0.11840418530066688</v>
      </c>
      <c r="N250" s="1434">
        <f t="shared" si="168"/>
        <v>0</v>
      </c>
      <c r="O250" s="1439">
        <f t="shared" si="168"/>
        <v>1.550285166161018</v>
      </c>
      <c r="P250" s="1434">
        <f t="shared" si="168"/>
        <v>1.5257261457365277</v>
      </c>
      <c r="Q250" s="1434">
        <f t="shared" si="168"/>
        <v>1.4872021012543211</v>
      </c>
      <c r="R250" s="1434">
        <f t="shared" si="168"/>
        <v>1.4391976245604274</v>
      </c>
      <c r="S250" s="1438">
        <f t="shared" si="143"/>
        <v>1.7841676107099413E-2</v>
      </c>
      <c r="T250" s="1434">
        <f t="shared" si="144"/>
        <v>2.0120090629633269E-2</v>
      </c>
      <c r="U250" s="1437">
        <f t="shared" si="145"/>
        <v>2.655794847438564E-2</v>
      </c>
      <c r="V250" s="1437">
        <f t="shared" si="146"/>
        <v>-2.4559020424490319E-2</v>
      </c>
      <c r="W250" s="1440"/>
    </row>
    <row r="251" spans="1:23">
      <c r="A251" s="1207" t="s">
        <v>1408</v>
      </c>
      <c r="B251" s="1207"/>
      <c r="C251" s="1434">
        <f t="shared" ref="C251:K251" si="176">C33/C$172*100</f>
        <v>0.26472823489939706</v>
      </c>
      <c r="D251" s="1438">
        <f t="shared" si="176"/>
        <v>0.24419287743835888</v>
      </c>
      <c r="E251" s="1434">
        <f t="shared" si="176"/>
        <v>0.23634328541211691</v>
      </c>
      <c r="F251" s="1434">
        <f t="shared" si="176"/>
        <v>0.22998535994268668</v>
      </c>
      <c r="G251" s="1437">
        <f t="shared" si="176"/>
        <v>0.22871185676990544</v>
      </c>
      <c r="H251" s="1438">
        <f t="shared" si="176"/>
        <v>0.24228494756883134</v>
      </c>
      <c r="I251" s="1434">
        <f t="shared" si="176"/>
        <v>0.23449668604185522</v>
      </c>
      <c r="J251" s="1434">
        <f t="shared" si="176"/>
        <v>0.22818843636984629</v>
      </c>
      <c r="K251" s="1437">
        <f t="shared" si="176"/>
        <v>0.22692488334289965</v>
      </c>
      <c r="L251" s="1434"/>
      <c r="M251" s="1438">
        <f t="shared" si="168"/>
        <v>0</v>
      </c>
      <c r="N251" s="1434">
        <f t="shared" si="168"/>
        <v>0</v>
      </c>
      <c r="O251" s="1439">
        <f t="shared" si="168"/>
        <v>0.24228494756883134</v>
      </c>
      <c r="P251" s="1434">
        <f t="shared" si="168"/>
        <v>0.23844676275885587</v>
      </c>
      <c r="Q251" s="1434">
        <f t="shared" si="168"/>
        <v>0.23242606650164785</v>
      </c>
      <c r="R251" s="1434">
        <f t="shared" si="168"/>
        <v>0.22492372927187834</v>
      </c>
      <c r="S251" s="1438">
        <f t="shared" si="143"/>
        <v>-2.1034773467389634E-3</v>
      </c>
      <c r="T251" s="1434">
        <f t="shared" si="144"/>
        <v>-2.4407065589611698E-3</v>
      </c>
      <c r="U251" s="1437">
        <f t="shared" si="145"/>
        <v>3.788127498027094E-3</v>
      </c>
      <c r="V251" s="1437">
        <f t="shared" si="146"/>
        <v>-3.8381848099754701E-3</v>
      </c>
      <c r="W251" s="1440"/>
    </row>
    <row r="252" spans="1:23">
      <c r="A252" s="1207" t="s">
        <v>1311</v>
      </c>
      <c r="B252" s="1207"/>
      <c r="C252" s="1434">
        <f t="shared" ref="C252:K252" si="177">C34/C$172*100</f>
        <v>0.21713757027969535</v>
      </c>
      <c r="D252" s="1438">
        <f t="shared" si="177"/>
        <v>0.20706089051817975</v>
      </c>
      <c r="E252" s="1434">
        <f t="shared" si="177"/>
        <v>0.20996796148696212</v>
      </c>
      <c r="F252" s="1434">
        <f t="shared" si="177"/>
        <v>0.19797949894096648</v>
      </c>
      <c r="G252" s="1437">
        <f t="shared" si="177"/>
        <v>0.18636280176126213</v>
      </c>
      <c r="H252" s="1438">
        <f t="shared" si="177"/>
        <v>0.20544308060506983</v>
      </c>
      <c r="I252" s="1434">
        <f t="shared" si="177"/>
        <v>0.20832743802220252</v>
      </c>
      <c r="J252" s="1434">
        <f t="shared" si="177"/>
        <v>0.19643264383386402</v>
      </c>
      <c r="K252" s="1437">
        <f t="shared" si="177"/>
        <v>0.18490671033149092</v>
      </c>
      <c r="L252" s="1434"/>
      <c r="M252" s="1438">
        <f t="shared" si="168"/>
        <v>0</v>
      </c>
      <c r="N252" s="1434">
        <f t="shared" si="168"/>
        <v>0</v>
      </c>
      <c r="O252" s="1439">
        <f t="shared" si="168"/>
        <v>0.20544308060506983</v>
      </c>
      <c r="P252" s="1434">
        <f t="shared" si="168"/>
        <v>0.19815797811500624</v>
      </c>
      <c r="Q252" s="1434">
        <f t="shared" si="168"/>
        <v>0.19089130250319844</v>
      </c>
      <c r="R252" s="1434">
        <f t="shared" si="168"/>
        <v>0.18226972043110296</v>
      </c>
      <c r="S252" s="1438">
        <f t="shared" si="143"/>
        <v>1.1809983371955879E-2</v>
      </c>
      <c r="T252" s="1434">
        <f t="shared" si="144"/>
        <v>7.0881964377680351E-3</v>
      </c>
      <c r="U252" s="1437">
        <f t="shared" si="145"/>
        <v>4.0930813301591762E-3</v>
      </c>
      <c r="V252" s="1437">
        <f t="shared" si="146"/>
        <v>-7.2851024900635886E-3</v>
      </c>
      <c r="W252" s="1440"/>
    </row>
    <row r="253" spans="1:23">
      <c r="A253" s="1207" t="s">
        <v>1379</v>
      </c>
      <c r="B253" s="1207"/>
      <c r="C253" s="1434">
        <f t="shared" ref="C253:K253" si="178">C35/C$172*100</f>
        <v>0.32215824064377724</v>
      </c>
      <c r="D253" s="1438">
        <f t="shared" si="178"/>
        <v>0.36541157652222567</v>
      </c>
      <c r="E253" s="1434">
        <f t="shared" si="178"/>
        <v>0.35042998538413456</v>
      </c>
      <c r="F253" s="1434">
        <f t="shared" si="178"/>
        <v>0.33193259014529269</v>
      </c>
      <c r="G253" s="1437">
        <f t="shared" si="178"/>
        <v>0.31134340847490782</v>
      </c>
      <c r="H253" s="1438">
        <f t="shared" si="178"/>
        <v>0.36255653968072771</v>
      </c>
      <c r="I253" s="1434">
        <f t="shared" si="178"/>
        <v>0.3476920028380987</v>
      </c>
      <c r="J253" s="1434">
        <f t="shared" si="178"/>
        <v>0.32933913160525924</v>
      </c>
      <c r="K253" s="1437">
        <f t="shared" si="178"/>
        <v>0.30891081750443711</v>
      </c>
      <c r="L253" s="1434"/>
      <c r="M253" s="1438">
        <f t="shared" ref="M253:R262" si="179">M35/M$172*100</f>
        <v>0</v>
      </c>
      <c r="N253" s="1434">
        <f t="shared" si="179"/>
        <v>0</v>
      </c>
      <c r="O253" s="1439">
        <f t="shared" si="179"/>
        <v>0.36255653968072771</v>
      </c>
      <c r="P253" s="1434">
        <f t="shared" si="179"/>
        <v>0.34671076365933379</v>
      </c>
      <c r="Q253" s="1434">
        <f t="shared" si="179"/>
        <v>0.32809316918281467</v>
      </c>
      <c r="R253" s="1434">
        <f t="shared" si="179"/>
        <v>0.30630967413200078</v>
      </c>
      <c r="S253" s="1438">
        <f t="shared" si="143"/>
        <v>3.7192217248007697E-3</v>
      </c>
      <c r="T253" s="1434">
        <f t="shared" si="144"/>
        <v>3.839420962478024E-3</v>
      </c>
      <c r="U253" s="1437">
        <f t="shared" si="145"/>
        <v>5.033734342907048E-3</v>
      </c>
      <c r="V253" s="1437">
        <f t="shared" si="146"/>
        <v>-1.584577602139392E-2</v>
      </c>
      <c r="W253" s="1440"/>
    </row>
    <row r="254" spans="1:23">
      <c r="A254" s="1445" t="s">
        <v>897</v>
      </c>
      <c r="B254" s="1445"/>
      <c r="C254" s="1442">
        <f t="shared" ref="C254:K254" si="180">C36/C$172*100</f>
        <v>0.80454238132517242</v>
      </c>
      <c r="D254" s="1443">
        <f t="shared" si="180"/>
        <v>0.71920024149452577</v>
      </c>
      <c r="E254" s="1442">
        <f t="shared" si="180"/>
        <v>0.65232880325880493</v>
      </c>
      <c r="F254" s="1442">
        <f t="shared" si="180"/>
        <v>0.61917310514763568</v>
      </c>
      <c r="G254" s="1441">
        <f t="shared" si="180"/>
        <v>0.58919764617305737</v>
      </c>
      <c r="H254" s="1443">
        <f t="shared" si="180"/>
        <v>0.50681824477649817</v>
      </c>
      <c r="I254" s="1442">
        <f t="shared" si="180"/>
        <v>0.51931784919811452</v>
      </c>
      <c r="J254" s="1442">
        <f t="shared" si="180"/>
        <v>0.49072526668525412</v>
      </c>
      <c r="K254" s="1441">
        <f t="shared" si="180"/>
        <v>0.46213501309675231</v>
      </c>
      <c r="L254" s="1442"/>
      <c r="M254" s="1443">
        <f t="shared" si="179"/>
        <v>0</v>
      </c>
      <c r="N254" s="1442">
        <f t="shared" si="179"/>
        <v>-0.20590047618483112</v>
      </c>
      <c r="O254" s="1444">
        <f t="shared" si="179"/>
        <v>0.5076805038582004</v>
      </c>
      <c r="P254" s="1442">
        <f t="shared" si="179"/>
        <v>0.4818065063368111</v>
      </c>
      <c r="Q254" s="1442">
        <f t="shared" si="179"/>
        <v>0.49106371486110034</v>
      </c>
      <c r="R254" s="1442">
        <f t="shared" si="179"/>
        <v>0.48925901631539614</v>
      </c>
      <c r="S254" s="1443">
        <f t="shared" si="143"/>
        <v>0.17052229692199383</v>
      </c>
      <c r="T254" s="1442">
        <f t="shared" si="144"/>
        <v>0.12810939028653534</v>
      </c>
      <c r="U254" s="1441">
        <f t="shared" si="145"/>
        <v>9.9938629857661221E-2</v>
      </c>
      <c r="V254" s="1441">
        <f t="shared" si="146"/>
        <v>-2.5873997521389303E-2</v>
      </c>
      <c r="W254" s="1440"/>
    </row>
    <row r="255" spans="1:23">
      <c r="A255" s="1207" t="s">
        <v>1238</v>
      </c>
      <c r="B255" s="1207" t="s">
        <v>1407</v>
      </c>
      <c r="C255" s="1434">
        <f t="shared" ref="C255:K255" si="181">C37/C$172*100</f>
        <v>0.42031705928403673</v>
      </c>
      <c r="D255" s="1438">
        <f t="shared" si="181"/>
        <v>0.59243452587518952</v>
      </c>
      <c r="E255" s="1434">
        <f t="shared" si="181"/>
        <v>0.53190276388064983</v>
      </c>
      <c r="F255" s="1434">
        <f t="shared" si="181"/>
        <v>0.50518366861346065</v>
      </c>
      <c r="G255" s="1437">
        <f t="shared" si="181"/>
        <v>0.48182180029125071</v>
      </c>
      <c r="H255" s="1438">
        <f t="shared" si="181"/>
        <v>0.38086353178395488</v>
      </c>
      <c r="I255" s="1434">
        <f t="shared" si="181"/>
        <v>0.39189786845163549</v>
      </c>
      <c r="J255" s="1434">
        <f t="shared" si="181"/>
        <v>0.37009764873306639</v>
      </c>
      <c r="K255" s="1437">
        <f t="shared" si="181"/>
        <v>0.3485242733823718</v>
      </c>
      <c r="L255" s="1434"/>
      <c r="M255" s="1438">
        <f t="shared" si="179"/>
        <v>0</v>
      </c>
      <c r="N255" s="1434">
        <f t="shared" si="179"/>
        <v>-0.20694217960854361</v>
      </c>
      <c r="O255" s="1439">
        <f t="shared" si="179"/>
        <v>0.38086353178395488</v>
      </c>
      <c r="P255" s="1434">
        <f t="shared" si="179"/>
        <v>0.36492285639692806</v>
      </c>
      <c r="Q255" s="1434">
        <f t="shared" si="179"/>
        <v>0.37880386627552209</v>
      </c>
      <c r="R255" s="1434">
        <f t="shared" si="179"/>
        <v>0.38042530688059106</v>
      </c>
      <c r="S255" s="1438">
        <f t="shared" ref="S255:S286" si="182">E255-P255</f>
        <v>0.16697990748372177</v>
      </c>
      <c r="T255" s="1434">
        <f t="shared" ref="T255:T286" si="183">F255-Q255</f>
        <v>0.12637980233793855</v>
      </c>
      <c r="U255" s="1437">
        <f t="shared" ref="U255:U286" si="184">G255-R255</f>
        <v>0.10139649341065965</v>
      </c>
      <c r="V255" s="1437">
        <f t="shared" ref="V255:V286" si="185">P255-O255</f>
        <v>-1.5940675387026815E-2</v>
      </c>
    </row>
    <row r="256" spans="1:23">
      <c r="A256" s="1207" t="s">
        <v>1160</v>
      </c>
      <c r="B256" s="1207"/>
      <c r="C256" s="1434">
        <f t="shared" ref="C256:K256" si="186">C38/C$172*100</f>
        <v>0.28511697184745366</v>
      </c>
      <c r="D256" s="1438">
        <f t="shared" si="186"/>
        <v>5.4701677611756094E-2</v>
      </c>
      <c r="E256" s="1434">
        <f t="shared" si="186"/>
        <v>5.1600800167685611E-2</v>
      </c>
      <c r="F256" s="1434">
        <f t="shared" si="186"/>
        <v>4.8875212482211244E-2</v>
      </c>
      <c r="G256" s="1437">
        <f t="shared" si="186"/>
        <v>4.6071837215781078E-2</v>
      </c>
      <c r="H256" s="1438">
        <f t="shared" si="186"/>
        <v>5.4274281998404998E-2</v>
      </c>
      <c r="I256" s="1434">
        <f t="shared" si="186"/>
        <v>5.1197632356387343E-2</v>
      </c>
      <c r="J256" s="1434">
        <f t="shared" si="186"/>
        <v>4.8493340255828001E-2</v>
      </c>
      <c r="K256" s="1437">
        <f t="shared" si="186"/>
        <v>4.5711868344902803E-2</v>
      </c>
      <c r="L256" s="1434"/>
      <c r="M256" s="1438">
        <f t="shared" si="179"/>
        <v>0</v>
      </c>
      <c r="N256" s="1434">
        <f t="shared" si="179"/>
        <v>0</v>
      </c>
      <c r="O256" s="1439">
        <f t="shared" si="179"/>
        <v>5.4274281998404998E-2</v>
      </c>
      <c r="P256" s="1434">
        <f t="shared" si="179"/>
        <v>4.8007732889059754E-2</v>
      </c>
      <c r="Q256" s="1434">
        <f t="shared" si="179"/>
        <v>4.6825379616172141E-2</v>
      </c>
      <c r="R256" s="1434">
        <f t="shared" si="179"/>
        <v>4.7440116356437252E-2</v>
      </c>
      <c r="S256" s="1438">
        <f t="shared" si="182"/>
        <v>3.5930672786258569E-3</v>
      </c>
      <c r="T256" s="1434">
        <f t="shared" si="183"/>
        <v>2.049832866039103E-3</v>
      </c>
      <c r="U256" s="1437">
        <f t="shared" si="184"/>
        <v>-1.3682791406561742E-3</v>
      </c>
      <c r="V256" s="1437">
        <f t="shared" si="185"/>
        <v>-6.2665491093452444E-3</v>
      </c>
    </row>
    <row r="257" spans="1:23">
      <c r="A257" s="1207" t="s">
        <v>1354</v>
      </c>
      <c r="B257" s="1207"/>
      <c r="C257" s="1434">
        <f t="shared" ref="C257:K257" si="187">C39/C$172*100</f>
        <v>7.9175859369439892E-4</v>
      </c>
      <c r="D257" s="1438">
        <f t="shared" si="187"/>
        <v>2.8554471870143441E-5</v>
      </c>
      <c r="E257" s="1434">
        <f t="shared" si="187"/>
        <v>0</v>
      </c>
      <c r="F257" s="1434">
        <f t="shared" si="187"/>
        <v>0</v>
      </c>
      <c r="G257" s="1437">
        <f t="shared" si="187"/>
        <v>0</v>
      </c>
      <c r="H257" s="1438">
        <f t="shared" si="187"/>
        <v>2.8331369827360136E-5</v>
      </c>
      <c r="I257" s="1434">
        <f t="shared" si="187"/>
        <v>0</v>
      </c>
      <c r="J257" s="1434">
        <f t="shared" si="187"/>
        <v>0</v>
      </c>
      <c r="K257" s="1437">
        <f t="shared" si="187"/>
        <v>0</v>
      </c>
      <c r="L257" s="1434"/>
      <c r="M257" s="1438">
        <f t="shared" si="179"/>
        <v>0</v>
      </c>
      <c r="N257" s="1434">
        <f t="shared" si="179"/>
        <v>0</v>
      </c>
      <c r="O257" s="1439">
        <f t="shared" si="179"/>
        <v>2.8331369827360136E-5</v>
      </c>
      <c r="P257" s="1434">
        <f t="shared" si="179"/>
        <v>0</v>
      </c>
      <c r="Q257" s="1434">
        <f t="shared" si="179"/>
        <v>0</v>
      </c>
      <c r="R257" s="1434">
        <f t="shared" si="179"/>
        <v>0</v>
      </c>
      <c r="S257" s="1438">
        <f t="shared" si="182"/>
        <v>0</v>
      </c>
      <c r="T257" s="1434">
        <f t="shared" si="183"/>
        <v>0</v>
      </c>
      <c r="U257" s="1437">
        <f t="shared" si="184"/>
        <v>0</v>
      </c>
      <c r="V257" s="1437">
        <f t="shared" si="185"/>
        <v>-2.8331369827360136E-5</v>
      </c>
    </row>
    <row r="258" spans="1:23">
      <c r="A258" s="1207" t="s">
        <v>1351</v>
      </c>
      <c r="B258" s="1207"/>
      <c r="C258" s="1434">
        <f t="shared" ref="C258:K258" si="188">C40/C$172*100</f>
        <v>1.4984228372154499E-3</v>
      </c>
      <c r="D258" s="1438">
        <f t="shared" si="188"/>
        <v>4.9659951078510336E-4</v>
      </c>
      <c r="E258" s="1434">
        <f t="shared" si="188"/>
        <v>7.1765907452483249E-3</v>
      </c>
      <c r="F258" s="1434">
        <f t="shared" si="188"/>
        <v>6.8712749464656178E-3</v>
      </c>
      <c r="G258" s="1437">
        <f t="shared" si="188"/>
        <v>6.6204971111830458E-3</v>
      </c>
      <c r="H258" s="1438">
        <f t="shared" si="188"/>
        <v>4.9271947525843717E-4</v>
      </c>
      <c r="I258" s="1434">
        <f t="shared" si="188"/>
        <v>7.1205185453223014E-3</v>
      </c>
      <c r="J258" s="1434">
        <f t="shared" si="188"/>
        <v>6.8175882425386873E-3</v>
      </c>
      <c r="K258" s="1437">
        <f t="shared" si="188"/>
        <v>6.5687697867743474E-3</v>
      </c>
      <c r="L258" s="1434"/>
      <c r="M258" s="1438">
        <f t="shared" si="179"/>
        <v>0</v>
      </c>
      <c r="N258" s="1434">
        <f t="shared" si="179"/>
        <v>0</v>
      </c>
      <c r="O258" s="1439">
        <f t="shared" si="179"/>
        <v>4.9271947525843717E-4</v>
      </c>
      <c r="P258" s="1434">
        <f t="shared" si="179"/>
        <v>4.9572149312218975E-4</v>
      </c>
      <c r="Q258" s="1434">
        <f t="shared" si="179"/>
        <v>4.9967006175890357E-4</v>
      </c>
      <c r="R258" s="1434">
        <f t="shared" si="179"/>
        <v>5.0324601250851609E-4</v>
      </c>
      <c r="S258" s="1438">
        <f t="shared" si="182"/>
        <v>6.6808692521261349E-3</v>
      </c>
      <c r="T258" s="1434">
        <f t="shared" si="183"/>
        <v>6.3716048847067145E-3</v>
      </c>
      <c r="U258" s="1437">
        <f t="shared" si="184"/>
        <v>6.1172510986745292E-3</v>
      </c>
      <c r="V258" s="1437">
        <f t="shared" si="185"/>
        <v>3.0020178637525739E-6</v>
      </c>
    </row>
    <row r="259" spans="1:23">
      <c r="A259" s="1207" t="s">
        <v>1350</v>
      </c>
      <c r="B259" s="1207"/>
      <c r="C259" s="1434">
        <f t="shared" ref="C259:K259" si="189">C41/C$172*100</f>
        <v>5.9731386683205049E-5</v>
      </c>
      <c r="D259" s="1438">
        <f t="shared" si="189"/>
        <v>1.8051392217038505E-3</v>
      </c>
      <c r="E259" s="1434">
        <f t="shared" si="189"/>
        <v>1.9966095208778073E-3</v>
      </c>
      <c r="F259" s="1434">
        <f t="shared" si="189"/>
        <v>1.8876815520921348E-3</v>
      </c>
      <c r="G259" s="1437">
        <f t="shared" si="189"/>
        <v>1.7863470157033173E-3</v>
      </c>
      <c r="H259" s="1438">
        <f t="shared" si="189"/>
        <v>1.7910352925644192E-3</v>
      </c>
      <c r="I259" s="1434">
        <f t="shared" si="189"/>
        <v>1.9810095943663245E-3</v>
      </c>
      <c r="J259" s="1434">
        <f t="shared" si="189"/>
        <v>1.8729327025139902E-3</v>
      </c>
      <c r="K259" s="1437">
        <f t="shared" si="189"/>
        <v>1.7723899139878421E-3</v>
      </c>
      <c r="L259" s="1434"/>
      <c r="M259" s="1438">
        <f t="shared" si="179"/>
        <v>0</v>
      </c>
      <c r="N259" s="1434">
        <f t="shared" si="179"/>
        <v>0</v>
      </c>
      <c r="O259" s="1439">
        <f t="shared" si="179"/>
        <v>1.7910352925644192E-3</v>
      </c>
      <c r="P259" s="1434">
        <f t="shared" si="179"/>
        <v>1.9754188870402013E-3</v>
      </c>
      <c r="Q259" s="1434">
        <f t="shared" si="179"/>
        <v>1.8658469858676698E-3</v>
      </c>
      <c r="R259" s="1434">
        <f t="shared" si="179"/>
        <v>1.7574657351734299E-3</v>
      </c>
      <c r="S259" s="1438">
        <f t="shared" si="182"/>
        <v>2.1190633837606023E-5</v>
      </c>
      <c r="T259" s="1434">
        <f t="shared" si="183"/>
        <v>2.1834566224464974E-5</v>
      </c>
      <c r="U259" s="1437">
        <f t="shared" si="184"/>
        <v>2.888128052988743E-5</v>
      </c>
      <c r="V259" s="1437">
        <f t="shared" si="185"/>
        <v>1.8438359447578217E-4</v>
      </c>
    </row>
    <row r="260" spans="1:23">
      <c r="A260" s="1207" t="s">
        <v>1349</v>
      </c>
      <c r="B260" s="1207" t="s">
        <v>1406</v>
      </c>
      <c r="C260" s="1434">
        <f t="shared" ref="C260:K260" si="190">C42/C$172*100</f>
        <v>1.0802484825686018E-3</v>
      </c>
      <c r="D260" s="1438">
        <f t="shared" si="190"/>
        <v>0</v>
      </c>
      <c r="E260" s="1434">
        <f t="shared" si="190"/>
        <v>0</v>
      </c>
      <c r="F260" s="1434">
        <f t="shared" si="190"/>
        <v>0</v>
      </c>
      <c r="G260" s="1437">
        <f t="shared" si="190"/>
        <v>0</v>
      </c>
      <c r="H260" s="1438">
        <f t="shared" si="190"/>
        <v>1.0417034237125114E-3</v>
      </c>
      <c r="I260" s="1434">
        <f t="shared" si="190"/>
        <v>9.9899439153092878E-4</v>
      </c>
      <c r="J260" s="1434">
        <f t="shared" si="190"/>
        <v>9.4787283527099397E-4</v>
      </c>
      <c r="K260" s="1437">
        <f t="shared" si="190"/>
        <v>8.9059347370516674E-4</v>
      </c>
      <c r="L260" s="1434"/>
      <c r="M260" s="1438">
        <f t="shared" si="179"/>
        <v>0</v>
      </c>
      <c r="N260" s="1434">
        <f t="shared" si="179"/>
        <v>1.0417034237125114E-3</v>
      </c>
      <c r="O260" s="1439">
        <f t="shared" si="179"/>
        <v>1.0417034237125114E-3</v>
      </c>
      <c r="P260" s="1434">
        <f t="shared" si="179"/>
        <v>1.0047641596416799E-3</v>
      </c>
      <c r="Q260" s="1434">
        <f t="shared" si="179"/>
        <v>9.6791832944124632E-4</v>
      </c>
      <c r="R260" s="1434">
        <f t="shared" si="179"/>
        <v>9.2420241778401696E-4</v>
      </c>
      <c r="S260" s="1438">
        <f t="shared" si="182"/>
        <v>-1.0047641596416799E-3</v>
      </c>
      <c r="T260" s="1434">
        <f t="shared" si="183"/>
        <v>-9.6791832944124632E-4</v>
      </c>
      <c r="U260" s="1437">
        <f t="shared" si="184"/>
        <v>-9.2420241778401696E-4</v>
      </c>
      <c r="V260" s="1437">
        <f t="shared" si="185"/>
        <v>-3.6939264070831547E-5</v>
      </c>
    </row>
    <row r="261" spans="1:23">
      <c r="A261" s="1207" t="s">
        <v>1370</v>
      </c>
      <c r="B261" s="1207"/>
      <c r="C261" s="1434">
        <f t="shared" ref="C261:K261" si="191">C43/C$172*100</f>
        <v>7.495653588458372E-3</v>
      </c>
      <c r="D261" s="1438">
        <f t="shared" si="191"/>
        <v>8.1583850629330708E-3</v>
      </c>
      <c r="E261" s="1434">
        <f t="shared" si="191"/>
        <v>0</v>
      </c>
      <c r="F261" s="1434">
        <f t="shared" si="191"/>
        <v>0</v>
      </c>
      <c r="G261" s="1437">
        <f t="shared" si="191"/>
        <v>0</v>
      </c>
      <c r="H261" s="1438">
        <f t="shared" si="191"/>
        <v>7.2323828175809698E-3</v>
      </c>
      <c r="I261" s="1434">
        <f t="shared" si="191"/>
        <v>6.9358607332004199E-3</v>
      </c>
      <c r="J261" s="1434">
        <f t="shared" si="191"/>
        <v>6.5809318189949985E-3</v>
      </c>
      <c r="K261" s="1437">
        <f t="shared" si="191"/>
        <v>6.18325023231623E-3</v>
      </c>
      <c r="L261" s="1434"/>
      <c r="M261" s="1438">
        <f t="shared" si="179"/>
        <v>0</v>
      </c>
      <c r="N261" s="1434">
        <f t="shared" si="179"/>
        <v>0</v>
      </c>
      <c r="O261" s="1439">
        <f t="shared" si="179"/>
        <v>7.2323828175809698E-3</v>
      </c>
      <c r="P261" s="1434">
        <f t="shared" si="179"/>
        <v>6.9759193245381573E-3</v>
      </c>
      <c r="Q261" s="1434">
        <f t="shared" si="179"/>
        <v>6.7201045281430338E-3</v>
      </c>
      <c r="R261" s="1434">
        <f t="shared" si="179"/>
        <v>6.4165918381320517E-3</v>
      </c>
      <c r="S261" s="1438">
        <f t="shared" si="182"/>
        <v>-6.9759193245381573E-3</v>
      </c>
      <c r="T261" s="1434">
        <f t="shared" si="183"/>
        <v>-6.7201045281430338E-3</v>
      </c>
      <c r="U261" s="1437">
        <f t="shared" si="184"/>
        <v>-6.4165918381320517E-3</v>
      </c>
      <c r="V261" s="1437">
        <f t="shared" si="185"/>
        <v>-2.5646349304281248E-4</v>
      </c>
    </row>
    <row r="262" spans="1:23">
      <c r="A262" s="1207" t="s">
        <v>1285</v>
      </c>
      <c r="B262" s="1207"/>
      <c r="C262" s="1434">
        <f t="shared" ref="C262:K262" si="192">C44/C$172*100</f>
        <v>8.818253530506194E-2</v>
      </c>
      <c r="D262" s="1438">
        <f t="shared" si="192"/>
        <v>6.1575359740288035E-2</v>
      </c>
      <c r="E262" s="1434">
        <f t="shared" si="192"/>
        <v>5.9652038944343268E-2</v>
      </c>
      <c r="F262" s="1434">
        <f t="shared" si="192"/>
        <v>5.6355267553406058E-2</v>
      </c>
      <c r="G262" s="1437">
        <f t="shared" si="192"/>
        <v>5.2897164539139133E-2</v>
      </c>
      <c r="H262" s="1438">
        <f t="shared" si="192"/>
        <v>6.1094258615194581E-2</v>
      </c>
      <c r="I262" s="1434">
        <f t="shared" si="192"/>
        <v>5.918596512567155E-2</v>
      </c>
      <c r="J262" s="1434">
        <f t="shared" si="192"/>
        <v>5.5914952097041039E-2</v>
      </c>
      <c r="K262" s="1437">
        <f t="shared" si="192"/>
        <v>5.2483867962694067E-2</v>
      </c>
      <c r="L262" s="1434"/>
      <c r="M262" s="1438">
        <f t="shared" si="179"/>
        <v>0</v>
      </c>
      <c r="N262" s="1434">
        <f t="shared" si="179"/>
        <v>0</v>
      </c>
      <c r="O262" s="1439">
        <f t="shared" si="179"/>
        <v>6.1094258615194581E-2</v>
      </c>
      <c r="P262" s="1434">
        <f t="shared" si="179"/>
        <v>5.8424093186481042E-2</v>
      </c>
      <c r="Q262" s="1434">
        <f t="shared" si="179"/>
        <v>5.5380929064195228E-2</v>
      </c>
      <c r="R262" s="1434">
        <f t="shared" si="179"/>
        <v>5.1792087074769816E-2</v>
      </c>
      <c r="S262" s="1438">
        <f t="shared" si="182"/>
        <v>1.2279457578622255E-3</v>
      </c>
      <c r="T262" s="1434">
        <f t="shared" si="183"/>
        <v>9.7433848921082977E-4</v>
      </c>
      <c r="U262" s="1437">
        <f t="shared" si="184"/>
        <v>1.1050774643693168E-3</v>
      </c>
      <c r="V262" s="1437">
        <f t="shared" si="185"/>
        <v>-2.670165428713539E-3</v>
      </c>
    </row>
    <row r="263" spans="1:23">
      <c r="A263" s="1445" t="s">
        <v>43</v>
      </c>
      <c r="B263" s="1445"/>
      <c r="C263" s="1442">
        <f t="shared" ref="C263:K263" si="193">C45/C$172*100</f>
        <v>4.4255899427595384</v>
      </c>
      <c r="D263" s="1443">
        <f t="shared" si="193"/>
        <v>3.9411043470012981</v>
      </c>
      <c r="E263" s="1442">
        <f t="shared" si="193"/>
        <v>4.0327015015279821</v>
      </c>
      <c r="F263" s="1442">
        <f t="shared" si="193"/>
        <v>3.875004414449966</v>
      </c>
      <c r="G263" s="1441">
        <f t="shared" si="193"/>
        <v>3.6975953372619421</v>
      </c>
      <c r="H263" s="1443">
        <f t="shared" si="193"/>
        <v>4.173475501568868</v>
      </c>
      <c r="I263" s="1442">
        <f t="shared" si="193"/>
        <v>4.1600289227303922</v>
      </c>
      <c r="J263" s="1442">
        <f t="shared" si="193"/>
        <v>4.0144902231973658</v>
      </c>
      <c r="K263" s="1441">
        <f t="shared" si="193"/>
        <v>3.8282086672372833</v>
      </c>
      <c r="L263" s="1442"/>
      <c r="M263" s="1443">
        <f t="shared" ref="M263:R272" si="194">M45/M$172*100</f>
        <v>0</v>
      </c>
      <c r="N263" s="1442">
        <f t="shared" si="194"/>
        <v>0.26316382461367621</v>
      </c>
      <c r="O263" s="1444">
        <f t="shared" si="194"/>
        <v>4.173475501568868</v>
      </c>
      <c r="P263" s="1442">
        <f t="shared" si="194"/>
        <v>4.1068151171401217</v>
      </c>
      <c r="Q263" s="1442">
        <f t="shared" si="194"/>
        <v>4.0436716491005757</v>
      </c>
      <c r="R263" s="1442">
        <f t="shared" si="194"/>
        <v>3.9648635840476474</v>
      </c>
      <c r="S263" s="1443">
        <f t="shared" si="182"/>
        <v>-7.4113615612139583E-2</v>
      </c>
      <c r="T263" s="1442">
        <f t="shared" si="183"/>
        <v>-0.16866723465060973</v>
      </c>
      <c r="U263" s="1441">
        <f t="shared" si="184"/>
        <v>-0.26726824678570527</v>
      </c>
      <c r="V263" s="1441">
        <f t="shared" si="185"/>
        <v>-6.6660384428746333E-2</v>
      </c>
      <c r="W263" s="1440"/>
    </row>
    <row r="264" spans="1:23">
      <c r="A264" s="1207" t="s">
        <v>1405</v>
      </c>
      <c r="B264" s="1207"/>
      <c r="C264" s="1434">
        <f t="shared" ref="C264:K264" si="195">C46/C$172*100</f>
        <v>0.22086125034313772</v>
      </c>
      <c r="D264" s="1438">
        <f t="shared" si="195"/>
        <v>0.26958152742724728</v>
      </c>
      <c r="E264" s="1434">
        <f t="shared" si="195"/>
        <v>0.27112899565999515</v>
      </c>
      <c r="F264" s="1434">
        <f t="shared" si="195"/>
        <v>0.25846551530462247</v>
      </c>
      <c r="G264" s="1437">
        <f t="shared" si="195"/>
        <v>0.24167587486247838</v>
      </c>
      <c r="H264" s="1438">
        <f t="shared" si="195"/>
        <v>0.26747523074141888</v>
      </c>
      <c r="I264" s="1434">
        <f t="shared" si="195"/>
        <v>0.26901060828219259</v>
      </c>
      <c r="J264" s="1434">
        <f t="shared" si="195"/>
        <v>0.25644607033937367</v>
      </c>
      <c r="K264" s="1437">
        <f t="shared" si="195"/>
        <v>0.23978761085891123</v>
      </c>
      <c r="L264" s="1434"/>
      <c r="M264" s="1438">
        <f t="shared" si="194"/>
        <v>0</v>
      </c>
      <c r="N264" s="1434">
        <f t="shared" si="194"/>
        <v>0</v>
      </c>
      <c r="O264" s="1439">
        <f t="shared" si="194"/>
        <v>0.26747523074141888</v>
      </c>
      <c r="P264" s="1434">
        <f t="shared" si="194"/>
        <v>0.26747523074141893</v>
      </c>
      <c r="Q264" s="1434">
        <f t="shared" si="194"/>
        <v>0.26747523074141893</v>
      </c>
      <c r="R264" s="1434">
        <f t="shared" si="194"/>
        <v>0.26747523074141893</v>
      </c>
      <c r="S264" s="1438">
        <f t="shared" si="182"/>
        <v>3.6537649185762189E-3</v>
      </c>
      <c r="T264" s="1434">
        <f t="shared" si="183"/>
        <v>-9.0097154367964616E-3</v>
      </c>
      <c r="U264" s="1437">
        <f t="shared" si="184"/>
        <v>-2.5799355878940555E-2</v>
      </c>
      <c r="V264" s="1437">
        <f t="shared" si="185"/>
        <v>0</v>
      </c>
    </row>
    <row r="265" spans="1:23">
      <c r="A265" s="1207" t="s">
        <v>1404</v>
      </c>
      <c r="B265" s="1207"/>
      <c r="C265" s="1434">
        <f t="shared" ref="C265:K265" si="196">C47/C$172*100</f>
        <v>7.1713678754435364E-2</v>
      </c>
      <c r="D265" s="1438">
        <f t="shared" si="196"/>
        <v>0</v>
      </c>
      <c r="E265" s="1434">
        <f t="shared" si="196"/>
        <v>0</v>
      </c>
      <c r="F265" s="1434">
        <f t="shared" si="196"/>
        <v>0</v>
      </c>
      <c r="G265" s="1437">
        <f t="shared" si="196"/>
        <v>0</v>
      </c>
      <c r="H265" s="1438">
        <f t="shared" si="196"/>
        <v>0</v>
      </c>
      <c r="I265" s="1434">
        <f t="shared" si="196"/>
        <v>0</v>
      </c>
      <c r="J265" s="1434">
        <f t="shared" si="196"/>
        <v>0</v>
      </c>
      <c r="K265" s="1437">
        <f t="shared" si="196"/>
        <v>0</v>
      </c>
      <c r="L265" s="1434"/>
      <c r="M265" s="1438">
        <f t="shared" si="194"/>
        <v>0</v>
      </c>
      <c r="N265" s="1434">
        <f t="shared" si="194"/>
        <v>0</v>
      </c>
      <c r="O265" s="1439">
        <f t="shared" si="194"/>
        <v>0</v>
      </c>
      <c r="P265" s="1434">
        <f t="shared" si="194"/>
        <v>0</v>
      </c>
      <c r="Q265" s="1434">
        <f t="shared" si="194"/>
        <v>0</v>
      </c>
      <c r="R265" s="1434">
        <f t="shared" si="194"/>
        <v>0</v>
      </c>
      <c r="S265" s="1438">
        <f t="shared" si="182"/>
        <v>0</v>
      </c>
      <c r="T265" s="1434">
        <f t="shared" si="183"/>
        <v>0</v>
      </c>
      <c r="U265" s="1437">
        <f t="shared" si="184"/>
        <v>0</v>
      </c>
      <c r="V265" s="1437">
        <f t="shared" si="185"/>
        <v>0</v>
      </c>
    </row>
    <row r="266" spans="1:23">
      <c r="A266" s="1207" t="s">
        <v>1403</v>
      </c>
      <c r="B266" s="1207"/>
      <c r="C266" s="1434">
        <f t="shared" ref="C266:K266" si="197">C48/C$172*100</f>
        <v>0.75808025864961304</v>
      </c>
      <c r="D266" s="1438">
        <f t="shared" si="197"/>
        <v>0.70735882615985501</v>
      </c>
      <c r="E266" s="1434">
        <f t="shared" si="197"/>
        <v>0.75113060237987062</v>
      </c>
      <c r="F266" s="1434">
        <f t="shared" si="197"/>
        <v>0.70422383446775094</v>
      </c>
      <c r="G266" s="1437">
        <f t="shared" si="197"/>
        <v>0.66524072339876239</v>
      </c>
      <c r="H266" s="1438">
        <f t="shared" si="197"/>
        <v>0.70183208415549414</v>
      </c>
      <c r="I266" s="1434">
        <f t="shared" si="197"/>
        <v>0.72517983210149861</v>
      </c>
      <c r="J266" s="1434">
        <f t="shared" si="197"/>
        <v>0.69872158680717611</v>
      </c>
      <c r="K266" s="1437">
        <f t="shared" si="197"/>
        <v>0.66004305891356851</v>
      </c>
      <c r="L266" s="1434"/>
      <c r="M266" s="1438">
        <f t="shared" si="194"/>
        <v>0</v>
      </c>
      <c r="N266" s="1434">
        <f t="shared" si="194"/>
        <v>0</v>
      </c>
      <c r="O266" s="1439">
        <f t="shared" si="194"/>
        <v>0.70183208415549414</v>
      </c>
      <c r="P266" s="1434">
        <f t="shared" si="194"/>
        <v>0.67694480808452995</v>
      </c>
      <c r="Q266" s="1434">
        <f t="shared" si="194"/>
        <v>0.6521204816847479</v>
      </c>
      <c r="R266" s="1434">
        <f t="shared" si="194"/>
        <v>0.62266754077013875</v>
      </c>
      <c r="S266" s="1438">
        <f t="shared" si="182"/>
        <v>7.4185794295340668E-2</v>
      </c>
      <c r="T266" s="1434">
        <f t="shared" si="183"/>
        <v>5.2103352783003043E-2</v>
      </c>
      <c r="U266" s="1437">
        <f t="shared" si="184"/>
        <v>4.257318262862364E-2</v>
      </c>
      <c r="V266" s="1437">
        <f t="shared" si="185"/>
        <v>-2.4887276070964193E-2</v>
      </c>
    </row>
    <row r="267" spans="1:23">
      <c r="A267" s="1207" t="s">
        <v>1351</v>
      </c>
      <c r="B267" s="1207"/>
      <c r="C267" s="1434">
        <f t="shared" ref="C267:K267" si="198">C49/C$172*100</f>
        <v>1.7194836158077209</v>
      </c>
      <c r="D267" s="1438">
        <f t="shared" si="198"/>
        <v>1.6309445283082056</v>
      </c>
      <c r="E267" s="1434">
        <f t="shared" si="198"/>
        <v>1.7446854102190847</v>
      </c>
      <c r="F267" s="1434">
        <f t="shared" si="198"/>
        <v>1.6965152957283867</v>
      </c>
      <c r="G267" s="1437">
        <f t="shared" si="198"/>
        <v>1.635990885796998</v>
      </c>
      <c r="H267" s="1438">
        <f t="shared" si="198"/>
        <v>1.7290635005637889</v>
      </c>
      <c r="I267" s="1434">
        <f t="shared" si="198"/>
        <v>1.7310538193143659</v>
      </c>
      <c r="J267" s="1434">
        <f t="shared" si="198"/>
        <v>1.683260067972419</v>
      </c>
      <c r="K267" s="1437">
        <f t="shared" si="198"/>
        <v>1.6232085478761267</v>
      </c>
      <c r="L267" s="1434"/>
      <c r="M267" s="1438">
        <f t="shared" si="194"/>
        <v>0</v>
      </c>
      <c r="N267" s="1434">
        <f t="shared" si="194"/>
        <v>0.11086188193314836</v>
      </c>
      <c r="O267" s="1439">
        <f t="shared" si="194"/>
        <v>1.7290635005637889</v>
      </c>
      <c r="P267" s="1434">
        <f t="shared" si="194"/>
        <v>1.7395982567017159</v>
      </c>
      <c r="Q267" s="1434">
        <f t="shared" si="194"/>
        <v>1.7534546724758879</v>
      </c>
      <c r="R267" s="1434">
        <f t="shared" si="194"/>
        <v>1.7660034882451967</v>
      </c>
      <c r="S267" s="1438">
        <f t="shared" si="182"/>
        <v>5.0871535173688809E-3</v>
      </c>
      <c r="T267" s="1434">
        <f t="shared" si="183"/>
        <v>-5.6939376747501269E-2</v>
      </c>
      <c r="U267" s="1437">
        <f t="shared" si="184"/>
        <v>-0.13001260244819868</v>
      </c>
      <c r="V267" s="1437">
        <f t="shared" si="185"/>
        <v>1.0534756137926982E-2</v>
      </c>
    </row>
    <row r="268" spans="1:23">
      <c r="A268" s="1207" t="s">
        <v>1350</v>
      </c>
      <c r="B268" s="1207" t="s">
        <v>1402</v>
      </c>
      <c r="C268" s="1434">
        <f t="shared" ref="C268:K268" si="199">C50/C$172*100</f>
        <v>0.10462438180556544</v>
      </c>
      <c r="D268" s="1438">
        <f t="shared" si="199"/>
        <v>9.9805328178813088E-2</v>
      </c>
      <c r="E268" s="1434">
        <f t="shared" si="199"/>
        <v>9.4746892800692789E-2</v>
      </c>
      <c r="F268" s="1434">
        <f t="shared" si="199"/>
        <v>9.26805325534069E-2</v>
      </c>
      <c r="G268" s="1437">
        <f t="shared" si="199"/>
        <v>8.7454582506758666E-2</v>
      </c>
      <c r="H268" s="1438">
        <f t="shared" si="199"/>
        <v>9.9025528338752541E-2</v>
      </c>
      <c r="I268" s="1434">
        <f t="shared" si="199"/>
        <v>9.4006615571005786E-2</v>
      </c>
      <c r="J268" s="1434">
        <f t="shared" si="199"/>
        <v>9.1956400227200946E-2</v>
      </c>
      <c r="K268" s="1437">
        <f t="shared" si="199"/>
        <v>8.677128161796091E-2</v>
      </c>
      <c r="L268" s="1434"/>
      <c r="M268" s="1438">
        <f t="shared" si="194"/>
        <v>0</v>
      </c>
      <c r="N268" s="1434">
        <f t="shared" si="194"/>
        <v>0</v>
      </c>
      <c r="O268" s="1439">
        <f t="shared" si="194"/>
        <v>9.9025528338752541E-2</v>
      </c>
      <c r="P268" s="1434">
        <f t="shared" si="194"/>
        <v>9.5514039312420723E-2</v>
      </c>
      <c r="Q268" s="1434">
        <f t="shared" si="194"/>
        <v>9.2011432217519909E-2</v>
      </c>
      <c r="R268" s="1434">
        <f t="shared" si="194"/>
        <v>8.7855747259473663E-2</v>
      </c>
      <c r="S268" s="1438">
        <f t="shared" si="182"/>
        <v>-7.6714651172793413E-4</v>
      </c>
      <c r="T268" s="1434">
        <f t="shared" si="183"/>
        <v>6.6910033588699069E-4</v>
      </c>
      <c r="U268" s="1437">
        <f t="shared" si="184"/>
        <v>-4.0116475271499696E-4</v>
      </c>
      <c r="V268" s="1437">
        <f t="shared" si="185"/>
        <v>-3.5114890263318183E-3</v>
      </c>
    </row>
    <row r="269" spans="1:23">
      <c r="A269" s="1207" t="s">
        <v>1349</v>
      </c>
      <c r="B269" s="1207"/>
      <c r="C269" s="1434">
        <f t="shared" ref="C269:K269" si="200">C51/C$172*100</f>
        <v>0.15793741167380052</v>
      </c>
      <c r="D269" s="1438">
        <f t="shared" si="200"/>
        <v>0</v>
      </c>
      <c r="E269" s="1434">
        <f t="shared" si="200"/>
        <v>0</v>
      </c>
      <c r="F269" s="1434">
        <f t="shared" si="200"/>
        <v>0</v>
      </c>
      <c r="G269" s="1437">
        <f t="shared" si="200"/>
        <v>0</v>
      </c>
      <c r="H269" s="1438">
        <f t="shared" si="200"/>
        <v>0.15230194268052782</v>
      </c>
      <c r="I269" s="1434">
        <f t="shared" si="200"/>
        <v>0.1460576811918996</v>
      </c>
      <c r="J269" s="1434">
        <f t="shared" si="200"/>
        <v>0.13858346909466768</v>
      </c>
      <c r="K269" s="1437">
        <f t="shared" si="200"/>
        <v>0.13020895688380696</v>
      </c>
      <c r="L269" s="1434"/>
      <c r="M269" s="1438">
        <f t="shared" si="194"/>
        <v>0</v>
      </c>
      <c r="N269" s="1434">
        <f t="shared" si="194"/>
        <v>0.15230194268052782</v>
      </c>
      <c r="O269" s="1439">
        <f t="shared" si="194"/>
        <v>0.15230194268052782</v>
      </c>
      <c r="P269" s="1434">
        <f t="shared" si="194"/>
        <v>0.14690124844154137</v>
      </c>
      <c r="Q269" s="1434">
        <f t="shared" si="194"/>
        <v>0.14151421467409583</v>
      </c>
      <c r="R269" s="1434">
        <f t="shared" si="194"/>
        <v>0.13512274266787172</v>
      </c>
      <c r="S269" s="1438">
        <f t="shared" si="182"/>
        <v>-0.14690124844154137</v>
      </c>
      <c r="T269" s="1434">
        <f t="shared" si="183"/>
        <v>-0.14151421467409583</v>
      </c>
      <c r="U269" s="1437">
        <f t="shared" si="184"/>
        <v>-0.13512274266787172</v>
      </c>
      <c r="V269" s="1437">
        <f t="shared" si="185"/>
        <v>-5.4006942389864532E-3</v>
      </c>
    </row>
    <row r="270" spans="1:23">
      <c r="A270" s="1207" t="s">
        <v>1370</v>
      </c>
      <c r="B270" s="1207"/>
      <c r="C270" s="1434">
        <f t="shared" ref="C270:K270" si="201">C52/C$172*100</f>
        <v>3.6000233842024464E-2</v>
      </c>
      <c r="D270" s="1438">
        <f t="shared" si="201"/>
        <v>3.4534771478773048E-2</v>
      </c>
      <c r="E270" s="1434">
        <f t="shared" si="201"/>
        <v>0</v>
      </c>
      <c r="F270" s="1434">
        <f t="shared" si="201"/>
        <v>0</v>
      </c>
      <c r="G270" s="1437">
        <f t="shared" si="201"/>
        <v>0</v>
      </c>
      <c r="H270" s="1438">
        <f t="shared" si="201"/>
        <v>3.4264944108159862E-2</v>
      </c>
      <c r="I270" s="1434">
        <f t="shared" si="201"/>
        <v>3.2860107983689761E-2</v>
      </c>
      <c r="J270" s="1434">
        <f t="shared" si="201"/>
        <v>3.1178557142927381E-2</v>
      </c>
      <c r="K270" s="1437">
        <f t="shared" si="201"/>
        <v>2.9294456469043256E-2</v>
      </c>
      <c r="L270" s="1434"/>
      <c r="M270" s="1438">
        <f t="shared" si="194"/>
        <v>0</v>
      </c>
      <c r="N270" s="1434">
        <f t="shared" si="194"/>
        <v>0</v>
      </c>
      <c r="O270" s="1439">
        <f t="shared" si="194"/>
        <v>3.4264944108159862E-2</v>
      </c>
      <c r="P270" s="1434">
        <f t="shared" si="194"/>
        <v>3.3049894037312726E-2</v>
      </c>
      <c r="Q270" s="1434">
        <f t="shared" si="194"/>
        <v>3.1837917304110563E-2</v>
      </c>
      <c r="R270" s="1434">
        <f t="shared" si="194"/>
        <v>3.0399961706121078E-2</v>
      </c>
      <c r="S270" s="1438">
        <f t="shared" si="182"/>
        <v>-3.3049894037312726E-2</v>
      </c>
      <c r="T270" s="1434">
        <f t="shared" si="183"/>
        <v>-3.1837917304110563E-2</v>
      </c>
      <c r="U270" s="1437">
        <f t="shared" si="184"/>
        <v>-3.0399961706121078E-2</v>
      </c>
      <c r="V270" s="1437">
        <f t="shared" si="185"/>
        <v>-1.215050070847136E-3</v>
      </c>
    </row>
    <row r="271" spans="1:23">
      <c r="A271" s="1207" t="s">
        <v>1348</v>
      </c>
      <c r="B271" s="1207"/>
      <c r="C271" s="1434">
        <f t="shared" ref="C271:K271" si="202">C53/C$172*100</f>
        <v>9.6561505535955744E-3</v>
      </c>
      <c r="D271" s="1438">
        <f t="shared" si="202"/>
        <v>3.1037469424068961E-3</v>
      </c>
      <c r="E271" s="1434">
        <f t="shared" si="202"/>
        <v>3.0250864231896523E-3</v>
      </c>
      <c r="F271" s="1434">
        <f t="shared" si="202"/>
        <v>2.8727553482766604E-3</v>
      </c>
      <c r="G271" s="1437">
        <f t="shared" si="202"/>
        <v>2.7617795216042969E-3</v>
      </c>
      <c r="H271" s="1438">
        <f t="shared" si="202"/>
        <v>3.0794967203652325E-3</v>
      </c>
      <c r="I271" s="1434">
        <f t="shared" si="202"/>
        <v>3.0014507921866033E-3</v>
      </c>
      <c r="J271" s="1434">
        <f t="shared" si="202"/>
        <v>2.8503099117253602E-3</v>
      </c>
      <c r="K271" s="1437">
        <f t="shared" si="202"/>
        <v>2.7402011623270136E-3</v>
      </c>
      <c r="L271" s="1434"/>
      <c r="M271" s="1438">
        <f t="shared" si="194"/>
        <v>0</v>
      </c>
      <c r="N271" s="1434">
        <f t="shared" si="194"/>
        <v>0</v>
      </c>
      <c r="O271" s="1439">
        <f t="shared" si="194"/>
        <v>3.0794967203652325E-3</v>
      </c>
      <c r="P271" s="1434">
        <f t="shared" si="194"/>
        <v>2.9702964048345191E-3</v>
      </c>
      <c r="Q271" s="1434">
        <f t="shared" si="194"/>
        <v>2.8613722996827982E-3</v>
      </c>
      <c r="R271" s="1434">
        <f t="shared" si="194"/>
        <v>2.7321387736025694E-3</v>
      </c>
      <c r="S271" s="1438">
        <f t="shared" si="182"/>
        <v>5.4790018355133259E-5</v>
      </c>
      <c r="T271" s="1434">
        <f t="shared" si="183"/>
        <v>1.1383048593862233E-5</v>
      </c>
      <c r="U271" s="1437">
        <f t="shared" si="184"/>
        <v>2.9640748001727446E-5</v>
      </c>
      <c r="V271" s="1437">
        <f t="shared" si="185"/>
        <v>-1.0920031553071337E-4</v>
      </c>
    </row>
    <row r="272" spans="1:23">
      <c r="A272" s="1207" t="s">
        <v>1285</v>
      </c>
      <c r="B272" s="1207"/>
      <c r="C272" s="1434">
        <f t="shared" ref="C272:K272" si="203">C54/C$172*100</f>
        <v>1.3472329613296459</v>
      </c>
      <c r="D272" s="1438">
        <f t="shared" si="203"/>
        <v>1.1957756185059967</v>
      </c>
      <c r="E272" s="1434">
        <f t="shared" si="203"/>
        <v>1.1679845140451488</v>
      </c>
      <c r="F272" s="1434">
        <f t="shared" si="203"/>
        <v>1.1202464810475219</v>
      </c>
      <c r="G272" s="1437">
        <f t="shared" si="203"/>
        <v>1.0644714911753406</v>
      </c>
      <c r="H272" s="1438">
        <f t="shared" si="203"/>
        <v>1.1864327742603602</v>
      </c>
      <c r="I272" s="1434">
        <f t="shared" si="203"/>
        <v>1.1588588074935526</v>
      </c>
      <c r="J272" s="1434">
        <f t="shared" si="203"/>
        <v>1.1114937617018756</v>
      </c>
      <c r="K272" s="1437">
        <f t="shared" si="203"/>
        <v>1.0561545534555385</v>
      </c>
      <c r="L272" s="1434"/>
      <c r="M272" s="1438">
        <f t="shared" si="194"/>
        <v>0</v>
      </c>
      <c r="N272" s="1434">
        <f t="shared" si="194"/>
        <v>0</v>
      </c>
      <c r="O272" s="1439">
        <f t="shared" si="194"/>
        <v>1.1864327742603602</v>
      </c>
      <c r="P272" s="1434">
        <f t="shared" si="194"/>
        <v>1.1443613434163473</v>
      </c>
      <c r="Q272" s="1434">
        <f t="shared" si="194"/>
        <v>1.1023963277031119</v>
      </c>
      <c r="R272" s="1434">
        <f t="shared" si="194"/>
        <v>1.0526067338838241</v>
      </c>
      <c r="S272" s="1438">
        <f t="shared" si="182"/>
        <v>2.3623170628801482E-2</v>
      </c>
      <c r="T272" s="1434">
        <f t="shared" si="183"/>
        <v>1.785015334440998E-2</v>
      </c>
      <c r="U272" s="1437">
        <f t="shared" si="184"/>
        <v>1.1864757291516481E-2</v>
      </c>
      <c r="V272" s="1437">
        <f t="shared" si="185"/>
        <v>-4.207143084401288E-2</v>
      </c>
    </row>
    <row r="273" spans="1:23">
      <c r="A273" s="1445" t="s">
        <v>1401</v>
      </c>
      <c r="B273" s="1445"/>
      <c r="C273" s="1442">
        <f t="shared" ref="C273:K273" si="204">C55/C$172*100</f>
        <v>5.3777120591315315</v>
      </c>
      <c r="D273" s="1443">
        <f t="shared" si="204"/>
        <v>2.3005307541789692</v>
      </c>
      <c r="E273" s="1442">
        <f t="shared" si="204"/>
        <v>2.27473106102754</v>
      </c>
      <c r="F273" s="1442">
        <f t="shared" si="204"/>
        <v>2.6910998664478947</v>
      </c>
      <c r="G273" s="1441">
        <f t="shared" si="204"/>
        <v>2.1773953737418807</v>
      </c>
      <c r="H273" s="1443">
        <f t="shared" si="204"/>
        <v>2.2950461592817204</v>
      </c>
      <c r="I273" s="1442">
        <f t="shared" si="204"/>
        <v>2.6211302168579622</v>
      </c>
      <c r="J273" s="1442">
        <f t="shared" si="204"/>
        <v>2.4483346173829155</v>
      </c>
      <c r="K273" s="1441">
        <f t="shared" si="204"/>
        <v>2.0652812754541476</v>
      </c>
      <c r="L273" s="1442"/>
      <c r="M273" s="1443">
        <f t="shared" ref="M273:R282" si="205">M55/M$172*100</f>
        <v>-3.1410866547725368E-2</v>
      </c>
      <c r="N273" s="1442">
        <f t="shared" si="205"/>
        <v>1.3158059190880754E-2</v>
      </c>
      <c r="O273" s="1444">
        <f t="shared" si="205"/>
        <v>2.2643034203424452</v>
      </c>
      <c r="P273" s="1442">
        <f t="shared" si="205"/>
        <v>2.6567830197758675</v>
      </c>
      <c r="Q273" s="1442">
        <f t="shared" si="205"/>
        <v>2.5287894285089041</v>
      </c>
      <c r="R273" s="1442">
        <f t="shared" si="205"/>
        <v>2.1728706882028459</v>
      </c>
      <c r="S273" s="1443">
        <f t="shared" si="182"/>
        <v>-0.38205195874832754</v>
      </c>
      <c r="T273" s="1442">
        <f t="shared" si="183"/>
        <v>0.16231043793899058</v>
      </c>
      <c r="U273" s="1441">
        <f t="shared" si="184"/>
        <v>4.524685539034845E-3</v>
      </c>
      <c r="V273" s="1441">
        <f t="shared" si="185"/>
        <v>0.39247959943342225</v>
      </c>
      <c r="W273" s="1440"/>
    </row>
    <row r="274" spans="1:23">
      <c r="A274" s="1207" t="s">
        <v>1363</v>
      </c>
      <c r="B274" s="1207"/>
      <c r="C274" s="1434">
        <f t="shared" ref="C274:K274" si="206">C56/C$172*100</f>
        <v>3.5501863831755749</v>
      </c>
      <c r="D274" s="1438">
        <f t="shared" si="206"/>
        <v>1.2599275848079936</v>
      </c>
      <c r="E274" s="1434">
        <f t="shared" si="206"/>
        <v>1.366651049866507</v>
      </c>
      <c r="F274" s="1434">
        <f t="shared" si="206"/>
        <v>1.8559020953908003</v>
      </c>
      <c r="G274" s="1437">
        <f t="shared" si="206"/>
        <v>1.4192022861096232</v>
      </c>
      <c r="H274" s="1438">
        <f t="shared" si="206"/>
        <v>1.1464704274472468</v>
      </c>
      <c r="I274" s="1434">
        <f t="shared" si="206"/>
        <v>1.5706539297247488</v>
      </c>
      <c r="J274" s="1434">
        <f t="shared" si="206"/>
        <v>1.4656280240098962</v>
      </c>
      <c r="K274" s="1437">
        <f t="shared" si="206"/>
        <v>1.1544014207207711</v>
      </c>
      <c r="L274" s="1434"/>
      <c r="M274" s="1438">
        <f t="shared" si="205"/>
        <v>0</v>
      </c>
      <c r="N274" s="1434">
        <f t="shared" si="205"/>
        <v>-0.10361308042568679</v>
      </c>
      <c r="O274" s="1439">
        <f t="shared" si="205"/>
        <v>1.1464704274472468</v>
      </c>
      <c r="P274" s="1434">
        <f t="shared" si="205"/>
        <v>1.5662213078653251</v>
      </c>
      <c r="Q274" s="1434">
        <f t="shared" si="205"/>
        <v>1.460083230610165</v>
      </c>
      <c r="R274" s="1434">
        <f t="shared" si="205"/>
        <v>1.144680933659499</v>
      </c>
      <c r="S274" s="1438">
        <f t="shared" si="182"/>
        <v>-0.19957025799881811</v>
      </c>
      <c r="T274" s="1434">
        <f t="shared" si="183"/>
        <v>0.39581886478063533</v>
      </c>
      <c r="U274" s="1437">
        <f t="shared" si="184"/>
        <v>0.27452135245012421</v>
      </c>
      <c r="V274" s="1437">
        <f t="shared" si="185"/>
        <v>0.41975088041807829</v>
      </c>
    </row>
    <row r="275" spans="1:23">
      <c r="A275" s="1207" t="s">
        <v>1400</v>
      </c>
      <c r="B275" s="1207" t="s">
        <v>1140</v>
      </c>
      <c r="C275" s="1434">
        <f t="shared" ref="C275:K275" si="207">C57/C$172*100</f>
        <v>0</v>
      </c>
      <c r="D275" s="1438">
        <f t="shared" si="207"/>
        <v>0</v>
      </c>
      <c r="E275" s="1434">
        <f t="shared" si="207"/>
        <v>4.9900355543316358E-2</v>
      </c>
      <c r="F275" s="1434">
        <f t="shared" si="207"/>
        <v>6.3049241642948076E-2</v>
      </c>
      <c r="G275" s="1437">
        <f t="shared" si="207"/>
        <v>5.9239215472628372E-2</v>
      </c>
      <c r="H275" s="1438">
        <f t="shared" si="207"/>
        <v>0</v>
      </c>
      <c r="I275" s="1434">
        <f t="shared" si="207"/>
        <v>4.9510473660438051E-2</v>
      </c>
      <c r="J275" s="1434">
        <f t="shared" si="207"/>
        <v>6.2556624771221314E-2</v>
      </c>
      <c r="K275" s="1437">
        <f t="shared" si="207"/>
        <v>5.87763671298214E-2</v>
      </c>
      <c r="L275" s="1434"/>
      <c r="M275" s="1438">
        <f t="shared" si="205"/>
        <v>0</v>
      </c>
      <c r="N275" s="1434">
        <f t="shared" si="205"/>
        <v>0</v>
      </c>
      <c r="O275" s="1439">
        <f t="shared" si="205"/>
        <v>0</v>
      </c>
      <c r="P275" s="1434">
        <f t="shared" si="205"/>
        <v>0</v>
      </c>
      <c r="Q275" s="1434">
        <f t="shared" si="205"/>
        <v>0</v>
      </c>
      <c r="R275" s="1434">
        <f t="shared" si="205"/>
        <v>0</v>
      </c>
      <c r="S275" s="1438">
        <f t="shared" si="182"/>
        <v>4.9900355543316358E-2</v>
      </c>
      <c r="T275" s="1434">
        <f t="shared" si="183"/>
        <v>6.3049241642948076E-2</v>
      </c>
      <c r="U275" s="1437">
        <f t="shared" si="184"/>
        <v>5.9239215472628372E-2</v>
      </c>
      <c r="V275" s="1437">
        <f t="shared" si="185"/>
        <v>0</v>
      </c>
    </row>
    <row r="276" spans="1:23">
      <c r="A276" s="1207" t="s">
        <v>1399</v>
      </c>
      <c r="B276" s="1207" t="s">
        <v>1398</v>
      </c>
      <c r="C276" s="1434">
        <f t="shared" ref="C276:K276" si="208">C58/C$172*100</f>
        <v>7.8821283691043853E-2</v>
      </c>
      <c r="D276" s="1438">
        <f t="shared" si="208"/>
        <v>7.6296307338246314E-2</v>
      </c>
      <c r="E276" s="1434">
        <f t="shared" si="208"/>
        <v>7.5854207673702712E-2</v>
      </c>
      <c r="F276" s="1434">
        <f t="shared" si="208"/>
        <v>0.10743178671691325</v>
      </c>
      <c r="G276" s="1437">
        <f t="shared" si="208"/>
        <v>0.11532605385872147</v>
      </c>
      <c r="H276" s="1438">
        <f t="shared" si="208"/>
        <v>7.570018838001813E-2</v>
      </c>
      <c r="I276" s="1434">
        <f t="shared" si="208"/>
        <v>7.5261542932338429E-2</v>
      </c>
      <c r="J276" s="1434">
        <f t="shared" si="208"/>
        <v>0.10659239976605651</v>
      </c>
      <c r="K276" s="1437">
        <f t="shared" si="208"/>
        <v>0.11442498735260544</v>
      </c>
      <c r="L276" s="1434"/>
      <c r="M276" s="1438">
        <f t="shared" si="205"/>
        <v>0</v>
      </c>
      <c r="N276" s="1434">
        <f t="shared" si="205"/>
        <v>0</v>
      </c>
      <c r="O276" s="1439">
        <f t="shared" si="205"/>
        <v>7.570018838001813E-2</v>
      </c>
      <c r="P276" s="1434">
        <f t="shared" si="205"/>
        <v>8.8124522867514529E-2</v>
      </c>
      <c r="Q276" s="1434">
        <f t="shared" si="205"/>
        <v>0.10616680515637225</v>
      </c>
      <c r="R276" s="1434">
        <f t="shared" si="205"/>
        <v>0.11346148662479728</v>
      </c>
      <c r="S276" s="1438">
        <f t="shared" si="182"/>
        <v>-1.2270315193811818E-2</v>
      </c>
      <c r="T276" s="1434">
        <f t="shared" si="183"/>
        <v>1.2649815605410009E-3</v>
      </c>
      <c r="U276" s="1437">
        <f t="shared" si="184"/>
        <v>1.8645672339241831E-3</v>
      </c>
      <c r="V276" s="1437">
        <f t="shared" si="185"/>
        <v>1.24243344874964E-2</v>
      </c>
    </row>
    <row r="277" spans="1:23">
      <c r="A277" s="1207" t="s">
        <v>1354</v>
      </c>
      <c r="B277" s="1207"/>
      <c r="C277" s="1434">
        <f t="shared" ref="C277:K277" si="209">C59/C$172*100</f>
        <v>1.2660512215704016E-2</v>
      </c>
      <c r="D277" s="1438">
        <f t="shared" si="209"/>
        <v>3.7244963308882754E-3</v>
      </c>
      <c r="E277" s="1434">
        <f t="shared" si="209"/>
        <v>0</v>
      </c>
      <c r="F277" s="1434">
        <f t="shared" si="209"/>
        <v>0</v>
      </c>
      <c r="G277" s="1437">
        <f t="shared" si="209"/>
        <v>0</v>
      </c>
      <c r="H277" s="1438">
        <f t="shared" si="209"/>
        <v>3.6953960644382786E-3</v>
      </c>
      <c r="I277" s="1434">
        <f t="shared" si="209"/>
        <v>0</v>
      </c>
      <c r="J277" s="1434">
        <f t="shared" si="209"/>
        <v>0</v>
      </c>
      <c r="K277" s="1437">
        <f t="shared" si="209"/>
        <v>0</v>
      </c>
      <c r="L277" s="1434"/>
      <c r="M277" s="1438">
        <f t="shared" si="205"/>
        <v>0</v>
      </c>
      <c r="N277" s="1434">
        <f t="shared" si="205"/>
        <v>0</v>
      </c>
      <c r="O277" s="1439">
        <f t="shared" si="205"/>
        <v>3.6953960644382786E-3</v>
      </c>
      <c r="P277" s="1434">
        <f t="shared" si="205"/>
        <v>0</v>
      </c>
      <c r="Q277" s="1434">
        <f t="shared" si="205"/>
        <v>0</v>
      </c>
      <c r="R277" s="1434">
        <f t="shared" si="205"/>
        <v>0</v>
      </c>
      <c r="S277" s="1438">
        <f t="shared" si="182"/>
        <v>0</v>
      </c>
      <c r="T277" s="1434">
        <f t="shared" si="183"/>
        <v>0</v>
      </c>
      <c r="U277" s="1437">
        <f t="shared" si="184"/>
        <v>0</v>
      </c>
      <c r="V277" s="1437">
        <f t="shared" si="185"/>
        <v>-3.6953960644382786E-3</v>
      </c>
    </row>
    <row r="278" spans="1:23">
      <c r="A278" s="1207" t="s">
        <v>1351</v>
      </c>
      <c r="B278" s="1207"/>
      <c r="C278" s="1434">
        <f t="shared" ref="C278:K278" si="210">C60/C$172*100</f>
        <v>3.2482436430554006E-2</v>
      </c>
      <c r="D278" s="1438">
        <f t="shared" si="210"/>
        <v>6.3867663082072146E-2</v>
      </c>
      <c r="E278" s="1434">
        <f t="shared" si="210"/>
        <v>4.9486555963930659E-2</v>
      </c>
      <c r="F278" s="1434">
        <f t="shared" si="210"/>
        <v>4.0254353840635582E-2</v>
      </c>
      <c r="G278" s="1437">
        <f t="shared" si="210"/>
        <v>3.2875186431098914E-2</v>
      </c>
      <c r="H278" s="1438">
        <f t="shared" si="210"/>
        <v>6.3368651712987611E-2</v>
      </c>
      <c r="I278" s="1434">
        <f t="shared" si="210"/>
        <v>4.9099907183449892E-2</v>
      </c>
      <c r="J278" s="1434">
        <f t="shared" si="210"/>
        <v>3.993983818040521E-2</v>
      </c>
      <c r="K278" s="1437">
        <f t="shared" si="210"/>
        <v>3.2618325744513108E-2</v>
      </c>
      <c r="L278" s="1434"/>
      <c r="M278" s="1438">
        <f t="shared" si="205"/>
        <v>0</v>
      </c>
      <c r="N278" s="1434">
        <f t="shared" si="205"/>
        <v>0</v>
      </c>
      <c r="O278" s="1439">
        <f t="shared" si="205"/>
        <v>6.3368651712987611E-2</v>
      </c>
      <c r="P278" s="1434">
        <f t="shared" si="205"/>
        <v>6.375474123044482E-2</v>
      </c>
      <c r="Q278" s="1434">
        <f t="shared" si="205"/>
        <v>6.4262566642812574E-2</v>
      </c>
      <c r="R278" s="1434">
        <f t="shared" si="205"/>
        <v>6.4722469668720251E-2</v>
      </c>
      <c r="S278" s="1438">
        <f t="shared" si="182"/>
        <v>-1.4268185266514161E-2</v>
      </c>
      <c r="T278" s="1434">
        <f t="shared" si="183"/>
        <v>-2.4008212802176992E-2</v>
      </c>
      <c r="U278" s="1437">
        <f t="shared" si="184"/>
        <v>-3.1847283237621336E-2</v>
      </c>
      <c r="V278" s="1437">
        <f t="shared" si="185"/>
        <v>3.8608951745720821E-4</v>
      </c>
    </row>
    <row r="279" spans="1:23">
      <c r="A279" s="1207" t="s">
        <v>1350</v>
      </c>
      <c r="B279" s="1207"/>
      <c r="C279" s="1434">
        <f t="shared" ref="C279:K279" si="211">C61/C$172*100</f>
        <v>5.3936171294366436E-3</v>
      </c>
      <c r="D279" s="1438">
        <f t="shared" si="211"/>
        <v>7.2429038648007312E-3</v>
      </c>
      <c r="E279" s="1434">
        <f t="shared" si="211"/>
        <v>3.3388967007195208E-2</v>
      </c>
      <c r="F279" s="1434">
        <f t="shared" si="211"/>
        <v>9.4903726625529782E-3</v>
      </c>
      <c r="G279" s="1437">
        <f t="shared" si="211"/>
        <v>7.9499341340569501E-3</v>
      </c>
      <c r="H279" s="1438">
        <f t="shared" si="211"/>
        <v>7.1863135466443051E-3</v>
      </c>
      <c r="I279" s="1434">
        <f t="shared" si="211"/>
        <v>3.3128092045836936E-2</v>
      </c>
      <c r="J279" s="1434">
        <f t="shared" si="211"/>
        <v>9.4162224020466964E-3</v>
      </c>
      <c r="K279" s="1437">
        <f t="shared" si="211"/>
        <v>7.8878196409797596E-3</v>
      </c>
      <c r="L279" s="1434"/>
      <c r="M279" s="1438">
        <f t="shared" si="205"/>
        <v>0</v>
      </c>
      <c r="N279" s="1434">
        <f t="shared" si="205"/>
        <v>0</v>
      </c>
      <c r="O279" s="1439">
        <f t="shared" si="205"/>
        <v>7.1863135466443051E-3</v>
      </c>
      <c r="P279" s="1434">
        <f t="shared" si="205"/>
        <v>6.9314836903218323E-3</v>
      </c>
      <c r="Q279" s="1434">
        <f t="shared" si="205"/>
        <v>6.6772983985397775E-3</v>
      </c>
      <c r="R279" s="1434">
        <f t="shared" si="205"/>
        <v>6.3757190420789559E-3</v>
      </c>
      <c r="S279" s="1438">
        <f t="shared" si="182"/>
        <v>2.6457483316873375E-2</v>
      </c>
      <c r="T279" s="1434">
        <f t="shared" si="183"/>
        <v>2.8130742640132007E-3</v>
      </c>
      <c r="U279" s="1437">
        <f t="shared" si="184"/>
        <v>1.5742150919779941E-3</v>
      </c>
      <c r="V279" s="1437">
        <f t="shared" si="185"/>
        <v>-2.5482985632247282E-4</v>
      </c>
    </row>
    <row r="280" spans="1:23">
      <c r="A280" s="1207" t="s">
        <v>1349</v>
      </c>
      <c r="B280" s="1207"/>
      <c r="C280" s="1434">
        <f t="shared" ref="C280:K280" si="212">C62/C$172*100</f>
        <v>0.12236927722480352</v>
      </c>
      <c r="D280" s="1438">
        <f t="shared" si="212"/>
        <v>0</v>
      </c>
      <c r="E280" s="1434">
        <f t="shared" si="212"/>
        <v>0</v>
      </c>
      <c r="F280" s="1434">
        <f t="shared" si="212"/>
        <v>0</v>
      </c>
      <c r="G280" s="1437">
        <f t="shared" si="212"/>
        <v>0</v>
      </c>
      <c r="H280" s="1438">
        <f t="shared" si="212"/>
        <v>8.9671568477353497E-2</v>
      </c>
      <c r="I280" s="1434">
        <f t="shared" si="212"/>
        <v>8.5995103740179699E-2</v>
      </c>
      <c r="J280" s="1434">
        <f t="shared" si="212"/>
        <v>8.159447489661284E-2</v>
      </c>
      <c r="K280" s="1437">
        <f t="shared" si="212"/>
        <v>7.6663771899896288E-2</v>
      </c>
      <c r="L280" s="1434"/>
      <c r="M280" s="1438">
        <f t="shared" si="205"/>
        <v>0</v>
      </c>
      <c r="N280" s="1434">
        <f t="shared" si="205"/>
        <v>8.9671568477353497E-2</v>
      </c>
      <c r="O280" s="1439">
        <f t="shared" si="205"/>
        <v>8.9671568477353497E-2</v>
      </c>
      <c r="P280" s="1434">
        <f t="shared" si="205"/>
        <v>9.1794960390751329E-2</v>
      </c>
      <c r="Q280" s="1434">
        <f t="shared" si="205"/>
        <v>9.4011761189226814E-2</v>
      </c>
      <c r="R280" s="1434">
        <f t="shared" si="205"/>
        <v>9.6031206612238088E-2</v>
      </c>
      <c r="S280" s="1438">
        <f t="shared" si="182"/>
        <v>-9.1794960390751329E-2</v>
      </c>
      <c r="T280" s="1434">
        <f t="shared" si="183"/>
        <v>-9.4011761189226814E-2</v>
      </c>
      <c r="U280" s="1437">
        <f t="shared" si="184"/>
        <v>-9.6031206612238088E-2</v>
      </c>
      <c r="V280" s="1437">
        <f t="shared" si="185"/>
        <v>2.1233919133978318E-3</v>
      </c>
    </row>
    <row r="281" spans="1:23">
      <c r="A281" s="1207" t="s">
        <v>1370</v>
      </c>
      <c r="B281" s="1207"/>
      <c r="C281" s="1434">
        <f t="shared" ref="C281:K281" si="213">C63/C$172*100</f>
        <v>8.9304777494230193E-3</v>
      </c>
      <c r="D281" s="1438">
        <f t="shared" si="213"/>
        <v>8.7140799155016012E-3</v>
      </c>
      <c r="E281" s="1434">
        <f t="shared" si="213"/>
        <v>0</v>
      </c>
      <c r="F281" s="1434">
        <f t="shared" si="213"/>
        <v>0</v>
      </c>
      <c r="G281" s="1437">
        <f t="shared" si="213"/>
        <v>0</v>
      </c>
      <c r="H281" s="1438">
        <f t="shared" si="213"/>
        <v>7.9778673836469853E-3</v>
      </c>
      <c r="I281" s="1434">
        <f t="shared" si="213"/>
        <v>7.6507810104312155E-3</v>
      </c>
      <c r="J281" s="1434">
        <f t="shared" si="213"/>
        <v>7.2592674692412368E-3</v>
      </c>
      <c r="K281" s="1437">
        <f t="shared" si="213"/>
        <v>6.8205944842148888E-3</v>
      </c>
      <c r="L281" s="1434"/>
      <c r="M281" s="1438">
        <f t="shared" si="205"/>
        <v>0</v>
      </c>
      <c r="N281" s="1434">
        <f t="shared" si="205"/>
        <v>0</v>
      </c>
      <c r="O281" s="1439">
        <f t="shared" si="205"/>
        <v>7.9778673836469853E-3</v>
      </c>
      <c r="P281" s="1434">
        <f t="shared" si="205"/>
        <v>7.6949686782204988E-3</v>
      </c>
      <c r="Q281" s="1434">
        <f t="shared" si="205"/>
        <v>7.4127855344502435E-3</v>
      </c>
      <c r="R281" s="1434">
        <f t="shared" si="205"/>
        <v>7.0779879924457619E-3</v>
      </c>
      <c r="S281" s="1438">
        <f t="shared" si="182"/>
        <v>-7.6949686782204988E-3</v>
      </c>
      <c r="T281" s="1434">
        <f t="shared" si="183"/>
        <v>-7.4127855344502435E-3</v>
      </c>
      <c r="U281" s="1437">
        <f t="shared" si="184"/>
        <v>-7.0779879924457619E-3</v>
      </c>
      <c r="V281" s="1437">
        <f t="shared" si="185"/>
        <v>-2.828987054264865E-4</v>
      </c>
    </row>
    <row r="282" spans="1:23">
      <c r="A282" s="1207" t="s">
        <v>1348</v>
      </c>
      <c r="B282" s="1207"/>
      <c r="C282" s="1434">
        <f t="shared" ref="C282:K282" si="214">C64/C$172*100</f>
        <v>0.51846335288794898</v>
      </c>
      <c r="D282" s="1438">
        <f t="shared" si="214"/>
        <v>8.5696936077408317E-2</v>
      </c>
      <c r="E282" s="1434">
        <f t="shared" si="214"/>
        <v>8.6373143568558616E-2</v>
      </c>
      <c r="F282" s="1434">
        <f t="shared" si="214"/>
        <v>8.5502598033961416E-2</v>
      </c>
      <c r="G282" s="1437">
        <f t="shared" si="214"/>
        <v>8.6099166500191143E-2</v>
      </c>
      <c r="H282" s="1438">
        <f t="shared" si="214"/>
        <v>8.5027368046660362E-2</v>
      </c>
      <c r="I282" s="1434">
        <f t="shared" si="214"/>
        <v>8.5698292187682268E-2</v>
      </c>
      <c r="J282" s="1434">
        <f t="shared" si="214"/>
        <v>8.4834548406869464E-2</v>
      </c>
      <c r="K282" s="1437">
        <f t="shared" si="214"/>
        <v>8.5426455759278513E-2</v>
      </c>
      <c r="L282" s="1434"/>
      <c r="M282" s="1438">
        <f t="shared" si="205"/>
        <v>0</v>
      </c>
      <c r="N282" s="1434">
        <f t="shared" si="205"/>
        <v>0</v>
      </c>
      <c r="O282" s="1439">
        <f t="shared" si="205"/>
        <v>8.5027368046660362E-2</v>
      </c>
      <c r="P282" s="1434">
        <f t="shared" si="205"/>
        <v>8.2012259974604942E-2</v>
      </c>
      <c r="Q282" s="1434">
        <f t="shared" si="205"/>
        <v>7.9004778292081801E-2</v>
      </c>
      <c r="R282" s="1434">
        <f t="shared" si="205"/>
        <v>7.5436537250185842E-2</v>
      </c>
      <c r="S282" s="1438">
        <f t="shared" si="182"/>
        <v>4.3608835939536739E-3</v>
      </c>
      <c r="T282" s="1434">
        <f t="shared" si="183"/>
        <v>6.4978197418796152E-3</v>
      </c>
      <c r="U282" s="1437">
        <f t="shared" si="184"/>
        <v>1.0662629250005301E-2</v>
      </c>
      <c r="V282" s="1437">
        <f t="shared" si="185"/>
        <v>-3.0151080720554196E-3</v>
      </c>
    </row>
    <row r="283" spans="1:23">
      <c r="A283" s="1436" t="s">
        <v>1285</v>
      </c>
      <c r="B283" s="1436"/>
      <c r="C283" s="1451">
        <f t="shared" ref="C283:K283" si="215">C65/C$172*100</f>
        <v>1.0484047186270418</v>
      </c>
      <c r="D283" s="1452">
        <f t="shared" si="215"/>
        <v>0.79506078276205838</v>
      </c>
      <c r="E283" s="1451">
        <f t="shared" si="215"/>
        <v>0.61307678140432897</v>
      </c>
      <c r="F283" s="1451">
        <f t="shared" si="215"/>
        <v>0.52946941816008297</v>
      </c>
      <c r="G283" s="1450">
        <f t="shared" si="215"/>
        <v>0.45670353123556079</v>
      </c>
      <c r="H283" s="1452">
        <f t="shared" si="215"/>
        <v>0.81594837822272448</v>
      </c>
      <c r="I283" s="1451">
        <f t="shared" si="215"/>
        <v>0.66413209437285681</v>
      </c>
      <c r="J283" s="1451">
        <f t="shared" si="215"/>
        <v>0.59051321748056607</v>
      </c>
      <c r="K283" s="1450">
        <f t="shared" si="215"/>
        <v>0.52826153272206755</v>
      </c>
      <c r="L283" s="1434"/>
      <c r="M283" s="1452">
        <f t="shared" ref="M283:R292" si="216">M65/M$172*100</f>
        <v>-3.1410866547725368E-2</v>
      </c>
      <c r="N283" s="1451">
        <f t="shared" si="216"/>
        <v>2.7099571139214046E-2</v>
      </c>
      <c r="O283" s="1453">
        <f t="shared" si="216"/>
        <v>0.78453751167499919</v>
      </c>
      <c r="P283" s="1451">
        <f t="shared" si="216"/>
        <v>0.75024877507868459</v>
      </c>
      <c r="Q283" s="1451">
        <f t="shared" si="216"/>
        <v>0.71117020268525577</v>
      </c>
      <c r="R283" s="1451">
        <f t="shared" si="216"/>
        <v>0.66508434735288069</v>
      </c>
      <c r="S283" s="1452">
        <f t="shared" si="182"/>
        <v>-0.13717199367435562</v>
      </c>
      <c r="T283" s="1451">
        <f t="shared" si="183"/>
        <v>-0.1817007845251728</v>
      </c>
      <c r="U283" s="1450">
        <f t="shared" si="184"/>
        <v>-0.2083808161173199</v>
      </c>
      <c r="V283" s="1450">
        <f t="shared" si="185"/>
        <v>-3.4288736596314595E-2</v>
      </c>
    </row>
    <row r="284" spans="1:23">
      <c r="A284" s="1449" t="s">
        <v>51</v>
      </c>
      <c r="B284" s="1449"/>
      <c r="C284" s="1414">
        <f t="shared" ref="C284:K284" si="217">C66/C$172*100</f>
        <v>45.561600851998321</v>
      </c>
      <c r="D284" s="1447">
        <f t="shared" si="217"/>
        <v>41.78810393330027</v>
      </c>
      <c r="E284" s="1414">
        <f t="shared" si="217"/>
        <v>41.073259818985676</v>
      </c>
      <c r="F284" s="1414">
        <f t="shared" si="217"/>
        <v>40.252577996590169</v>
      </c>
      <c r="G284" s="1446">
        <f t="shared" si="217"/>
        <v>38.559409503671738</v>
      </c>
      <c r="H284" s="1447">
        <f t="shared" si="217"/>
        <v>42.202451831176411</v>
      </c>
      <c r="I284" s="1414">
        <f t="shared" si="217"/>
        <v>41.487442005825685</v>
      </c>
      <c r="J284" s="1414">
        <f t="shared" si="217"/>
        <v>40.194397932333175</v>
      </c>
      <c r="K284" s="1446">
        <f t="shared" si="217"/>
        <v>38.419251740232106</v>
      </c>
      <c r="L284" s="1414"/>
      <c r="M284" s="1447">
        <f t="shared" si="216"/>
        <v>-0.30186458651708153</v>
      </c>
      <c r="N284" s="1414">
        <f t="shared" si="216"/>
        <v>0.74286734042024061</v>
      </c>
      <c r="O284" s="1448">
        <f t="shared" si="216"/>
        <v>41.90260751768777</v>
      </c>
      <c r="P284" s="1414">
        <f t="shared" si="216"/>
        <v>41.499516474801219</v>
      </c>
      <c r="Q284" s="1414">
        <f t="shared" si="216"/>
        <v>40.343415171638846</v>
      </c>
      <c r="R284" s="1414">
        <f t="shared" si="216"/>
        <v>38.955739202300542</v>
      </c>
      <c r="S284" s="1447">
        <f t="shared" si="182"/>
        <v>-0.42625665581554273</v>
      </c>
      <c r="T284" s="1414">
        <f t="shared" si="183"/>
        <v>-9.08371750486765E-2</v>
      </c>
      <c r="U284" s="1446">
        <f t="shared" si="184"/>
        <v>-0.39632969862880429</v>
      </c>
      <c r="V284" s="1446">
        <f t="shared" si="185"/>
        <v>-0.40309104288655107</v>
      </c>
      <c r="W284" s="1440"/>
    </row>
    <row r="285" spans="1:23">
      <c r="A285" s="1445" t="s">
        <v>53</v>
      </c>
      <c r="B285" s="1445"/>
      <c r="C285" s="1442">
        <f t="shared" ref="C285:K285" si="218">C67/C$172*100</f>
        <v>8.9590687495551915</v>
      </c>
      <c r="D285" s="1443">
        <f t="shared" si="218"/>
        <v>8.9667249166135221</v>
      </c>
      <c r="E285" s="1442">
        <f t="shared" si="218"/>
        <v>8.7422060662318426</v>
      </c>
      <c r="F285" s="1442">
        <f t="shared" si="218"/>
        <v>8.6975690041099725</v>
      </c>
      <c r="G285" s="1441">
        <f t="shared" si="218"/>
        <v>8.5820016610036678</v>
      </c>
      <c r="H285" s="1443">
        <f t="shared" si="218"/>
        <v>8.8703569746830375</v>
      </c>
      <c r="I285" s="1442">
        <f t="shared" si="218"/>
        <v>8.8461283112443354</v>
      </c>
      <c r="J285" s="1442">
        <f t="shared" si="218"/>
        <v>8.7883354471719386</v>
      </c>
      <c r="K285" s="1441">
        <f t="shared" si="218"/>
        <v>8.6836023753312084</v>
      </c>
      <c r="L285" s="1442"/>
      <c r="M285" s="1443">
        <f t="shared" si="216"/>
        <v>-1.5648770534207965E-2</v>
      </c>
      <c r="N285" s="1442">
        <f t="shared" si="216"/>
        <v>-2.6309050452118128E-2</v>
      </c>
      <c r="O285" s="1444">
        <f t="shared" si="216"/>
        <v>8.8547082041488316</v>
      </c>
      <c r="P285" s="1442">
        <f t="shared" si="216"/>
        <v>8.6833092220181936</v>
      </c>
      <c r="Q285" s="1442">
        <f t="shared" si="216"/>
        <v>8.6059867495354663</v>
      </c>
      <c r="R285" s="1442">
        <f t="shared" si="216"/>
        <v>8.4797752566454641</v>
      </c>
      <c r="S285" s="1443">
        <f t="shared" si="182"/>
        <v>5.8896844213649047E-2</v>
      </c>
      <c r="T285" s="1442">
        <f t="shared" si="183"/>
        <v>9.1582254574506194E-2</v>
      </c>
      <c r="U285" s="1441">
        <f t="shared" si="184"/>
        <v>0.10222640435820374</v>
      </c>
      <c r="V285" s="1441">
        <f t="shared" si="185"/>
        <v>-0.17139898213063809</v>
      </c>
      <c r="W285" s="1440"/>
    </row>
    <row r="286" spans="1:23">
      <c r="A286" s="1207" t="s">
        <v>1363</v>
      </c>
      <c r="B286" s="1207" t="s">
        <v>1093</v>
      </c>
      <c r="C286" s="1434">
        <f t="shared" ref="C286:K286" si="219">C68/C$172*100</f>
        <v>0.20865522572109726</v>
      </c>
      <c r="D286" s="1438">
        <f t="shared" si="219"/>
        <v>0.20839674320219165</v>
      </c>
      <c r="E286" s="1434">
        <f t="shared" si="219"/>
        <v>4.7688262019072593E-2</v>
      </c>
      <c r="F286" s="1434">
        <f t="shared" si="219"/>
        <v>0.21848489223411705</v>
      </c>
      <c r="G286" s="1437">
        <f t="shared" si="219"/>
        <v>0.32832147461913086</v>
      </c>
      <c r="H286" s="1438">
        <f t="shared" si="219"/>
        <v>0.12317986881460929</v>
      </c>
      <c r="I286" s="1434">
        <f t="shared" si="219"/>
        <v>5.8134195023789748E-2</v>
      </c>
      <c r="J286" s="1434">
        <f t="shared" si="219"/>
        <v>5.7583550222963326E-2</v>
      </c>
      <c r="K286" s="1437">
        <f t="shared" si="219"/>
        <v>5.6874298024973069E-2</v>
      </c>
      <c r="L286" s="1434"/>
      <c r="M286" s="1438">
        <f t="shared" si="216"/>
        <v>0</v>
      </c>
      <c r="N286" s="1434">
        <f t="shared" si="216"/>
        <v>-8.3588627178905722E-2</v>
      </c>
      <c r="O286" s="1439">
        <f t="shared" si="216"/>
        <v>0.12317986881460929</v>
      </c>
      <c r="P286" s="1434">
        <f t="shared" si="216"/>
        <v>5.7970131573041164E-2</v>
      </c>
      <c r="Q286" s="1434">
        <f t="shared" si="216"/>
        <v>5.7365698978323616E-2</v>
      </c>
      <c r="R286" s="1434">
        <f t="shared" si="216"/>
        <v>5.6395395393576866E-2</v>
      </c>
      <c r="S286" s="1438">
        <f t="shared" si="182"/>
        <v>-1.0281869553968571E-2</v>
      </c>
      <c r="T286" s="1434">
        <f t="shared" si="183"/>
        <v>0.16111919325579344</v>
      </c>
      <c r="U286" s="1437">
        <f t="shared" si="184"/>
        <v>0.27192607922555401</v>
      </c>
      <c r="V286" s="1437">
        <f t="shared" si="185"/>
        <v>-6.520973724156813E-2</v>
      </c>
    </row>
    <row r="287" spans="1:23">
      <c r="A287" s="1207" t="s">
        <v>1159</v>
      </c>
      <c r="B287" s="1207"/>
      <c r="C287" s="1434">
        <f t="shared" ref="C287:K287" si="220">C69/C$172*100</f>
        <v>4.2214861232550832E-2</v>
      </c>
      <c r="D287" s="1438">
        <f t="shared" si="220"/>
        <v>2.5034822837454021E-2</v>
      </c>
      <c r="E287" s="1434">
        <f t="shared" si="220"/>
        <v>1.6274330879828863E-2</v>
      </c>
      <c r="F287" s="1434">
        <f t="shared" si="220"/>
        <v>2.7285989926037101E-2</v>
      </c>
      <c r="G287" s="1437">
        <f t="shared" si="220"/>
        <v>3.0355794372453518E-2</v>
      </c>
      <c r="H287" s="1438">
        <f t="shared" si="220"/>
        <v>2.1383334785884629E-2</v>
      </c>
      <c r="I287" s="1434">
        <f t="shared" si="220"/>
        <v>9.822533067835237E-3</v>
      </c>
      <c r="J287" s="1434">
        <f t="shared" si="220"/>
        <v>9.3680252291943374E-3</v>
      </c>
      <c r="K287" s="1437">
        <f t="shared" si="220"/>
        <v>9.2293369096159011E-3</v>
      </c>
      <c r="L287" s="1434"/>
      <c r="M287" s="1438">
        <f t="shared" si="216"/>
        <v>0</v>
      </c>
      <c r="N287" s="1434">
        <f t="shared" si="216"/>
        <v>-3.4558857605813346E-3</v>
      </c>
      <c r="O287" s="1439">
        <f t="shared" si="216"/>
        <v>2.1383334785884629E-2</v>
      </c>
      <c r="P287" s="1434">
        <f t="shared" si="216"/>
        <v>9.7948124006867268E-3</v>
      </c>
      <c r="Q287" s="1434">
        <f t="shared" si="216"/>
        <v>9.332583927848831E-3</v>
      </c>
      <c r="R287" s="1434">
        <f t="shared" si="216"/>
        <v>9.1516224782199063E-3</v>
      </c>
      <c r="S287" s="1438">
        <f t="shared" ref="S287:S318" si="221">E287-P287</f>
        <v>6.4795184791421358E-3</v>
      </c>
      <c r="T287" s="1434">
        <f t="shared" ref="T287:T318" si="222">F287-Q287</f>
        <v>1.795340599818827E-2</v>
      </c>
      <c r="U287" s="1437">
        <f t="shared" ref="U287:U318" si="223">G287-R287</f>
        <v>2.1204171894233612E-2</v>
      </c>
      <c r="V287" s="1437">
        <f t="shared" ref="V287:V318" si="224">P287-O287</f>
        <v>-1.1588522385197902E-2</v>
      </c>
    </row>
    <row r="288" spans="1:23">
      <c r="A288" s="1207" t="s">
        <v>1383</v>
      </c>
      <c r="B288" s="1207"/>
      <c r="C288" s="1434">
        <f t="shared" ref="C288:K288" si="225">C70/C$172*100</f>
        <v>0.21713757027969535</v>
      </c>
      <c r="D288" s="1438">
        <f t="shared" si="225"/>
        <v>0.20706089051817975</v>
      </c>
      <c r="E288" s="1434">
        <f t="shared" si="225"/>
        <v>0.20996796148696212</v>
      </c>
      <c r="F288" s="1434">
        <f t="shared" si="225"/>
        <v>0.19797949894096648</v>
      </c>
      <c r="G288" s="1437">
        <f t="shared" si="225"/>
        <v>0.18636280176126213</v>
      </c>
      <c r="H288" s="1438">
        <f t="shared" si="225"/>
        <v>0.20544308060506983</v>
      </c>
      <c r="I288" s="1434">
        <f t="shared" si="225"/>
        <v>0.20832743802220252</v>
      </c>
      <c r="J288" s="1434">
        <f t="shared" si="225"/>
        <v>0.19643264383386402</v>
      </c>
      <c r="K288" s="1437">
        <f t="shared" si="225"/>
        <v>0.18490671033149092</v>
      </c>
      <c r="L288" s="1434"/>
      <c r="M288" s="1438">
        <f t="shared" si="216"/>
        <v>0</v>
      </c>
      <c r="N288" s="1434">
        <f t="shared" si="216"/>
        <v>0</v>
      </c>
      <c r="O288" s="1439">
        <f t="shared" si="216"/>
        <v>0.20544308060506983</v>
      </c>
      <c r="P288" s="1434">
        <f t="shared" si="216"/>
        <v>0.19815797811500624</v>
      </c>
      <c r="Q288" s="1434">
        <f t="shared" si="216"/>
        <v>0.19089130250319844</v>
      </c>
      <c r="R288" s="1434">
        <f t="shared" si="216"/>
        <v>0.18226972043110296</v>
      </c>
      <c r="S288" s="1438">
        <f t="shared" si="221"/>
        <v>1.1809983371955879E-2</v>
      </c>
      <c r="T288" s="1434">
        <f t="shared" si="222"/>
        <v>7.0881964377680351E-3</v>
      </c>
      <c r="U288" s="1437">
        <f t="shared" si="223"/>
        <v>4.0930813301591762E-3</v>
      </c>
      <c r="V288" s="1437">
        <f t="shared" si="224"/>
        <v>-7.2851024900635886E-3</v>
      </c>
    </row>
    <row r="289" spans="1:23">
      <c r="A289" s="1207" t="s">
        <v>1359</v>
      </c>
      <c r="B289" s="1207"/>
      <c r="C289" s="1434">
        <f t="shared" ref="C289:K289" si="226">C71/C$172*100</f>
        <v>0</v>
      </c>
      <c r="D289" s="1438">
        <f t="shared" si="226"/>
        <v>0</v>
      </c>
      <c r="E289" s="1434">
        <f t="shared" si="226"/>
        <v>1.5112978457831657E-2</v>
      </c>
      <c r="F289" s="1434">
        <f t="shared" si="226"/>
        <v>1.6424298076521574E-2</v>
      </c>
      <c r="G289" s="1437">
        <f t="shared" si="226"/>
        <v>1.7539741196968103E-2</v>
      </c>
      <c r="H289" s="1438">
        <f t="shared" si="226"/>
        <v>0</v>
      </c>
      <c r="I289" s="1434">
        <f t="shared" si="226"/>
        <v>-1.8310086413030077E-7</v>
      </c>
      <c r="J289" s="1434">
        <f t="shared" si="226"/>
        <v>-7.8347095096286784E-7</v>
      </c>
      <c r="K289" s="1437">
        <f t="shared" si="226"/>
        <v>-8.2564093438609226E-7</v>
      </c>
      <c r="L289" s="1434"/>
      <c r="M289" s="1438">
        <f t="shared" si="216"/>
        <v>0</v>
      </c>
      <c r="N289" s="1434">
        <f t="shared" si="216"/>
        <v>0</v>
      </c>
      <c r="O289" s="1439">
        <f t="shared" si="216"/>
        <v>0</v>
      </c>
      <c r="P289" s="1434">
        <f t="shared" si="216"/>
        <v>0</v>
      </c>
      <c r="Q289" s="1434">
        <f t="shared" si="216"/>
        <v>0</v>
      </c>
      <c r="R289" s="1434">
        <f t="shared" si="216"/>
        <v>0</v>
      </c>
      <c r="S289" s="1438">
        <f t="shared" si="221"/>
        <v>1.5112978457831657E-2</v>
      </c>
      <c r="T289" s="1434">
        <f t="shared" si="222"/>
        <v>1.6424298076521574E-2</v>
      </c>
      <c r="U289" s="1437">
        <f t="shared" si="223"/>
        <v>1.7539741196968103E-2</v>
      </c>
      <c r="V289" s="1437">
        <f t="shared" si="224"/>
        <v>0</v>
      </c>
    </row>
    <row r="290" spans="1:23">
      <c r="A290" s="1207" t="s">
        <v>1354</v>
      </c>
      <c r="B290" s="1207"/>
      <c r="C290" s="1434">
        <f t="shared" ref="C290:K290" si="227">C72/C$172*100</f>
        <v>1.6724788271297417E-3</v>
      </c>
      <c r="D290" s="1438">
        <f t="shared" si="227"/>
        <v>1.5320094907720439E-3</v>
      </c>
      <c r="E290" s="1434">
        <f t="shared" si="227"/>
        <v>0</v>
      </c>
      <c r="F290" s="1434">
        <f t="shared" si="227"/>
        <v>0</v>
      </c>
      <c r="G290" s="1437">
        <f t="shared" si="227"/>
        <v>0</v>
      </c>
      <c r="H290" s="1438">
        <f t="shared" si="227"/>
        <v>1.5200395811722786E-3</v>
      </c>
      <c r="I290" s="1434">
        <f t="shared" si="227"/>
        <v>0</v>
      </c>
      <c r="J290" s="1434">
        <f t="shared" si="227"/>
        <v>0</v>
      </c>
      <c r="K290" s="1437">
        <f t="shared" si="227"/>
        <v>0</v>
      </c>
      <c r="L290" s="1434"/>
      <c r="M290" s="1438">
        <f t="shared" si="216"/>
        <v>0</v>
      </c>
      <c r="N290" s="1434">
        <f t="shared" si="216"/>
        <v>0</v>
      </c>
      <c r="O290" s="1439">
        <f t="shared" si="216"/>
        <v>1.5200395811722786E-3</v>
      </c>
      <c r="P290" s="1434">
        <f t="shared" si="216"/>
        <v>0</v>
      </c>
      <c r="Q290" s="1434">
        <f t="shared" si="216"/>
        <v>0</v>
      </c>
      <c r="R290" s="1434">
        <f t="shared" si="216"/>
        <v>0</v>
      </c>
      <c r="S290" s="1438">
        <f t="shared" si="221"/>
        <v>0</v>
      </c>
      <c r="T290" s="1434">
        <f t="shared" si="222"/>
        <v>0</v>
      </c>
      <c r="U290" s="1437">
        <f t="shared" si="223"/>
        <v>0</v>
      </c>
      <c r="V290" s="1437">
        <f t="shared" si="224"/>
        <v>-1.5200395811722786E-3</v>
      </c>
    </row>
    <row r="291" spans="1:23">
      <c r="A291" s="1207" t="s">
        <v>1353</v>
      </c>
      <c r="B291" s="1207"/>
      <c r="C291" s="1434">
        <f t="shared" ref="C291:K291" si="228">C73/C$172*100</f>
        <v>1.0370385432658578E-3</v>
      </c>
      <c r="D291" s="1438">
        <f t="shared" si="228"/>
        <v>1.0825869335115252E-3</v>
      </c>
      <c r="E291" s="1434">
        <f t="shared" si="228"/>
        <v>1.3572820509491468E-3</v>
      </c>
      <c r="F291" s="1434">
        <f t="shared" si="228"/>
        <v>1.2878258344614204E-3</v>
      </c>
      <c r="G291" s="1437">
        <f t="shared" si="228"/>
        <v>5.8483494097001068E-4</v>
      </c>
      <c r="H291" s="1438">
        <f t="shared" si="228"/>
        <v>1.0741284560633929E-3</v>
      </c>
      <c r="I291" s="1434">
        <f t="shared" si="228"/>
        <v>1.3466773232701701E-3</v>
      </c>
      <c r="J291" s="1434">
        <f t="shared" si="228"/>
        <v>1.2777637826845891E-3</v>
      </c>
      <c r="K291" s="1437">
        <f t="shared" si="228"/>
        <v>5.8026550362881818E-4</v>
      </c>
      <c r="L291" s="1434"/>
      <c r="M291" s="1438">
        <f t="shared" si="216"/>
        <v>0</v>
      </c>
      <c r="N291" s="1434">
        <f t="shared" si="216"/>
        <v>0</v>
      </c>
      <c r="O291" s="1439">
        <f t="shared" si="216"/>
        <v>1.0741284560633929E-3</v>
      </c>
      <c r="P291" s="1434">
        <f t="shared" si="216"/>
        <v>1.0609354162873276E-3</v>
      </c>
      <c r="Q291" s="1434">
        <f t="shared" si="216"/>
        <v>1.0498734447324364E-3</v>
      </c>
      <c r="R291" s="1434">
        <f t="shared" si="216"/>
        <v>1.032115516473962E-3</v>
      </c>
      <c r="S291" s="1438">
        <f t="shared" si="221"/>
        <v>2.9634663466181926E-4</v>
      </c>
      <c r="T291" s="1434">
        <f t="shared" si="222"/>
        <v>2.3795238972898394E-4</v>
      </c>
      <c r="U291" s="1437">
        <f t="shared" si="223"/>
        <v>-4.4728057550395134E-4</v>
      </c>
      <c r="V291" s="1437">
        <f t="shared" si="224"/>
        <v>-1.3193039776065356E-5</v>
      </c>
    </row>
    <row r="292" spans="1:23">
      <c r="A292" s="1207" t="s">
        <v>1352</v>
      </c>
      <c r="B292" s="1207"/>
      <c r="C292" s="1434">
        <f t="shared" ref="C292:K292" si="229">C74/C$172*100</f>
        <v>1.7411063777870411E-4</v>
      </c>
      <c r="D292" s="1438">
        <f t="shared" si="229"/>
        <v>6.1702489215049094E-4</v>
      </c>
      <c r="E292" s="1434">
        <f t="shared" si="229"/>
        <v>6.333982904429353E-4</v>
      </c>
      <c r="F292" s="1434">
        <f t="shared" si="229"/>
        <v>6.0211506119994492E-4</v>
      </c>
      <c r="G292" s="1437">
        <f t="shared" si="229"/>
        <v>5.6572962529403937E-4</v>
      </c>
      <c r="H292" s="1438">
        <f t="shared" si="229"/>
        <v>6.122039480086081E-4</v>
      </c>
      <c r="I292" s="1434">
        <f t="shared" si="229"/>
        <v>6.2844941752607947E-4</v>
      </c>
      <c r="J292" s="1434">
        <f t="shared" si="229"/>
        <v>5.9741061067621591E-4</v>
      </c>
      <c r="K292" s="1437">
        <f t="shared" si="229"/>
        <v>5.6130946176798557E-4</v>
      </c>
      <c r="L292" s="1434"/>
      <c r="M292" s="1438">
        <f t="shared" si="216"/>
        <v>0</v>
      </c>
      <c r="N292" s="1434">
        <f t="shared" si="216"/>
        <v>0</v>
      </c>
      <c r="O292" s="1439">
        <f t="shared" si="216"/>
        <v>6.122039480086081E-4</v>
      </c>
      <c r="P292" s="1434">
        <f t="shared" si="216"/>
        <v>6.046845205215617E-4</v>
      </c>
      <c r="Q292" s="1434">
        <f t="shared" si="216"/>
        <v>5.9837970416516152E-4</v>
      </c>
      <c r="R292" s="1434">
        <f t="shared" si="216"/>
        <v>5.8825849964169621E-4</v>
      </c>
      <c r="S292" s="1438">
        <f t="shared" si="221"/>
        <v>2.8713769921373598E-5</v>
      </c>
      <c r="T292" s="1434">
        <f t="shared" si="222"/>
        <v>3.7353570347834018E-6</v>
      </c>
      <c r="U292" s="1437">
        <f t="shared" si="223"/>
        <v>-2.2528874347656842E-5</v>
      </c>
      <c r="V292" s="1437">
        <f t="shared" si="224"/>
        <v>-7.5194274870464062E-6</v>
      </c>
    </row>
    <row r="293" spans="1:23">
      <c r="A293" s="1207" t="s">
        <v>1351</v>
      </c>
      <c r="B293" s="1207"/>
      <c r="C293" s="1434">
        <f t="shared" ref="C293:K293" si="230">C75/C$172*100</f>
        <v>0.99294280020740755</v>
      </c>
      <c r="D293" s="1438">
        <f t="shared" si="230"/>
        <v>0.98543344672030464</v>
      </c>
      <c r="E293" s="1434">
        <f t="shared" si="230"/>
        <v>0.99825475531071084</v>
      </c>
      <c r="F293" s="1434">
        <f t="shared" si="230"/>
        <v>0.97455655186975709</v>
      </c>
      <c r="G293" s="1437">
        <f t="shared" si="230"/>
        <v>0.93778229714219885</v>
      </c>
      <c r="H293" s="1438">
        <f t="shared" si="230"/>
        <v>1.0146880103669031</v>
      </c>
      <c r="I293" s="1434">
        <f t="shared" si="230"/>
        <v>1.0140811007075712</v>
      </c>
      <c r="J293" s="1434">
        <f t="shared" si="230"/>
        <v>0.9916007376344117</v>
      </c>
      <c r="K293" s="1437">
        <f t="shared" si="230"/>
        <v>0.95572993099320136</v>
      </c>
      <c r="L293" s="1434"/>
      <c r="M293" s="1438">
        <f t="shared" ref="M293:R302" si="231">M75/M$172*100</f>
        <v>0</v>
      </c>
      <c r="N293" s="1434">
        <f t="shared" si="231"/>
        <v>3.6953960644382791E-2</v>
      </c>
      <c r="O293" s="1439">
        <f t="shared" si="231"/>
        <v>1.0146880103669031</v>
      </c>
      <c r="P293" s="1434">
        <f t="shared" si="231"/>
        <v>1.0208702533798453</v>
      </c>
      <c r="Q293" s="1434">
        <f t="shared" si="231"/>
        <v>1.0290017875589699</v>
      </c>
      <c r="R293" s="1434">
        <f t="shared" si="231"/>
        <v>1.0363659664345688</v>
      </c>
      <c r="S293" s="1438">
        <f t="shared" si="221"/>
        <v>-2.2615498069134432E-2</v>
      </c>
      <c r="T293" s="1434">
        <f t="shared" si="222"/>
        <v>-5.4445235689212779E-2</v>
      </c>
      <c r="U293" s="1437">
        <f t="shared" si="223"/>
        <v>-9.8583669292369946E-2</v>
      </c>
      <c r="V293" s="1437">
        <f t="shared" si="224"/>
        <v>6.1822430129421235E-3</v>
      </c>
    </row>
    <row r="294" spans="1:23">
      <c r="A294" s="1207" t="s">
        <v>1350</v>
      </c>
      <c r="B294" s="1207"/>
      <c r="C294" s="1434">
        <f t="shared" ref="C294:K294" si="232">C76/C$172*100</f>
        <v>9.2489604196955982E-2</v>
      </c>
      <c r="D294" s="1438">
        <f t="shared" si="232"/>
        <v>9.4090709308453521E-2</v>
      </c>
      <c r="E294" s="1434">
        <f t="shared" si="232"/>
        <v>9.1879648755242183E-2</v>
      </c>
      <c r="F294" s="1434">
        <f t="shared" si="232"/>
        <v>8.9184047004003481E-2</v>
      </c>
      <c r="G294" s="1437">
        <f t="shared" si="232"/>
        <v>8.5510943549907931E-2</v>
      </c>
      <c r="H294" s="1438">
        <f t="shared" si="232"/>
        <v>9.3355558977216091E-2</v>
      </c>
      <c r="I294" s="1434">
        <f t="shared" si="232"/>
        <v>9.116177390114831E-2</v>
      </c>
      <c r="J294" s="1434">
        <f t="shared" si="232"/>
        <v>8.8487233448467886E-2</v>
      </c>
      <c r="K294" s="1437">
        <f t="shared" si="232"/>
        <v>8.4842828717559715E-2</v>
      </c>
      <c r="L294" s="1434"/>
      <c r="M294" s="1438">
        <f t="shared" si="231"/>
        <v>0</v>
      </c>
      <c r="N294" s="1434">
        <f t="shared" si="231"/>
        <v>0</v>
      </c>
      <c r="O294" s="1439">
        <f t="shared" si="231"/>
        <v>9.3355558977216091E-2</v>
      </c>
      <c r="P294" s="1434">
        <f t="shared" si="231"/>
        <v>9.2208914368788961E-2</v>
      </c>
      <c r="Q294" s="1434">
        <f t="shared" si="231"/>
        <v>9.1247486960300328E-2</v>
      </c>
      <c r="R294" s="1434">
        <f t="shared" si="231"/>
        <v>8.970409491115669E-2</v>
      </c>
      <c r="S294" s="1438">
        <f t="shared" si="221"/>
        <v>-3.2926561354677808E-4</v>
      </c>
      <c r="T294" s="1434">
        <f t="shared" si="222"/>
        <v>-2.0634399562968475E-3</v>
      </c>
      <c r="U294" s="1437">
        <f t="shared" si="223"/>
        <v>-4.1931513612487592E-3</v>
      </c>
      <c r="V294" s="1437">
        <f t="shared" si="224"/>
        <v>-1.1466446084271303E-3</v>
      </c>
    </row>
    <row r="295" spans="1:23">
      <c r="A295" s="1207" t="s">
        <v>1349</v>
      </c>
      <c r="B295" s="1207"/>
      <c r="C295" s="1434">
        <f t="shared" ref="C295:K295" si="233">C77/C$172*100</f>
        <v>3.016562115558628E-2</v>
      </c>
      <c r="D295" s="1438">
        <f t="shared" si="233"/>
        <v>0</v>
      </c>
      <c r="E295" s="1434">
        <f t="shared" si="233"/>
        <v>0</v>
      </c>
      <c r="F295" s="1434">
        <f t="shared" si="233"/>
        <v>0</v>
      </c>
      <c r="G295" s="1437">
        <f t="shared" si="233"/>
        <v>0</v>
      </c>
      <c r="H295" s="1438">
        <f t="shared" si="233"/>
        <v>2.9940495283716614E-2</v>
      </c>
      <c r="I295" s="1434">
        <f t="shared" si="233"/>
        <v>2.871295820598721E-2</v>
      </c>
      <c r="J295" s="1434">
        <f t="shared" si="233"/>
        <v>2.7243629528308552E-2</v>
      </c>
      <c r="K295" s="1437">
        <f t="shared" si="233"/>
        <v>2.5597314064830491E-2</v>
      </c>
      <c r="L295" s="1434"/>
      <c r="M295" s="1438">
        <f t="shared" si="231"/>
        <v>0</v>
      </c>
      <c r="N295" s="1434">
        <f t="shared" si="231"/>
        <v>2.9940495283716614E-2</v>
      </c>
      <c r="O295" s="1439">
        <f t="shared" si="231"/>
        <v>2.9940495283716614E-2</v>
      </c>
      <c r="P295" s="1434">
        <f t="shared" si="231"/>
        <v>2.9572749561160447E-2</v>
      </c>
      <c r="Q295" s="1434">
        <f t="shared" si="231"/>
        <v>2.9264405707780324E-2</v>
      </c>
      <c r="R295" s="1434">
        <f t="shared" si="231"/>
        <v>2.876941726922801E-2</v>
      </c>
      <c r="S295" s="1438">
        <f t="shared" si="221"/>
        <v>-2.9572749561160447E-2</v>
      </c>
      <c r="T295" s="1434">
        <f t="shared" si="222"/>
        <v>-2.9264405707780324E-2</v>
      </c>
      <c r="U295" s="1437">
        <f t="shared" si="223"/>
        <v>-2.876941726922801E-2</v>
      </c>
      <c r="V295" s="1437">
        <f t="shared" si="224"/>
        <v>-3.6774572255616686E-4</v>
      </c>
    </row>
    <row r="296" spans="1:23">
      <c r="A296" s="1207" t="s">
        <v>1370</v>
      </c>
      <c r="B296" s="1207"/>
      <c r="C296" s="1434">
        <f t="shared" ref="C296:K296" si="234">C78/C$172*100</f>
        <v>1.6227873969315854E-2</v>
      </c>
      <c r="D296" s="1438">
        <f t="shared" si="234"/>
        <v>1.5637918594622904E-2</v>
      </c>
      <c r="E296" s="1434">
        <f t="shared" si="234"/>
        <v>0</v>
      </c>
      <c r="F296" s="1434">
        <f t="shared" si="234"/>
        <v>0</v>
      </c>
      <c r="G296" s="1437">
        <f t="shared" si="234"/>
        <v>0</v>
      </c>
      <c r="H296" s="1438">
        <f t="shared" si="234"/>
        <v>1.5515736275888186E-2</v>
      </c>
      <c r="I296" s="1434">
        <f t="shared" si="234"/>
        <v>1.4879603126237775E-2</v>
      </c>
      <c r="J296" s="1434">
        <f t="shared" si="234"/>
        <v>1.4118168953241304E-2</v>
      </c>
      <c r="K296" s="1437">
        <f t="shared" si="234"/>
        <v>1.3265016848835923E-2</v>
      </c>
      <c r="L296" s="1434"/>
      <c r="M296" s="1438">
        <f t="shared" si="231"/>
        <v>0</v>
      </c>
      <c r="N296" s="1434">
        <f t="shared" si="231"/>
        <v>0</v>
      </c>
      <c r="O296" s="1439">
        <f t="shared" si="231"/>
        <v>1.5515736275888186E-2</v>
      </c>
      <c r="P296" s="1434">
        <f t="shared" si="231"/>
        <v>1.532516342150823E-2</v>
      </c>
      <c r="Q296" s="1434">
        <f t="shared" si="231"/>
        <v>1.5165373749827715E-2</v>
      </c>
      <c r="R296" s="1434">
        <f t="shared" si="231"/>
        <v>1.4908861290717919E-2</v>
      </c>
      <c r="S296" s="1438">
        <f t="shared" si="221"/>
        <v>-1.532516342150823E-2</v>
      </c>
      <c r="T296" s="1434">
        <f t="shared" si="222"/>
        <v>-1.5165373749827715E-2</v>
      </c>
      <c r="U296" s="1437">
        <f t="shared" si="223"/>
        <v>-1.4908861290717919E-2</v>
      </c>
      <c r="V296" s="1437">
        <f t="shared" si="224"/>
        <v>-1.9057285437995564E-4</v>
      </c>
    </row>
    <row r="297" spans="1:23">
      <c r="A297" s="1207" t="s">
        <v>1348</v>
      </c>
      <c r="B297" s="1207"/>
      <c r="C297" s="1434">
        <f t="shared" ref="C297:K297" si="235">C79/C$172*100</f>
        <v>8.6410982441514059E-2</v>
      </c>
      <c r="D297" s="1438">
        <f t="shared" si="235"/>
        <v>2.0084967213703505E-2</v>
      </c>
      <c r="E297" s="1434">
        <f t="shared" si="235"/>
        <v>1.9261499140574824E-2</v>
      </c>
      <c r="F297" s="1434">
        <f t="shared" si="235"/>
        <v>1.8271311444367559E-2</v>
      </c>
      <c r="G297" s="1437">
        <f t="shared" si="235"/>
        <v>1.7145959412757809E-2</v>
      </c>
      <c r="H297" s="1438">
        <f t="shared" si="235"/>
        <v>1.9928039176827492E-2</v>
      </c>
      <c r="I297" s="1434">
        <f t="shared" si="235"/>
        <v>1.9111005031460366E-2</v>
      </c>
      <c r="J297" s="1434">
        <f t="shared" si="235"/>
        <v>1.8128553878193461E-2</v>
      </c>
      <c r="K297" s="1437">
        <f t="shared" si="235"/>
        <v>1.7011994456660486E-2</v>
      </c>
      <c r="L297" s="1434"/>
      <c r="M297" s="1438">
        <f t="shared" si="231"/>
        <v>0</v>
      </c>
      <c r="N297" s="1434">
        <f t="shared" si="231"/>
        <v>0</v>
      </c>
      <c r="O297" s="1439">
        <f t="shared" si="231"/>
        <v>1.9928039176827492E-2</v>
      </c>
      <c r="P297" s="1434">
        <f t="shared" si="231"/>
        <v>1.9683271977862831E-2</v>
      </c>
      <c r="Q297" s="1434">
        <f t="shared" si="231"/>
        <v>1.9478041959726328E-2</v>
      </c>
      <c r="R297" s="1434">
        <f t="shared" si="231"/>
        <v>1.9148583515499727E-2</v>
      </c>
      <c r="S297" s="1438">
        <f t="shared" si="221"/>
        <v>-4.217728372880071E-4</v>
      </c>
      <c r="T297" s="1434">
        <f t="shared" si="222"/>
        <v>-1.2067305153587692E-3</v>
      </c>
      <c r="U297" s="1437">
        <f t="shared" si="223"/>
        <v>-2.0026241027419171E-3</v>
      </c>
      <c r="V297" s="1437">
        <f t="shared" si="224"/>
        <v>-2.4476719896466062E-4</v>
      </c>
    </row>
    <row r="298" spans="1:23">
      <c r="A298" s="1207" t="s">
        <v>1285</v>
      </c>
      <c r="B298" s="1207"/>
      <c r="C298" s="1434">
        <f t="shared" ref="C298:K298" si="236">C80/C$172*100</f>
        <v>7.2699405823428949</v>
      </c>
      <c r="D298" s="1438">
        <f t="shared" si="236"/>
        <v>7.4077537969021776</v>
      </c>
      <c r="E298" s="1434">
        <f t="shared" si="236"/>
        <v>7.341775949840228</v>
      </c>
      <c r="F298" s="1434">
        <f t="shared" si="236"/>
        <v>7.1534924737185408</v>
      </c>
      <c r="G298" s="1437">
        <f t="shared" si="236"/>
        <v>6.9778320843827251</v>
      </c>
      <c r="H298" s="1438">
        <f t="shared" si="236"/>
        <v>7.3437164784116771</v>
      </c>
      <c r="I298" s="1434">
        <f t="shared" si="236"/>
        <v>7.3999227605181712</v>
      </c>
      <c r="J298" s="1434">
        <f t="shared" si="236"/>
        <v>7.3834985135208848</v>
      </c>
      <c r="K298" s="1437">
        <f t="shared" si="236"/>
        <v>7.335004195659578</v>
      </c>
      <c r="L298" s="1434"/>
      <c r="M298" s="1438">
        <f t="shared" si="231"/>
        <v>-1.5648770534207965E-2</v>
      </c>
      <c r="N298" s="1434">
        <f t="shared" si="231"/>
        <v>-6.1589934407304649E-3</v>
      </c>
      <c r="O298" s="1439">
        <f t="shared" si="231"/>
        <v>7.3280677078774694</v>
      </c>
      <c r="P298" s="1434">
        <f t="shared" si="231"/>
        <v>7.2380603272834838</v>
      </c>
      <c r="Q298" s="1434">
        <f t="shared" si="231"/>
        <v>7.1625918150405932</v>
      </c>
      <c r="R298" s="1434">
        <f t="shared" si="231"/>
        <v>7.041441220905277</v>
      </c>
      <c r="S298" s="1438">
        <f t="shared" si="221"/>
        <v>0.10371562255674416</v>
      </c>
      <c r="T298" s="1434">
        <f t="shared" si="222"/>
        <v>-9.0993413220523678E-3</v>
      </c>
      <c r="U298" s="1437">
        <f t="shared" si="223"/>
        <v>-6.3609136522551957E-2</v>
      </c>
      <c r="V298" s="1437">
        <f t="shared" si="224"/>
        <v>-9.0007380593985609E-2</v>
      </c>
    </row>
    <row r="299" spans="1:23">
      <c r="A299" s="1445" t="s">
        <v>54</v>
      </c>
      <c r="B299" s="1445"/>
      <c r="C299" s="1442">
        <f t="shared" ref="C299:K299" si="237">C81/C$172*100</f>
        <v>5.9157240969122684</v>
      </c>
      <c r="D299" s="1443">
        <f t="shared" si="237"/>
        <v>5.6011458821451807</v>
      </c>
      <c r="E299" s="1442">
        <f t="shared" si="237"/>
        <v>5.6160521353746713</v>
      </c>
      <c r="F299" s="1442">
        <f t="shared" si="237"/>
        <v>5.2482291769656744</v>
      </c>
      <c r="G299" s="1441">
        <f t="shared" si="237"/>
        <v>5.0205585377173279</v>
      </c>
      <c r="H299" s="1443">
        <f t="shared" si="237"/>
        <v>5.8535966890815656</v>
      </c>
      <c r="I299" s="1442">
        <f t="shared" si="237"/>
        <v>5.3638098669878831</v>
      </c>
      <c r="J299" s="1442">
        <f t="shared" si="237"/>
        <v>5.1983866944721377</v>
      </c>
      <c r="K299" s="1441">
        <f t="shared" si="237"/>
        <v>4.8812198427204692</v>
      </c>
      <c r="L299" s="1442"/>
      <c r="M299" s="1443">
        <f t="shared" si="231"/>
        <v>-4.6124701877630452E-2</v>
      </c>
      <c r="N299" s="1442">
        <f t="shared" si="231"/>
        <v>0.29621372764165349</v>
      </c>
      <c r="O299" s="1444">
        <f t="shared" si="231"/>
        <v>5.807471987203936</v>
      </c>
      <c r="P299" s="1442">
        <f t="shared" si="231"/>
        <v>5.6097607675201635</v>
      </c>
      <c r="Q299" s="1442">
        <f t="shared" si="231"/>
        <v>5.4323206620776672</v>
      </c>
      <c r="R299" s="1442">
        <f t="shared" si="231"/>
        <v>5.217896632074642</v>
      </c>
      <c r="S299" s="1443">
        <f t="shared" si="221"/>
        <v>6.29136785450779E-3</v>
      </c>
      <c r="T299" s="1442">
        <f t="shared" si="222"/>
        <v>-0.1840914851119928</v>
      </c>
      <c r="U299" s="1441">
        <f t="shared" si="223"/>
        <v>-0.1973380943573142</v>
      </c>
      <c r="V299" s="1441">
        <f t="shared" si="224"/>
        <v>-0.19771121968377248</v>
      </c>
      <c r="W299" s="1440"/>
    </row>
    <row r="300" spans="1:23">
      <c r="A300" s="1207" t="s">
        <v>1363</v>
      </c>
      <c r="B300" s="1207" t="s">
        <v>1397</v>
      </c>
      <c r="C300" s="1434">
        <f t="shared" ref="C300:K300" si="238">C82/C$172*100</f>
        <v>0.36003738628160736</v>
      </c>
      <c r="D300" s="1438">
        <f t="shared" si="238"/>
        <v>0.21787558636430232</v>
      </c>
      <c r="E300" s="1434">
        <f t="shared" si="238"/>
        <v>7.4756542366365114E-2</v>
      </c>
      <c r="F300" s="1434">
        <f t="shared" si="238"/>
        <v>0.1053823153341165</v>
      </c>
      <c r="G300" s="1437">
        <f t="shared" si="238"/>
        <v>0.10460272786482361</v>
      </c>
      <c r="H300" s="1438">
        <f t="shared" si="238"/>
        <v>0.15397483601826159</v>
      </c>
      <c r="I300" s="1434">
        <f t="shared" si="238"/>
        <v>0.1180307705077252</v>
      </c>
      <c r="J300" s="1434">
        <f t="shared" si="238"/>
        <v>0.11381214053750432</v>
      </c>
      <c r="K300" s="1437">
        <f t="shared" si="238"/>
        <v>0.10918003613322362</v>
      </c>
      <c r="L300" s="1434"/>
      <c r="M300" s="1438">
        <f t="shared" si="231"/>
        <v>0</v>
      </c>
      <c r="N300" s="1434">
        <f t="shared" si="231"/>
        <v>-6.2198442959248812E-2</v>
      </c>
      <c r="O300" s="1439">
        <f t="shared" si="231"/>
        <v>0.15397483601826159</v>
      </c>
      <c r="P300" s="1434">
        <f t="shared" si="231"/>
        <v>0.11769766990323441</v>
      </c>
      <c r="Q300" s="1434">
        <f t="shared" si="231"/>
        <v>0.1133815641597853</v>
      </c>
      <c r="R300" s="1434">
        <f t="shared" si="231"/>
        <v>0.10826069983517958</v>
      </c>
      <c r="S300" s="1438">
        <f t="shared" si="221"/>
        <v>-4.2941127536869295E-2</v>
      </c>
      <c r="T300" s="1434">
        <f t="shared" si="222"/>
        <v>-7.9992488256687977E-3</v>
      </c>
      <c r="U300" s="1437">
        <f t="shared" si="223"/>
        <v>-3.6579719703559721E-3</v>
      </c>
      <c r="V300" s="1437">
        <f t="shared" si="224"/>
        <v>-3.6277166115027182E-2</v>
      </c>
    </row>
    <row r="301" spans="1:23">
      <c r="A301" s="1207" t="s">
        <v>1159</v>
      </c>
      <c r="B301" s="1207"/>
      <c r="C301" s="1434">
        <f t="shared" ref="C301:K301" si="239">C83/C$172*100</f>
        <v>6.9752089683499802E-2</v>
      </c>
      <c r="D301" s="1438">
        <f t="shared" si="239"/>
        <v>5.3986574316225541E-2</v>
      </c>
      <c r="E301" s="1434">
        <f t="shared" si="239"/>
        <v>2.6455850850126483E-2</v>
      </c>
      <c r="F301" s="1434">
        <f t="shared" si="239"/>
        <v>3.866723638980462E-2</v>
      </c>
      <c r="G301" s="1437">
        <f t="shared" si="239"/>
        <v>5.6108734744265865E-2</v>
      </c>
      <c r="H301" s="1438">
        <f t="shared" si="239"/>
        <v>2.6729168482355785E-2</v>
      </c>
      <c r="I301" s="1434">
        <f t="shared" si="239"/>
        <v>1.9942843379181018E-2</v>
      </c>
      <c r="J301" s="1434">
        <f t="shared" si="239"/>
        <v>1.8515617738323675E-2</v>
      </c>
      <c r="K301" s="1437">
        <f t="shared" si="239"/>
        <v>1.7717305923232722E-2</v>
      </c>
      <c r="L301" s="1434"/>
      <c r="M301" s="1438">
        <f t="shared" si="231"/>
        <v>0</v>
      </c>
      <c r="N301" s="1434">
        <f t="shared" si="231"/>
        <v>-2.6835597471677065E-2</v>
      </c>
      <c r="O301" s="1439">
        <f t="shared" si="231"/>
        <v>2.6729168482355785E-2</v>
      </c>
      <c r="P301" s="1434">
        <f t="shared" si="231"/>
        <v>1.9886561672670968E-2</v>
      </c>
      <c r="Q301" s="1434">
        <f t="shared" si="231"/>
        <v>1.8445569081129938E-2</v>
      </c>
      <c r="R301" s="1434">
        <f t="shared" si="231"/>
        <v>1.7568119652412079E-2</v>
      </c>
      <c r="S301" s="1438">
        <f t="shared" si="221"/>
        <v>6.5692891774555146E-3</v>
      </c>
      <c r="T301" s="1434">
        <f t="shared" si="222"/>
        <v>2.0221667308674682E-2</v>
      </c>
      <c r="U301" s="1437">
        <f t="shared" si="223"/>
        <v>3.8540615091853789E-2</v>
      </c>
      <c r="V301" s="1437">
        <f t="shared" si="224"/>
        <v>-6.8426068096848168E-3</v>
      </c>
    </row>
    <row r="302" spans="1:23">
      <c r="A302" s="1207" t="s">
        <v>1396</v>
      </c>
      <c r="B302" s="1207"/>
      <c r="C302" s="1434">
        <f t="shared" ref="C302:K302" si="240">C84/C$172*100</f>
        <v>0.15730578403163983</v>
      </c>
      <c r="D302" s="1438">
        <f t="shared" si="240"/>
        <v>0.15729044604851972</v>
      </c>
      <c r="E302" s="1434">
        <f t="shared" si="240"/>
        <v>0.15146672389447327</v>
      </c>
      <c r="F302" s="1434">
        <f t="shared" si="240"/>
        <v>0.14380834785330993</v>
      </c>
      <c r="G302" s="1437">
        <f t="shared" si="240"/>
        <v>0.13550869705753227</v>
      </c>
      <c r="H302" s="1438">
        <f t="shared" si="240"/>
        <v>0.15606150299598109</v>
      </c>
      <c r="I302" s="1434">
        <f t="shared" si="240"/>
        <v>0.15028328279746297</v>
      </c>
      <c r="J302" s="1434">
        <f t="shared" si="240"/>
        <v>0.14268474324520253</v>
      </c>
      <c r="K302" s="1437">
        <f t="shared" si="240"/>
        <v>0.1344499393517016</v>
      </c>
      <c r="L302" s="1434"/>
      <c r="M302" s="1438">
        <f t="shared" si="231"/>
        <v>0</v>
      </c>
      <c r="N302" s="1434">
        <f t="shared" si="231"/>
        <v>0</v>
      </c>
      <c r="O302" s="1439">
        <f t="shared" si="231"/>
        <v>0.15606150299598109</v>
      </c>
      <c r="P302" s="1434">
        <f t="shared" si="231"/>
        <v>0.14985916074751482</v>
      </c>
      <c r="Q302" s="1434">
        <f t="shared" si="231"/>
        <v>0.14214493545657703</v>
      </c>
      <c r="R302" s="1434">
        <f t="shared" si="231"/>
        <v>0.13331782111934437</v>
      </c>
      <c r="S302" s="1438">
        <f t="shared" si="221"/>
        <v>1.6075631469584517E-3</v>
      </c>
      <c r="T302" s="1434">
        <f t="shared" si="222"/>
        <v>1.6634123967328995E-3</v>
      </c>
      <c r="U302" s="1437">
        <f t="shared" si="223"/>
        <v>2.1908759381878973E-3</v>
      </c>
      <c r="V302" s="1437">
        <f t="shared" si="224"/>
        <v>-6.2023422484662749E-3</v>
      </c>
    </row>
    <row r="303" spans="1:23">
      <c r="A303" s="1207" t="s">
        <v>1395</v>
      </c>
      <c r="B303" s="1207"/>
      <c r="C303" s="1434">
        <f t="shared" ref="C303:K303" si="241">C85/C$172*100</f>
        <v>0</v>
      </c>
      <c r="D303" s="1438">
        <f t="shared" si="241"/>
        <v>1.8790083989331345E-2</v>
      </c>
      <c r="E303" s="1434">
        <f t="shared" si="241"/>
        <v>2.888153332624948E-2</v>
      </c>
      <c r="F303" s="1434">
        <f t="shared" si="241"/>
        <v>3.014303222888955E-2</v>
      </c>
      <c r="G303" s="1437">
        <f t="shared" si="241"/>
        <v>2.8321507676774584E-2</v>
      </c>
      <c r="H303" s="1438">
        <f t="shared" si="241"/>
        <v>0</v>
      </c>
      <c r="I303" s="1434">
        <f t="shared" si="241"/>
        <v>2.5988509747174572E-7</v>
      </c>
      <c r="J303" s="1434">
        <f t="shared" si="241"/>
        <v>-3.3177024532721984E-7</v>
      </c>
      <c r="K303" s="1437">
        <f t="shared" si="241"/>
        <v>-3.1172157726569872E-7</v>
      </c>
      <c r="L303" s="1434"/>
      <c r="M303" s="1438">
        <f t="shared" ref="M303:R312" si="242">M85/M$172*100</f>
        <v>0</v>
      </c>
      <c r="N303" s="1434">
        <f t="shared" si="242"/>
        <v>-1.8643273145091115E-2</v>
      </c>
      <c r="O303" s="1439">
        <f t="shared" si="242"/>
        <v>0</v>
      </c>
      <c r="P303" s="1434">
        <f t="shared" si="242"/>
        <v>0</v>
      </c>
      <c r="Q303" s="1434">
        <f t="shared" si="242"/>
        <v>0</v>
      </c>
      <c r="R303" s="1434">
        <f t="shared" si="242"/>
        <v>0</v>
      </c>
      <c r="S303" s="1438">
        <f t="shared" si="221"/>
        <v>2.888153332624948E-2</v>
      </c>
      <c r="T303" s="1434">
        <f t="shared" si="222"/>
        <v>3.014303222888955E-2</v>
      </c>
      <c r="U303" s="1437">
        <f t="shared" si="223"/>
        <v>2.8321507676774584E-2</v>
      </c>
      <c r="V303" s="1437">
        <f t="shared" si="224"/>
        <v>0</v>
      </c>
    </row>
    <row r="304" spans="1:23">
      <c r="A304" s="1207" t="s">
        <v>1369</v>
      </c>
      <c r="B304" s="1207"/>
      <c r="C304" s="1434">
        <f t="shared" ref="C304:K304" si="243">C86/C$172*100</f>
        <v>0</v>
      </c>
      <c r="D304" s="1438">
        <f t="shared" si="243"/>
        <v>0</v>
      </c>
      <c r="E304" s="1434">
        <f t="shared" si="243"/>
        <v>0.20308035037754033</v>
      </c>
      <c r="F304" s="1434">
        <f t="shared" si="243"/>
        <v>0.14685733199998657</v>
      </c>
      <c r="G304" s="1437">
        <f t="shared" si="243"/>
        <v>0.13798283543757056</v>
      </c>
      <c r="H304" s="1438">
        <f t="shared" si="243"/>
        <v>0</v>
      </c>
      <c r="I304" s="1434">
        <f t="shared" si="243"/>
        <v>0</v>
      </c>
      <c r="J304" s="1434">
        <f t="shared" si="243"/>
        <v>0</v>
      </c>
      <c r="K304" s="1437">
        <f t="shared" si="243"/>
        <v>0</v>
      </c>
      <c r="L304" s="1434"/>
      <c r="M304" s="1438">
        <f t="shared" si="242"/>
        <v>0</v>
      </c>
      <c r="N304" s="1434">
        <f t="shared" si="242"/>
        <v>0</v>
      </c>
      <c r="O304" s="1439">
        <f t="shared" si="242"/>
        <v>0</v>
      </c>
      <c r="P304" s="1434">
        <f t="shared" si="242"/>
        <v>0</v>
      </c>
      <c r="Q304" s="1434">
        <f t="shared" si="242"/>
        <v>0</v>
      </c>
      <c r="R304" s="1434">
        <f t="shared" si="242"/>
        <v>0</v>
      </c>
      <c r="S304" s="1438">
        <f t="shared" si="221"/>
        <v>0.20308035037754033</v>
      </c>
      <c r="T304" s="1434">
        <f t="shared" si="222"/>
        <v>0.14685733199998657</v>
      </c>
      <c r="U304" s="1437">
        <f t="shared" si="223"/>
        <v>0.13798283543757056</v>
      </c>
      <c r="V304" s="1437">
        <f t="shared" si="224"/>
        <v>0</v>
      </c>
    </row>
    <row r="305" spans="1:23">
      <c r="A305" s="1207" t="s">
        <v>1394</v>
      </c>
      <c r="B305" s="1207"/>
      <c r="C305" s="1434">
        <f t="shared" ref="C305:K305" si="244">C87/C$172*100</f>
        <v>0</v>
      </c>
      <c r="D305" s="1438">
        <f t="shared" si="244"/>
        <v>0</v>
      </c>
      <c r="E305" s="1434">
        <f t="shared" si="244"/>
        <v>0</v>
      </c>
      <c r="F305" s="1434">
        <f t="shared" si="244"/>
        <v>7.5688009569223849E-2</v>
      </c>
      <c r="G305" s="1437">
        <f t="shared" si="244"/>
        <v>6.8991417718785281E-2</v>
      </c>
      <c r="H305" s="1438">
        <f t="shared" si="244"/>
        <v>0</v>
      </c>
      <c r="I305" s="1434">
        <f t="shared" si="244"/>
        <v>0</v>
      </c>
      <c r="J305" s="1434">
        <f t="shared" si="244"/>
        <v>7.5096643368304808E-2</v>
      </c>
      <c r="K305" s="1437">
        <f t="shared" si="244"/>
        <v>6.8452373386339707E-2</v>
      </c>
      <c r="L305" s="1434"/>
      <c r="M305" s="1438">
        <f t="shared" si="242"/>
        <v>0</v>
      </c>
      <c r="N305" s="1434">
        <f t="shared" si="242"/>
        <v>0</v>
      </c>
      <c r="O305" s="1439">
        <f t="shared" si="242"/>
        <v>0</v>
      </c>
      <c r="P305" s="1434">
        <f t="shared" si="242"/>
        <v>0</v>
      </c>
      <c r="Q305" s="1434">
        <f t="shared" si="242"/>
        <v>0</v>
      </c>
      <c r="R305" s="1434">
        <f t="shared" si="242"/>
        <v>0</v>
      </c>
      <c r="S305" s="1438">
        <f t="shared" si="221"/>
        <v>0</v>
      </c>
      <c r="T305" s="1434">
        <f t="shared" si="222"/>
        <v>7.5688009569223849E-2</v>
      </c>
      <c r="U305" s="1437">
        <f t="shared" si="223"/>
        <v>6.8991417718785281E-2</v>
      </c>
      <c r="V305" s="1437">
        <f t="shared" si="224"/>
        <v>0</v>
      </c>
    </row>
    <row r="306" spans="1:23">
      <c r="A306" s="1207" t="s">
        <v>766</v>
      </c>
      <c r="B306" s="1207"/>
      <c r="C306" s="1434">
        <f t="shared" ref="C306:K306" si="245">C88/C$172*100</f>
        <v>0</v>
      </c>
      <c r="D306" s="1438">
        <f t="shared" si="245"/>
        <v>0</v>
      </c>
      <c r="E306" s="1434">
        <f t="shared" si="245"/>
        <v>0.11905982903062692</v>
      </c>
      <c r="F306" s="1434">
        <f t="shared" si="245"/>
        <v>0</v>
      </c>
      <c r="G306" s="1437">
        <f t="shared" si="245"/>
        <v>0</v>
      </c>
      <c r="H306" s="1438">
        <f t="shared" si="245"/>
        <v>0</v>
      </c>
      <c r="I306" s="1434">
        <f t="shared" si="245"/>
        <v>0</v>
      </c>
      <c r="J306" s="1434">
        <f t="shared" si="245"/>
        <v>0</v>
      </c>
      <c r="K306" s="1437">
        <f t="shared" si="245"/>
        <v>0</v>
      </c>
      <c r="L306" s="1434"/>
      <c r="M306" s="1438">
        <f t="shared" si="242"/>
        <v>0</v>
      </c>
      <c r="N306" s="1434">
        <f t="shared" si="242"/>
        <v>0</v>
      </c>
      <c r="O306" s="1439">
        <f t="shared" si="242"/>
        <v>0</v>
      </c>
      <c r="P306" s="1434">
        <f t="shared" si="242"/>
        <v>0</v>
      </c>
      <c r="Q306" s="1434">
        <f t="shared" si="242"/>
        <v>0</v>
      </c>
      <c r="R306" s="1434">
        <f t="shared" si="242"/>
        <v>0</v>
      </c>
      <c r="S306" s="1438">
        <f t="shared" si="221"/>
        <v>0.11905982903062692</v>
      </c>
      <c r="T306" s="1434">
        <f t="shared" si="222"/>
        <v>0</v>
      </c>
      <c r="U306" s="1437">
        <f t="shared" si="223"/>
        <v>0</v>
      </c>
      <c r="V306" s="1437">
        <f t="shared" si="224"/>
        <v>0</v>
      </c>
    </row>
    <row r="307" spans="1:23">
      <c r="A307" s="1207" t="s">
        <v>1354</v>
      </c>
      <c r="B307" s="1207"/>
      <c r="C307" s="1434">
        <f t="shared" ref="C307:K307" si="246">C89/C$172*100</f>
        <v>2.5544699411328122E-4</v>
      </c>
      <c r="D307" s="1438">
        <f t="shared" si="246"/>
        <v>1.1024509139429296E-3</v>
      </c>
      <c r="E307" s="1434">
        <f t="shared" si="246"/>
        <v>0</v>
      </c>
      <c r="F307" s="1434">
        <f t="shared" si="246"/>
        <v>0</v>
      </c>
      <c r="G307" s="1437">
        <f t="shared" si="246"/>
        <v>0</v>
      </c>
      <c r="H307" s="1438">
        <f t="shared" si="246"/>
        <v>1.0938372350737305E-3</v>
      </c>
      <c r="I307" s="1434">
        <f t="shared" si="246"/>
        <v>0</v>
      </c>
      <c r="J307" s="1434">
        <f t="shared" si="246"/>
        <v>0</v>
      </c>
      <c r="K307" s="1437">
        <f t="shared" si="246"/>
        <v>0</v>
      </c>
      <c r="L307" s="1434"/>
      <c r="M307" s="1438">
        <f t="shared" si="242"/>
        <v>0</v>
      </c>
      <c r="N307" s="1434">
        <f t="shared" si="242"/>
        <v>0</v>
      </c>
      <c r="O307" s="1439">
        <f t="shared" si="242"/>
        <v>1.0938372350737305E-3</v>
      </c>
      <c r="P307" s="1434">
        <f t="shared" si="242"/>
        <v>0</v>
      </c>
      <c r="Q307" s="1434">
        <f t="shared" si="242"/>
        <v>0</v>
      </c>
      <c r="R307" s="1434">
        <f t="shared" si="242"/>
        <v>0</v>
      </c>
      <c r="S307" s="1438">
        <f t="shared" si="221"/>
        <v>0</v>
      </c>
      <c r="T307" s="1434">
        <f t="shared" si="222"/>
        <v>0</v>
      </c>
      <c r="U307" s="1437">
        <f t="shared" si="223"/>
        <v>0</v>
      </c>
      <c r="V307" s="1437">
        <f t="shared" si="224"/>
        <v>-1.0938372350737305E-3</v>
      </c>
    </row>
    <row r="308" spans="1:23">
      <c r="A308" s="1207" t="s">
        <v>1353</v>
      </c>
      <c r="B308" s="1207"/>
      <c r="C308" s="1434">
        <f t="shared" ref="C308:K308" si="247">C90/C$172*100</f>
        <v>5.4139512185202875E-4</v>
      </c>
      <c r="D308" s="1438">
        <f t="shared" si="247"/>
        <v>4.3328307316000265E-4</v>
      </c>
      <c r="E308" s="1434">
        <f t="shared" si="247"/>
        <v>9.6319401685777181E-4</v>
      </c>
      <c r="F308" s="1434">
        <f t="shared" si="247"/>
        <v>1.1077561519937447E-2</v>
      </c>
      <c r="G308" s="1437">
        <f t="shared" si="247"/>
        <v>2.8965781377625391E-3</v>
      </c>
      <c r="H308" s="1438">
        <f t="shared" si="247"/>
        <v>4.2989774216298639E-4</v>
      </c>
      <c r="I308" s="1434">
        <f t="shared" si="247"/>
        <v>9.5566838116277876E-4</v>
      </c>
      <c r="J308" s="1434">
        <f t="shared" si="247"/>
        <v>1.0991010221934281E-2</v>
      </c>
      <c r="K308" s="1437">
        <f t="shared" si="247"/>
        <v>2.8739465687895546E-3</v>
      </c>
      <c r="L308" s="1434"/>
      <c r="M308" s="1438">
        <f t="shared" si="242"/>
        <v>0</v>
      </c>
      <c r="N308" s="1434">
        <f t="shared" si="242"/>
        <v>0</v>
      </c>
      <c r="O308" s="1439">
        <f t="shared" si="242"/>
        <v>4.2989774216298639E-4</v>
      </c>
      <c r="P308" s="1434">
        <f t="shared" si="242"/>
        <v>9.5297134111052204E-4</v>
      </c>
      <c r="Q308" s="1434">
        <f t="shared" si="242"/>
        <v>1.0949428811142052E-2</v>
      </c>
      <c r="R308" s="1434">
        <f t="shared" si="242"/>
        <v>2.8497468753941116E-3</v>
      </c>
      <c r="S308" s="1438">
        <f t="shared" si="221"/>
        <v>1.0222675747249767E-5</v>
      </c>
      <c r="T308" s="1434">
        <f t="shared" si="222"/>
        <v>1.2813270879539519E-4</v>
      </c>
      <c r="U308" s="1437">
        <f t="shared" si="223"/>
        <v>4.6831262368427547E-5</v>
      </c>
      <c r="V308" s="1437">
        <f t="shared" si="224"/>
        <v>5.2307359894753565E-4</v>
      </c>
    </row>
    <row r="309" spans="1:23">
      <c r="A309" s="1207" t="s">
        <v>1352</v>
      </c>
      <c r="B309" s="1207"/>
      <c r="C309" s="1434">
        <f t="shared" ref="C309:K309" si="248">C91/C$172*100</f>
        <v>9.0232520308671459E-5</v>
      </c>
      <c r="D309" s="1438">
        <f t="shared" si="248"/>
        <v>4.0721159884378477E-4</v>
      </c>
      <c r="E309" s="1434">
        <f t="shared" si="248"/>
        <v>1.0535128031604054E-4</v>
      </c>
      <c r="F309" s="1434">
        <f t="shared" si="248"/>
        <v>1.08448491323067E-4</v>
      </c>
      <c r="G309" s="1437">
        <f t="shared" si="248"/>
        <v>1.0189501693851365E-4</v>
      </c>
      <c r="H309" s="1438">
        <f t="shared" si="248"/>
        <v>4.0402996971191843E-4</v>
      </c>
      <c r="I309" s="1434">
        <f t="shared" si="248"/>
        <v>1.0452814879551252E-4</v>
      </c>
      <c r="J309" s="1434">
        <f t="shared" si="248"/>
        <v>1.0760116064712332E-4</v>
      </c>
      <c r="K309" s="1437">
        <f t="shared" si="248"/>
        <v>1.0109888992444018E-4</v>
      </c>
      <c r="L309" s="1434"/>
      <c r="M309" s="1438">
        <f t="shared" si="242"/>
        <v>0</v>
      </c>
      <c r="N309" s="1434">
        <f t="shared" si="242"/>
        <v>0</v>
      </c>
      <c r="O309" s="1439">
        <f t="shared" si="242"/>
        <v>4.0402996971191843E-4</v>
      </c>
      <c r="P309" s="1434">
        <f t="shared" si="242"/>
        <v>3.8970288831428895E-4</v>
      </c>
      <c r="Q309" s="1434">
        <f t="shared" si="242"/>
        <v>3.7541204571838312E-4</v>
      </c>
      <c r="R309" s="1434">
        <f t="shared" si="242"/>
        <v>3.5845660709665718E-4</v>
      </c>
      <c r="S309" s="1438">
        <f t="shared" si="221"/>
        <v>-2.8435160799824839E-4</v>
      </c>
      <c r="T309" s="1434">
        <f t="shared" si="222"/>
        <v>-2.6696355439531611E-4</v>
      </c>
      <c r="U309" s="1437">
        <f t="shared" si="223"/>
        <v>-2.5656159015814353E-4</v>
      </c>
      <c r="V309" s="1437">
        <f t="shared" si="224"/>
        <v>-1.4327081397629482E-5</v>
      </c>
    </row>
    <row r="310" spans="1:23">
      <c r="A310" s="1207" t="s">
        <v>1351</v>
      </c>
      <c r="B310" s="1207"/>
      <c r="C310" s="1434">
        <f t="shared" ref="C310:K310" si="249">C92/C$172*100</f>
        <v>0.78517924499527225</v>
      </c>
      <c r="D310" s="1438">
        <f t="shared" si="249"/>
        <v>0.66036313145670689</v>
      </c>
      <c r="E310" s="1434">
        <f t="shared" si="249"/>
        <v>0.68504406307984067</v>
      </c>
      <c r="F310" s="1434">
        <f t="shared" si="249"/>
        <v>0.65969895074892437</v>
      </c>
      <c r="G310" s="1437">
        <f t="shared" si="249"/>
        <v>0.63317988088162958</v>
      </c>
      <c r="H310" s="1438">
        <f t="shared" si="249"/>
        <v>0.77239074481119052</v>
      </c>
      <c r="I310" s="1434">
        <f t="shared" si="249"/>
        <v>0.70922406841254249</v>
      </c>
      <c r="J310" s="1434">
        <f t="shared" si="249"/>
        <v>0.68256572087417988</v>
      </c>
      <c r="K310" s="1437">
        <f t="shared" si="249"/>
        <v>0.65456055036204108</v>
      </c>
      <c r="L310" s="1434"/>
      <c r="M310" s="1438">
        <f t="shared" si="242"/>
        <v>0</v>
      </c>
      <c r="N310" s="1434">
        <f t="shared" si="242"/>
        <v>0.11718716819677855</v>
      </c>
      <c r="O310" s="1439">
        <f t="shared" si="242"/>
        <v>0.77239074481119052</v>
      </c>
      <c r="P310" s="1434">
        <f t="shared" si="242"/>
        <v>0.77709673052954309</v>
      </c>
      <c r="Q310" s="1434">
        <f t="shared" si="242"/>
        <v>0.78328653633872036</v>
      </c>
      <c r="R310" s="1434">
        <f t="shared" si="242"/>
        <v>0.78889222355344368</v>
      </c>
      <c r="S310" s="1438">
        <f t="shared" si="221"/>
        <v>-9.2052667449702419E-2</v>
      </c>
      <c r="T310" s="1434">
        <f t="shared" si="222"/>
        <v>-0.12358758558979599</v>
      </c>
      <c r="U310" s="1437">
        <f t="shared" si="223"/>
        <v>-0.15571234267181411</v>
      </c>
      <c r="V310" s="1437">
        <f t="shared" si="224"/>
        <v>4.7059857183525677E-3</v>
      </c>
    </row>
    <row r="311" spans="1:23">
      <c r="A311" s="1207" t="s">
        <v>1350</v>
      </c>
      <c r="B311" s="1207"/>
      <c r="C311" s="1434">
        <f t="shared" ref="C311:K311" si="250">C93/C$172*100</f>
        <v>8.1914549841394096E-2</v>
      </c>
      <c r="D311" s="1438">
        <f t="shared" si="250"/>
        <v>8.9777742557284892E-2</v>
      </c>
      <c r="E311" s="1434">
        <f t="shared" si="250"/>
        <v>8.0755909169081666E-2</v>
      </c>
      <c r="F311" s="1434">
        <f t="shared" si="250"/>
        <v>7.395567709193665E-2</v>
      </c>
      <c r="G311" s="1437">
        <f t="shared" si="250"/>
        <v>7.0821948961208567E-2</v>
      </c>
      <c r="H311" s="1438">
        <f t="shared" si="250"/>
        <v>8.9076290334596547E-2</v>
      </c>
      <c r="I311" s="1434">
        <f t="shared" si="250"/>
        <v>8.0124946411851208E-2</v>
      </c>
      <c r="J311" s="1434">
        <f t="shared" si="250"/>
        <v>7.3377845965881552E-2</v>
      </c>
      <c r="K311" s="1437">
        <f t="shared" si="250"/>
        <v>7.0268602306471015E-2</v>
      </c>
      <c r="L311" s="1434"/>
      <c r="M311" s="1438">
        <f t="shared" si="242"/>
        <v>0</v>
      </c>
      <c r="N311" s="1434">
        <f t="shared" si="242"/>
        <v>0</v>
      </c>
      <c r="O311" s="1439">
        <f t="shared" si="242"/>
        <v>8.9076290334596547E-2</v>
      </c>
      <c r="P311" s="1434">
        <f t="shared" si="242"/>
        <v>8.5917605687681364E-2</v>
      </c>
      <c r="Q311" s="1434">
        <f t="shared" si="242"/>
        <v>8.276691059170474E-2</v>
      </c>
      <c r="R311" s="1434">
        <f t="shared" si="242"/>
        <v>7.9028753309718494E-2</v>
      </c>
      <c r="S311" s="1438">
        <f t="shared" si="221"/>
        <v>-5.1616965185996982E-3</v>
      </c>
      <c r="T311" s="1434">
        <f t="shared" si="222"/>
        <v>-8.8112334997680897E-3</v>
      </c>
      <c r="U311" s="1437">
        <f t="shared" si="223"/>
        <v>-8.2068043485099273E-3</v>
      </c>
      <c r="V311" s="1437">
        <f t="shared" si="224"/>
        <v>-3.158684646915183E-3</v>
      </c>
    </row>
    <row r="312" spans="1:23">
      <c r="A312" s="1207" t="s">
        <v>1349</v>
      </c>
      <c r="B312" s="1207"/>
      <c r="C312" s="1434">
        <f t="shared" ref="C312:K312" si="251">C94/C$172*100</f>
        <v>5.7165478816962698E-2</v>
      </c>
      <c r="D312" s="1438">
        <f t="shared" si="251"/>
        <v>0</v>
      </c>
      <c r="E312" s="1434">
        <f t="shared" si="251"/>
        <v>0</v>
      </c>
      <c r="F312" s="1434">
        <f t="shared" si="251"/>
        <v>0</v>
      </c>
      <c r="G312" s="1437">
        <f t="shared" si="251"/>
        <v>0</v>
      </c>
      <c r="H312" s="1438">
        <f t="shared" si="251"/>
        <v>5.512571964942644E-2</v>
      </c>
      <c r="I312" s="1434">
        <f t="shared" si="251"/>
        <v>5.2865607912297309E-2</v>
      </c>
      <c r="J312" s="1434">
        <f t="shared" si="251"/>
        <v>5.0160315298028925E-2</v>
      </c>
      <c r="K312" s="1437">
        <f t="shared" si="251"/>
        <v>4.7129158871449542E-2</v>
      </c>
      <c r="L312" s="1434"/>
      <c r="M312" s="1438">
        <f t="shared" si="242"/>
        <v>0</v>
      </c>
      <c r="N312" s="1434">
        <f t="shared" si="242"/>
        <v>5.512571964942644E-2</v>
      </c>
      <c r="O312" s="1439">
        <f t="shared" si="242"/>
        <v>5.512571964942644E-2</v>
      </c>
      <c r="P312" s="1434">
        <f t="shared" si="242"/>
        <v>5.3170937252755783E-2</v>
      </c>
      <c r="Q312" s="1434">
        <f t="shared" si="242"/>
        <v>5.1221099266584365E-2</v>
      </c>
      <c r="R312" s="1434">
        <f t="shared" si="242"/>
        <v>4.8907704652168094E-2</v>
      </c>
      <c r="S312" s="1438">
        <f t="shared" si="221"/>
        <v>-5.3170937252755783E-2</v>
      </c>
      <c r="T312" s="1434">
        <f t="shared" si="222"/>
        <v>-5.1221099266584365E-2</v>
      </c>
      <c r="U312" s="1437">
        <f t="shared" si="223"/>
        <v>-4.8907704652168094E-2</v>
      </c>
      <c r="V312" s="1437">
        <f t="shared" si="224"/>
        <v>-1.9547823966706568E-3</v>
      </c>
    </row>
    <row r="313" spans="1:23">
      <c r="A313" s="1207" t="s">
        <v>1348</v>
      </c>
      <c r="B313" s="1207"/>
      <c r="C313" s="1434">
        <f t="shared" ref="C313:K313" si="252">C95/C$172*100</f>
        <v>0.15497244730929166</v>
      </c>
      <c r="D313" s="1438">
        <f t="shared" si="252"/>
        <v>9.132830003978476E-2</v>
      </c>
      <c r="E313" s="1434">
        <f t="shared" si="252"/>
        <v>6.8666494359226365E-2</v>
      </c>
      <c r="F313" s="1434">
        <f t="shared" si="252"/>
        <v>5.9303250005163795E-2</v>
      </c>
      <c r="G313" s="1437">
        <f t="shared" si="252"/>
        <v>7.7304352850685681E-2</v>
      </c>
      <c r="H313" s="1438">
        <f t="shared" si="252"/>
        <v>9.0614732988169716E-2</v>
      </c>
      <c r="I313" s="1434">
        <f t="shared" si="252"/>
        <v>6.8129988720740706E-2</v>
      </c>
      <c r="J313" s="1434">
        <f t="shared" si="252"/>
        <v>5.8839901347201913E-2</v>
      </c>
      <c r="K313" s="1437">
        <f t="shared" si="252"/>
        <v>7.6700357822675272E-2</v>
      </c>
      <c r="L313" s="1434"/>
      <c r="M313" s="1438">
        <f t="shared" ref="M313:R322" si="253">M95/M$172*100</f>
        <v>0</v>
      </c>
      <c r="N313" s="1434">
        <f t="shared" si="253"/>
        <v>0</v>
      </c>
      <c r="O313" s="1439">
        <f t="shared" si="253"/>
        <v>9.0614732988169716E-2</v>
      </c>
      <c r="P313" s="1434">
        <f t="shared" si="253"/>
        <v>8.7401494484422956E-2</v>
      </c>
      <c r="Q313" s="1434">
        <f t="shared" si="253"/>
        <v>8.4196383519691054E-2</v>
      </c>
      <c r="R313" s="1434">
        <f t="shared" si="253"/>
        <v>8.039366426967974E-2</v>
      </c>
      <c r="S313" s="1438">
        <f t="shared" si="221"/>
        <v>-1.8735000125196591E-2</v>
      </c>
      <c r="T313" s="1434">
        <f t="shared" si="222"/>
        <v>-2.4893133514527259E-2</v>
      </c>
      <c r="U313" s="1437">
        <f t="shared" si="223"/>
        <v>-3.089311418994059E-3</v>
      </c>
      <c r="V313" s="1437">
        <f t="shared" si="224"/>
        <v>-3.2132385037467598E-3</v>
      </c>
    </row>
    <row r="314" spans="1:23">
      <c r="A314" s="1207" t="s">
        <v>1370</v>
      </c>
      <c r="B314" s="1207"/>
      <c r="C314" s="1434">
        <f t="shared" ref="C314:K314" si="254">C96/C$172*100</f>
        <v>3.2581565114836765E-2</v>
      </c>
      <c r="D314" s="1438">
        <f t="shared" si="254"/>
        <v>3.2689904296206385E-2</v>
      </c>
      <c r="E314" s="1434">
        <f t="shared" si="254"/>
        <v>0</v>
      </c>
      <c r="F314" s="1434">
        <f t="shared" si="254"/>
        <v>0</v>
      </c>
      <c r="G314" s="1437">
        <f t="shared" si="254"/>
        <v>0</v>
      </c>
      <c r="H314" s="1438">
        <f t="shared" si="254"/>
        <v>3.243449125757477E-2</v>
      </c>
      <c r="I314" s="1434">
        <f t="shared" si="254"/>
        <v>3.1104702279848115E-2</v>
      </c>
      <c r="J314" s="1434">
        <f t="shared" si="254"/>
        <v>2.9512980843743784E-2</v>
      </c>
      <c r="K314" s="1437">
        <f t="shared" si="254"/>
        <v>2.7729529902087859E-2</v>
      </c>
      <c r="L314" s="1434"/>
      <c r="M314" s="1438">
        <f t="shared" si="253"/>
        <v>0</v>
      </c>
      <c r="N314" s="1434">
        <f t="shared" si="253"/>
        <v>0</v>
      </c>
      <c r="O314" s="1439">
        <f t="shared" si="253"/>
        <v>3.243449125757477E-2</v>
      </c>
      <c r="P314" s="1434">
        <f t="shared" si="253"/>
        <v>3.1284349854279088E-2</v>
      </c>
      <c r="Q314" s="1434">
        <f t="shared" si="253"/>
        <v>3.0137117609179098E-2</v>
      </c>
      <c r="R314" s="1434">
        <f t="shared" si="253"/>
        <v>2.8775978419091703E-2</v>
      </c>
      <c r="S314" s="1438">
        <f t="shared" si="221"/>
        <v>-3.1284349854279088E-2</v>
      </c>
      <c r="T314" s="1434">
        <f t="shared" si="222"/>
        <v>-3.0137117609179098E-2</v>
      </c>
      <c r="U314" s="1437">
        <f t="shared" si="223"/>
        <v>-2.8775978419091703E-2</v>
      </c>
      <c r="V314" s="1437">
        <f t="shared" si="224"/>
        <v>-1.1501414032956819E-3</v>
      </c>
    </row>
    <row r="315" spans="1:23">
      <c r="A315" s="1207" t="s">
        <v>1285</v>
      </c>
      <c r="B315" s="1207"/>
      <c r="C315" s="1434">
        <f t="shared" ref="C315:K315" si="255">C97/C$172*100</f>
        <v>4.2159284762014897</v>
      </c>
      <c r="D315" s="1438">
        <f t="shared" si="255"/>
        <v>4.2771011674908728</v>
      </c>
      <c r="E315" s="1434">
        <f t="shared" si="255"/>
        <v>4.1768162936239683</v>
      </c>
      <c r="F315" s="1434">
        <f t="shared" si="255"/>
        <v>3.9035390157330574</v>
      </c>
      <c r="G315" s="1437">
        <f t="shared" si="255"/>
        <v>3.7047379613693505</v>
      </c>
      <c r="H315" s="1438">
        <f t="shared" si="255"/>
        <v>4.4752614375970623</v>
      </c>
      <c r="I315" s="1434">
        <f t="shared" si="255"/>
        <v>4.1330432001511781</v>
      </c>
      <c r="J315" s="1434">
        <f t="shared" si="255"/>
        <v>3.9427225056414299</v>
      </c>
      <c r="K315" s="1437">
        <f t="shared" si="255"/>
        <v>3.6720572549241095</v>
      </c>
      <c r="L315" s="1434"/>
      <c r="M315" s="1438">
        <f t="shared" si="253"/>
        <v>-4.6124701877630452E-2</v>
      </c>
      <c r="N315" s="1434">
        <f t="shared" si="253"/>
        <v>0.23157815337146548</v>
      </c>
      <c r="O315" s="1439">
        <f t="shared" si="253"/>
        <v>4.4291367357194318</v>
      </c>
      <c r="P315" s="1434">
        <f t="shared" si="253"/>
        <v>4.2861035831586358</v>
      </c>
      <c r="Q315" s="1434">
        <f t="shared" si="253"/>
        <v>4.1154157051974343</v>
      </c>
      <c r="R315" s="1434">
        <f t="shared" si="253"/>
        <v>3.9295434637811142</v>
      </c>
      <c r="S315" s="1438">
        <f t="shared" si="221"/>
        <v>-0.10928728953466749</v>
      </c>
      <c r="T315" s="1434">
        <f t="shared" si="222"/>
        <v>-0.21187668946437688</v>
      </c>
      <c r="U315" s="1437">
        <f t="shared" si="223"/>
        <v>-0.22480550241176367</v>
      </c>
      <c r="V315" s="1437">
        <f t="shared" si="224"/>
        <v>-0.14303315256079596</v>
      </c>
    </row>
    <row r="316" spans="1:23">
      <c r="A316" s="1445" t="s">
        <v>820</v>
      </c>
      <c r="B316" s="1445"/>
      <c r="C316" s="1442">
        <f t="shared" ref="C316:K316" si="256">C98/C$172*100</f>
        <v>19.012632552843211</v>
      </c>
      <c r="D316" s="1443">
        <f t="shared" si="256"/>
        <v>19.12094341339192</v>
      </c>
      <c r="E316" s="1442">
        <f t="shared" si="256"/>
        <v>18.622147858680357</v>
      </c>
      <c r="F316" s="1442">
        <f t="shared" si="256"/>
        <v>18.186021224629105</v>
      </c>
      <c r="G316" s="1441">
        <f t="shared" si="256"/>
        <v>17.690991612736212</v>
      </c>
      <c r="H316" s="1443">
        <f t="shared" si="256"/>
        <v>19.017901311915676</v>
      </c>
      <c r="I316" s="1442">
        <f t="shared" si="256"/>
        <v>18.616241251954264</v>
      </c>
      <c r="J316" s="1442">
        <f t="shared" si="256"/>
        <v>18.108761114439758</v>
      </c>
      <c r="K316" s="1441">
        <f t="shared" si="256"/>
        <v>17.523835201151616</v>
      </c>
      <c r="L316" s="1442"/>
      <c r="M316" s="1443">
        <f t="shared" si="253"/>
        <v>-0.17753052233167932</v>
      </c>
      <c r="N316" s="1442">
        <f t="shared" si="253"/>
        <v>4.6353816433625621E-2</v>
      </c>
      <c r="O316" s="1444">
        <f t="shared" si="253"/>
        <v>18.840370789583996</v>
      </c>
      <c r="P316" s="1442">
        <f t="shared" si="253"/>
        <v>18.539888400988556</v>
      </c>
      <c r="Q316" s="1442">
        <f t="shared" si="253"/>
        <v>18.167047817264208</v>
      </c>
      <c r="R316" s="1442">
        <f t="shared" si="253"/>
        <v>17.717933472367374</v>
      </c>
      <c r="S316" s="1443">
        <f t="shared" si="221"/>
        <v>8.225945769180143E-2</v>
      </c>
      <c r="T316" s="1442">
        <f t="shared" si="222"/>
        <v>1.8973407364896389E-2</v>
      </c>
      <c r="U316" s="1441">
        <f t="shared" si="223"/>
        <v>-2.6941859631161691E-2</v>
      </c>
      <c r="V316" s="1441">
        <f t="shared" si="224"/>
        <v>-0.30048238859544085</v>
      </c>
      <c r="W316" s="1440"/>
    </row>
    <row r="317" spans="1:23">
      <c r="A317" s="1207" t="s">
        <v>1393</v>
      </c>
      <c r="B317" s="1207"/>
      <c r="C317" s="1434">
        <f t="shared" ref="C317:K317" si="257">C99/C$172*100</f>
        <v>8.0793025854667171</v>
      </c>
      <c r="D317" s="1438">
        <f t="shared" si="257"/>
        <v>8.0766137459884177</v>
      </c>
      <c r="E317" s="1434">
        <f t="shared" si="257"/>
        <v>8.0718278393253282</v>
      </c>
      <c r="F317" s="1434">
        <f t="shared" si="257"/>
        <v>7.8424007698508822</v>
      </c>
      <c r="G317" s="1437">
        <f t="shared" si="257"/>
        <v>7.5967435502337048</v>
      </c>
      <c r="H317" s="1438">
        <f t="shared" si="257"/>
        <v>8.0135094786884924</v>
      </c>
      <c r="I317" s="1434">
        <f t="shared" si="257"/>
        <v>8.0087609653120992</v>
      </c>
      <c r="J317" s="1434">
        <f t="shared" si="257"/>
        <v>7.781126457370652</v>
      </c>
      <c r="K317" s="1437">
        <f t="shared" si="257"/>
        <v>7.5373886088337825</v>
      </c>
      <c r="L317" s="1434"/>
      <c r="M317" s="1438">
        <f t="shared" si="253"/>
        <v>0</v>
      </c>
      <c r="N317" s="1434">
        <f t="shared" si="253"/>
        <v>0</v>
      </c>
      <c r="O317" s="1439">
        <f t="shared" si="253"/>
        <v>8.0135094786884924</v>
      </c>
      <c r="P317" s="1434">
        <f t="shared" si="253"/>
        <v>7.8552756668746992</v>
      </c>
      <c r="Q317" s="1434">
        <f t="shared" si="253"/>
        <v>7.6263810949725341</v>
      </c>
      <c r="R317" s="1434">
        <f t="shared" si="253"/>
        <v>7.3548592310861336</v>
      </c>
      <c r="S317" s="1438">
        <f t="shared" si="221"/>
        <v>0.21655217245062897</v>
      </c>
      <c r="T317" s="1434">
        <f t="shared" si="222"/>
        <v>0.21601967487834806</v>
      </c>
      <c r="U317" s="1437">
        <f t="shared" si="223"/>
        <v>0.24188431914757125</v>
      </c>
      <c r="V317" s="1437">
        <f t="shared" si="224"/>
        <v>-0.15823381181379315</v>
      </c>
    </row>
    <row r="318" spans="1:23">
      <c r="A318" s="1207" t="s">
        <v>1392</v>
      </c>
      <c r="B318" s="1207"/>
      <c r="C318" s="1434">
        <f t="shared" ref="C318:K318" si="258">C100/C$172*100</f>
        <v>0.52752527565399521</v>
      </c>
      <c r="D318" s="1438">
        <f t="shared" si="258"/>
        <v>0.57762344546602384</v>
      </c>
      <c r="E318" s="1434">
        <f t="shared" si="258"/>
        <v>0.60623598104788801</v>
      </c>
      <c r="F318" s="1434">
        <f t="shared" si="258"/>
        <v>0.61329881186763624</v>
      </c>
      <c r="G318" s="1437">
        <f t="shared" si="258"/>
        <v>0.61318404521387271</v>
      </c>
      <c r="H318" s="1438">
        <f t="shared" si="258"/>
        <v>0.57311035304291558</v>
      </c>
      <c r="I318" s="1434">
        <f t="shared" si="258"/>
        <v>0.60149933291810953</v>
      </c>
      <c r="J318" s="1434">
        <f t="shared" si="258"/>
        <v>0.60850698036795048</v>
      </c>
      <c r="K318" s="1437">
        <f t="shared" si="258"/>
        <v>0.60839311040998334</v>
      </c>
      <c r="L318" s="1434"/>
      <c r="M318" s="1438">
        <f t="shared" si="253"/>
        <v>0</v>
      </c>
      <c r="N318" s="1434">
        <f t="shared" si="253"/>
        <v>0</v>
      </c>
      <c r="O318" s="1439">
        <f t="shared" si="253"/>
        <v>0.57311035304291558</v>
      </c>
      <c r="P318" s="1434">
        <f t="shared" si="253"/>
        <v>0.57581467816915854</v>
      </c>
      <c r="Q318" s="1434">
        <f t="shared" si="253"/>
        <v>0.57661856295042391</v>
      </c>
      <c r="R318" s="1434">
        <f t="shared" si="253"/>
        <v>0.5739857117976066</v>
      </c>
      <c r="S318" s="1438">
        <f t="shared" si="221"/>
        <v>3.0421302878729461E-2</v>
      </c>
      <c r="T318" s="1434">
        <f t="shared" si="222"/>
        <v>3.6680248917212332E-2</v>
      </c>
      <c r="U318" s="1437">
        <f t="shared" si="223"/>
        <v>3.9198333416266107E-2</v>
      </c>
      <c r="V318" s="1437">
        <f t="shared" si="224"/>
        <v>2.7043251262429679E-3</v>
      </c>
    </row>
    <row r="319" spans="1:23">
      <c r="A319" s="1207" t="s">
        <v>1391</v>
      </c>
      <c r="B319" s="1207" t="s">
        <v>1390</v>
      </c>
      <c r="C319" s="1434">
        <f t="shared" ref="C319:K319" si="259">C101/C$172*100</f>
        <v>5.5764968431326688E-2</v>
      </c>
      <c r="D319" s="1438">
        <f t="shared" si="259"/>
        <v>5.6181544153895702E-2</v>
      </c>
      <c r="E319" s="1434">
        <f t="shared" si="259"/>
        <v>5.6612948704063096E-2</v>
      </c>
      <c r="F319" s="1434">
        <f t="shared" si="259"/>
        <v>5.6559277240333286E-2</v>
      </c>
      <c r="G319" s="1437">
        <f t="shared" si="259"/>
        <v>5.6050750567594051E-2</v>
      </c>
      <c r="H319" s="1438">
        <f t="shared" si="259"/>
        <v>5.5742586034675135E-2</v>
      </c>
      <c r="I319" s="1434">
        <f t="shared" si="259"/>
        <v>5.6170619931137367E-2</v>
      </c>
      <c r="J319" s="1434">
        <f t="shared" si="259"/>
        <v>5.6117367813745024E-2</v>
      </c>
      <c r="K319" s="1437">
        <f t="shared" si="259"/>
        <v>5.5612814365935799E-2</v>
      </c>
      <c r="L319" s="1434"/>
      <c r="M319" s="1438">
        <f t="shared" si="253"/>
        <v>0</v>
      </c>
      <c r="N319" s="1434">
        <f t="shared" si="253"/>
        <v>0</v>
      </c>
      <c r="O319" s="1439">
        <f t="shared" si="253"/>
        <v>5.5742586034675135E-2</v>
      </c>
      <c r="P319" s="1434">
        <f t="shared" si="253"/>
        <v>5.441192702304623E-2</v>
      </c>
      <c r="Q319" s="1434">
        <f t="shared" si="253"/>
        <v>5.3130587513524556E-2</v>
      </c>
      <c r="R319" s="1434">
        <f t="shared" si="253"/>
        <v>5.1481434595211879E-2</v>
      </c>
      <c r="S319" s="1438">
        <f t="shared" ref="S319:S350" si="260">E319-P319</f>
        <v>2.2010216810168654E-3</v>
      </c>
      <c r="T319" s="1434">
        <f t="shared" ref="T319:T350" si="261">F319-Q319</f>
        <v>3.4286897268087299E-3</v>
      </c>
      <c r="U319" s="1437">
        <f t="shared" ref="U319:U350" si="262">G319-R319</f>
        <v>4.5693159723821722E-3</v>
      </c>
      <c r="V319" s="1437">
        <f t="shared" ref="V319:V350" si="263">P319-O319</f>
        <v>-1.3306590116289041E-3</v>
      </c>
    </row>
    <row r="320" spans="1:23">
      <c r="A320" s="1207" t="s">
        <v>1389</v>
      </c>
      <c r="B320" s="1207" t="s">
        <v>1388</v>
      </c>
      <c r="C320" s="1434">
        <f t="shared" ref="C320:K320" si="264">C102/C$172*100</f>
        <v>0.20159279359882876</v>
      </c>
      <c r="D320" s="1438">
        <f t="shared" si="264"/>
        <v>0.19851565443634506</v>
      </c>
      <c r="E320" s="1434">
        <f t="shared" si="264"/>
        <v>0.18228059824588982</v>
      </c>
      <c r="F320" s="1434">
        <f t="shared" si="264"/>
        <v>0.15532987038460117</v>
      </c>
      <c r="G320" s="1437">
        <f t="shared" si="264"/>
        <v>0.13108369366569203</v>
      </c>
      <c r="H320" s="1438">
        <f t="shared" si="264"/>
        <v>0.19696461023456027</v>
      </c>
      <c r="I320" s="1434">
        <f t="shared" si="264"/>
        <v>0.18085640192338864</v>
      </c>
      <c r="J320" s="1434">
        <f t="shared" si="264"/>
        <v>0.15411624571853599</v>
      </c>
      <c r="K320" s="1437">
        <f t="shared" si="264"/>
        <v>0.13005950943404543</v>
      </c>
      <c r="L320" s="1434"/>
      <c r="M320" s="1438">
        <f t="shared" si="253"/>
        <v>0</v>
      </c>
      <c r="N320" s="1434">
        <f t="shared" si="253"/>
        <v>0</v>
      </c>
      <c r="O320" s="1439">
        <f t="shared" si="253"/>
        <v>0.19696461023456027</v>
      </c>
      <c r="P320" s="1434">
        <f t="shared" si="253"/>
        <v>0.16555237230148048</v>
      </c>
      <c r="Q320" s="1434">
        <f t="shared" si="253"/>
        <v>0.14019093619211476</v>
      </c>
      <c r="R320" s="1434">
        <f t="shared" si="253"/>
        <v>0.11547222132157423</v>
      </c>
      <c r="S320" s="1438">
        <f t="shared" si="260"/>
        <v>1.6728225944409342E-2</v>
      </c>
      <c r="T320" s="1434">
        <f t="shared" si="261"/>
        <v>1.5138934192486408E-2</v>
      </c>
      <c r="U320" s="1437">
        <f t="shared" si="262"/>
        <v>1.5611472344117805E-2</v>
      </c>
      <c r="V320" s="1437">
        <f t="shared" si="263"/>
        <v>-3.141223793307979E-2</v>
      </c>
    </row>
    <row r="321" spans="1:23">
      <c r="A321" s="1207" t="s">
        <v>1387</v>
      </c>
      <c r="B321" s="1207"/>
      <c r="C321" s="1434">
        <f t="shared" ref="C321:K321" si="265">C103/C$172*100</f>
        <v>5.0744532671797637</v>
      </c>
      <c r="D321" s="1438">
        <f t="shared" si="265"/>
        <v>5.1749107975419957</v>
      </c>
      <c r="E321" s="1434">
        <f t="shared" si="265"/>
        <v>5.0265658172987431</v>
      </c>
      <c r="F321" s="1434">
        <f t="shared" si="265"/>
        <v>5.0118483101266422</v>
      </c>
      <c r="G321" s="1437">
        <f t="shared" si="265"/>
        <v>4.9644184432637877</v>
      </c>
      <c r="H321" s="1438">
        <f t="shared" si="265"/>
        <v>5.1930267638758032</v>
      </c>
      <c r="I321" s="1434">
        <f t="shared" si="265"/>
        <v>5.1686264757589324</v>
      </c>
      <c r="J321" s="1434">
        <f t="shared" si="265"/>
        <v>5.0706622133255514</v>
      </c>
      <c r="K321" s="1437">
        <f t="shared" si="265"/>
        <v>4.9280137568293814</v>
      </c>
      <c r="L321" s="1434"/>
      <c r="M321" s="1438">
        <f t="shared" si="253"/>
        <v>0</v>
      </c>
      <c r="N321" s="1434">
        <f t="shared" si="253"/>
        <v>5.8548623446271937E-2</v>
      </c>
      <c r="O321" s="1439">
        <f t="shared" si="253"/>
        <v>5.1930267638758032</v>
      </c>
      <c r="P321" s="1434">
        <f t="shared" si="253"/>
        <v>5.2246665911911814</v>
      </c>
      <c r="Q321" s="1434">
        <f t="shared" si="253"/>
        <v>5.2662826093091999</v>
      </c>
      <c r="R321" s="1434">
        <f t="shared" si="253"/>
        <v>5.3039714137537555</v>
      </c>
      <c r="S321" s="1438">
        <f t="shared" si="260"/>
        <v>-0.1981007738924383</v>
      </c>
      <c r="T321" s="1434">
        <f t="shared" si="261"/>
        <v>-0.25443429918255767</v>
      </c>
      <c r="U321" s="1437">
        <f t="shared" si="262"/>
        <v>-0.3395529704899678</v>
      </c>
      <c r="V321" s="1437">
        <f t="shared" si="263"/>
        <v>3.1639827315378177E-2</v>
      </c>
    </row>
    <row r="322" spans="1:23">
      <c r="A322" s="1207" t="s">
        <v>1386</v>
      </c>
      <c r="B322" s="1207"/>
      <c r="C322" s="1434">
        <f t="shared" ref="C322:K322" si="266">C104/C$172*100</f>
        <v>1.6983764884299029</v>
      </c>
      <c r="D322" s="1438">
        <f t="shared" si="266"/>
        <v>1.671078459271081</v>
      </c>
      <c r="E322" s="1434">
        <f t="shared" si="266"/>
        <v>1.6245586074810272</v>
      </c>
      <c r="F322" s="1434">
        <f t="shared" si="266"/>
        <v>1.552198243114403</v>
      </c>
      <c r="G322" s="1437">
        <f t="shared" si="266"/>
        <v>1.4738142249063177</v>
      </c>
      <c r="H322" s="1438">
        <f t="shared" si="266"/>
        <v>1.6458271678096932</v>
      </c>
      <c r="I322" s="1434">
        <f t="shared" si="266"/>
        <v>1.5851683050485688</v>
      </c>
      <c r="J322" s="1434">
        <f t="shared" si="266"/>
        <v>1.5246029277398867</v>
      </c>
      <c r="K322" s="1437">
        <f t="shared" si="266"/>
        <v>1.4514519386552576</v>
      </c>
      <c r="L322" s="1434"/>
      <c r="M322" s="1438">
        <f t="shared" si="253"/>
        <v>0</v>
      </c>
      <c r="N322" s="1434">
        <f t="shared" si="253"/>
        <v>-1.219480701264632E-2</v>
      </c>
      <c r="O322" s="1439">
        <f t="shared" si="253"/>
        <v>1.6458271678096932</v>
      </c>
      <c r="P322" s="1434">
        <f t="shared" si="253"/>
        <v>1.5858915134244964</v>
      </c>
      <c r="Q322" s="1434">
        <f t="shared" si="253"/>
        <v>1.5247285176640264</v>
      </c>
      <c r="R322" s="1434">
        <f t="shared" si="253"/>
        <v>1.4530124991791888</v>
      </c>
      <c r="S322" s="1438">
        <f t="shared" si="260"/>
        <v>3.8667094056530793E-2</v>
      </c>
      <c r="T322" s="1434">
        <f t="shared" si="261"/>
        <v>2.7469725450376625E-2</v>
      </c>
      <c r="U322" s="1437">
        <f t="shared" si="262"/>
        <v>2.0801725727128906E-2</v>
      </c>
      <c r="V322" s="1437">
        <f t="shared" si="263"/>
        <v>-5.9935654385196768E-2</v>
      </c>
    </row>
    <row r="323" spans="1:23">
      <c r="A323" s="1207" t="s">
        <v>1385</v>
      </c>
      <c r="B323" s="1207"/>
      <c r="C323" s="1434">
        <f t="shared" ref="C323:K323" si="267">C105/C$172*100</f>
        <v>0.29657914393484963</v>
      </c>
      <c r="D323" s="1438">
        <f t="shared" si="267"/>
        <v>0.27458973349351495</v>
      </c>
      <c r="E323" s="1434">
        <f t="shared" si="267"/>
        <v>0.24634589930880904</v>
      </c>
      <c r="F323" s="1434">
        <f t="shared" si="267"/>
        <v>0.24051480810174419</v>
      </c>
      <c r="G323" s="1437">
        <f t="shared" si="267"/>
        <v>0.24059893156876513</v>
      </c>
      <c r="H323" s="1438">
        <f t="shared" si="267"/>
        <v>0.27244430664940017</v>
      </c>
      <c r="I323" s="1434">
        <f t="shared" si="267"/>
        <v>0.24442114743046831</v>
      </c>
      <c r="J323" s="1434">
        <f t="shared" si="267"/>
        <v>0.23863561575487963</v>
      </c>
      <c r="K323" s="1437">
        <f t="shared" si="267"/>
        <v>0.2387190819477116</v>
      </c>
      <c r="L323" s="1434"/>
      <c r="M323" s="1438">
        <f t="shared" ref="M323:R332" si="268">M105/M$172*100</f>
        <v>0</v>
      </c>
      <c r="N323" s="1434">
        <f t="shared" si="268"/>
        <v>0</v>
      </c>
      <c r="O323" s="1439">
        <f t="shared" si="268"/>
        <v>0.27244430664940017</v>
      </c>
      <c r="P323" s="1434">
        <f t="shared" si="268"/>
        <v>0.26812834889041087</v>
      </c>
      <c r="Q323" s="1434">
        <f t="shared" si="268"/>
        <v>0.26135820310215191</v>
      </c>
      <c r="R323" s="1434">
        <f t="shared" si="268"/>
        <v>0.25292198333148758</v>
      </c>
      <c r="S323" s="1438">
        <f t="shared" si="260"/>
        <v>-2.1782449581601832E-2</v>
      </c>
      <c r="T323" s="1434">
        <f t="shared" si="261"/>
        <v>-2.0843395000407716E-2</v>
      </c>
      <c r="U323" s="1437">
        <f t="shared" si="262"/>
        <v>-1.2323051762722442E-2</v>
      </c>
      <c r="V323" s="1437">
        <f t="shared" si="263"/>
        <v>-4.3159577589892972E-3</v>
      </c>
      <c r="W323" s="1440"/>
    </row>
    <row r="324" spans="1:23">
      <c r="A324" s="1207" t="s">
        <v>1384</v>
      </c>
      <c r="B324" s="1207"/>
      <c r="C324" s="1434">
        <f t="shared" ref="C324:K324" si="269">C106/C$172*100</f>
        <v>1.7142458201119388</v>
      </c>
      <c r="D324" s="1438">
        <f t="shared" si="269"/>
        <v>1.6818298386795789</v>
      </c>
      <c r="E324" s="1434">
        <f t="shared" si="269"/>
        <v>1.5435678218436271</v>
      </c>
      <c r="F324" s="1434">
        <f t="shared" si="269"/>
        <v>1.5073221918839543</v>
      </c>
      <c r="G324" s="1437">
        <f t="shared" si="269"/>
        <v>1.4657555730348131</v>
      </c>
      <c r="H324" s="1438">
        <f t="shared" si="269"/>
        <v>1.6686893514616847</v>
      </c>
      <c r="I324" s="1434">
        <f t="shared" si="269"/>
        <v>1.5315076045931035</v>
      </c>
      <c r="J324" s="1434">
        <f t="shared" si="269"/>
        <v>1.4955451692980963</v>
      </c>
      <c r="K324" s="1437">
        <f t="shared" si="269"/>
        <v>1.4543033191093251</v>
      </c>
      <c r="L324" s="1434"/>
      <c r="M324" s="1438">
        <f t="shared" si="268"/>
        <v>-0.11840418530066688</v>
      </c>
      <c r="N324" s="1434">
        <f t="shared" si="268"/>
        <v>0</v>
      </c>
      <c r="O324" s="1439">
        <f t="shared" si="268"/>
        <v>1.550285166161018</v>
      </c>
      <c r="P324" s="1434">
        <f t="shared" si="268"/>
        <v>1.5257261457365277</v>
      </c>
      <c r="Q324" s="1434">
        <f t="shared" si="268"/>
        <v>1.4872021012543211</v>
      </c>
      <c r="R324" s="1434">
        <f t="shared" si="268"/>
        <v>1.4391976245604274</v>
      </c>
      <c r="S324" s="1438">
        <f t="shared" si="260"/>
        <v>1.7841676107099413E-2</v>
      </c>
      <c r="T324" s="1434">
        <f t="shared" si="261"/>
        <v>2.0120090629633269E-2</v>
      </c>
      <c r="U324" s="1437">
        <f t="shared" si="262"/>
        <v>2.655794847438564E-2</v>
      </c>
      <c r="V324" s="1437">
        <f t="shared" si="263"/>
        <v>-2.4559020424490319E-2</v>
      </c>
      <c r="W324" s="1440"/>
    </row>
    <row r="325" spans="1:23">
      <c r="A325" s="1207" t="s">
        <v>1363</v>
      </c>
      <c r="B325" s="1207"/>
      <c r="C325" s="1434">
        <f t="shared" ref="C325:K325" si="270">C107/C$172*100</f>
        <v>8.6322775704830354E-4</v>
      </c>
      <c r="D325" s="1438">
        <f t="shared" si="270"/>
        <v>6.8282432732951718E-4</v>
      </c>
      <c r="E325" s="1434">
        <f t="shared" si="270"/>
        <v>0</v>
      </c>
      <c r="F325" s="1434">
        <f t="shared" si="270"/>
        <v>0</v>
      </c>
      <c r="G325" s="1437">
        <f t="shared" si="270"/>
        <v>0</v>
      </c>
      <c r="H325" s="1438">
        <f t="shared" si="270"/>
        <v>6.7748927848035117E-4</v>
      </c>
      <c r="I325" s="1434">
        <f t="shared" si="270"/>
        <v>0</v>
      </c>
      <c r="J325" s="1434">
        <f t="shared" si="270"/>
        <v>0</v>
      </c>
      <c r="K325" s="1437">
        <f t="shared" si="270"/>
        <v>0</v>
      </c>
      <c r="L325" s="1434"/>
      <c r="M325" s="1438">
        <f t="shared" si="268"/>
        <v>0</v>
      </c>
      <c r="N325" s="1434">
        <f t="shared" si="268"/>
        <v>0</v>
      </c>
      <c r="O325" s="1439">
        <f t="shared" si="268"/>
        <v>6.7748927848035117E-4</v>
      </c>
      <c r="P325" s="1434">
        <f t="shared" si="268"/>
        <v>0</v>
      </c>
      <c r="Q325" s="1434">
        <f t="shared" si="268"/>
        <v>0</v>
      </c>
      <c r="R325" s="1434">
        <f t="shared" si="268"/>
        <v>0</v>
      </c>
      <c r="S325" s="1438">
        <f t="shared" si="260"/>
        <v>0</v>
      </c>
      <c r="T325" s="1434">
        <f t="shared" si="261"/>
        <v>0</v>
      </c>
      <c r="U325" s="1437">
        <f t="shared" si="262"/>
        <v>0</v>
      </c>
      <c r="V325" s="1437">
        <f t="shared" si="263"/>
        <v>-6.7748927848035117E-4</v>
      </c>
    </row>
    <row r="326" spans="1:23">
      <c r="A326" s="1207" t="s">
        <v>1159</v>
      </c>
      <c r="B326" s="1207"/>
      <c r="C326" s="1434">
        <f t="shared" ref="C326:K326" si="271">C108/C$172*100</f>
        <v>2.4054015143812842E-2</v>
      </c>
      <c r="D326" s="1438">
        <f t="shared" si="271"/>
        <v>1.5296506430958146E-2</v>
      </c>
      <c r="E326" s="1434">
        <f t="shared" si="271"/>
        <v>2.9524331390194381E-2</v>
      </c>
      <c r="F326" s="1434">
        <f t="shared" si="271"/>
        <v>3.0036011642702237E-2</v>
      </c>
      <c r="G326" s="1437">
        <f t="shared" si="271"/>
        <v>3.4694112255655475E-2</v>
      </c>
      <c r="H326" s="1438">
        <f t="shared" si="271"/>
        <v>1.5176991636648009E-2</v>
      </c>
      <c r="I326" s="1434">
        <f t="shared" si="271"/>
        <v>1.4248791116916487E-2</v>
      </c>
      <c r="J326" s="1434">
        <f t="shared" si="271"/>
        <v>1.2127547481269523E-2</v>
      </c>
      <c r="K326" s="1437">
        <f t="shared" si="271"/>
        <v>1.395375303644617E-2</v>
      </c>
      <c r="L326" s="1434"/>
      <c r="M326" s="1438">
        <f t="shared" si="268"/>
        <v>0</v>
      </c>
      <c r="N326" s="1434">
        <f t="shared" si="268"/>
        <v>0</v>
      </c>
      <c r="O326" s="1439">
        <f t="shared" si="268"/>
        <v>1.5176991636648009E-2</v>
      </c>
      <c r="P326" s="1434">
        <f t="shared" si="268"/>
        <v>1.4208578883158362E-2</v>
      </c>
      <c r="Q326" s="1434">
        <f t="shared" si="268"/>
        <v>1.2081666299873242E-2</v>
      </c>
      <c r="R326" s="1434">
        <f t="shared" si="268"/>
        <v>1.3836257273349938E-2</v>
      </c>
      <c r="S326" s="1438">
        <f t="shared" si="260"/>
        <v>1.5315752507036019E-2</v>
      </c>
      <c r="T326" s="1434">
        <f t="shared" si="261"/>
        <v>1.7954345342828994E-2</v>
      </c>
      <c r="U326" s="1437">
        <f t="shared" si="262"/>
        <v>2.0857854982305538E-2</v>
      </c>
      <c r="V326" s="1437">
        <f t="shared" si="263"/>
        <v>-9.684127534896475E-4</v>
      </c>
    </row>
    <row r="327" spans="1:23">
      <c r="A327" s="1207" t="s">
        <v>1383</v>
      </c>
      <c r="B327" s="1207"/>
      <c r="C327" s="1434">
        <f t="shared" ref="C327:K327" si="272">C109/C$172*100</f>
        <v>0.21713757027969535</v>
      </c>
      <c r="D327" s="1438">
        <f t="shared" si="272"/>
        <v>0.20706089051817975</v>
      </c>
      <c r="E327" s="1434">
        <f t="shared" si="272"/>
        <v>0.20996796148696212</v>
      </c>
      <c r="F327" s="1434">
        <f t="shared" si="272"/>
        <v>0.19797949894096648</v>
      </c>
      <c r="G327" s="1437">
        <f t="shared" si="272"/>
        <v>0.18636280176126213</v>
      </c>
      <c r="H327" s="1438">
        <f t="shared" si="272"/>
        <v>0.20544308060506983</v>
      </c>
      <c r="I327" s="1434">
        <f t="shared" si="272"/>
        <v>0.20832743802220252</v>
      </c>
      <c r="J327" s="1434">
        <f t="shared" si="272"/>
        <v>0.19643264383386402</v>
      </c>
      <c r="K327" s="1437">
        <f t="shared" si="272"/>
        <v>0.18490671033149092</v>
      </c>
      <c r="L327" s="1434"/>
      <c r="M327" s="1438">
        <f t="shared" si="268"/>
        <v>0</v>
      </c>
      <c r="N327" s="1434">
        <f t="shared" si="268"/>
        <v>0</v>
      </c>
      <c r="O327" s="1439">
        <f t="shared" si="268"/>
        <v>0.20544308060506983</v>
      </c>
      <c r="P327" s="1434">
        <f t="shared" si="268"/>
        <v>0.19815797811500624</v>
      </c>
      <c r="Q327" s="1434">
        <f t="shared" si="268"/>
        <v>0.19089130250319844</v>
      </c>
      <c r="R327" s="1434">
        <f t="shared" si="268"/>
        <v>0.18226972043110296</v>
      </c>
      <c r="S327" s="1438">
        <f t="shared" si="260"/>
        <v>1.1809983371955879E-2</v>
      </c>
      <c r="T327" s="1434">
        <f t="shared" si="261"/>
        <v>7.0881964377680351E-3</v>
      </c>
      <c r="U327" s="1437">
        <f t="shared" si="262"/>
        <v>4.0930813301591762E-3</v>
      </c>
      <c r="V327" s="1437">
        <f t="shared" si="263"/>
        <v>-7.2851024900635886E-3</v>
      </c>
    </row>
    <row r="328" spans="1:23">
      <c r="A328" s="1207" t="s">
        <v>1382</v>
      </c>
      <c r="B328" s="1207" t="s">
        <v>1381</v>
      </c>
      <c r="C328" s="1434">
        <f t="shared" ref="C328:K328" si="273">C110/C$172*100</f>
        <v>0.33340789165997337</v>
      </c>
      <c r="D328" s="1438">
        <f t="shared" si="273"/>
        <v>0.31161122702254451</v>
      </c>
      <c r="E328" s="1434">
        <f t="shared" si="273"/>
        <v>0.30019269052466147</v>
      </c>
      <c r="F328" s="1434">
        <f t="shared" si="273"/>
        <v>0.28833855597698904</v>
      </c>
      <c r="G328" s="1437">
        <f t="shared" si="273"/>
        <v>0.27558144174876881</v>
      </c>
      <c r="H328" s="1438">
        <f t="shared" si="273"/>
        <v>0.30917654352991675</v>
      </c>
      <c r="I328" s="1434">
        <f t="shared" si="273"/>
        <v>0.29784722243863831</v>
      </c>
      <c r="J328" s="1434">
        <f t="shared" si="273"/>
        <v>0.28608570671596251</v>
      </c>
      <c r="K328" s="1437">
        <f t="shared" si="273"/>
        <v>0.27342826648126867</v>
      </c>
      <c r="L328" s="1434"/>
      <c r="M328" s="1438">
        <f t="shared" si="268"/>
        <v>0</v>
      </c>
      <c r="N328" s="1434">
        <f t="shared" si="268"/>
        <v>0</v>
      </c>
      <c r="O328" s="1439">
        <f t="shared" si="268"/>
        <v>0.30917654352991675</v>
      </c>
      <c r="P328" s="1434">
        <f t="shared" si="268"/>
        <v>0.29700665273453958</v>
      </c>
      <c r="Q328" s="1434">
        <f t="shared" si="268"/>
        <v>0.28500338151995808</v>
      </c>
      <c r="R328" s="1434">
        <f t="shared" si="268"/>
        <v>0.27112589931607778</v>
      </c>
      <c r="S328" s="1438">
        <f t="shared" si="260"/>
        <v>3.1860377901218873E-3</v>
      </c>
      <c r="T328" s="1434">
        <f t="shared" si="261"/>
        <v>3.3351744570309649E-3</v>
      </c>
      <c r="U328" s="1437">
        <f t="shared" si="262"/>
        <v>4.4555424326910287E-3</v>
      </c>
      <c r="V328" s="1437">
        <f t="shared" si="263"/>
        <v>-1.216989079537717E-2</v>
      </c>
    </row>
    <row r="329" spans="1:23">
      <c r="A329" s="1207" t="s">
        <v>1380</v>
      </c>
      <c r="B329" s="1207"/>
      <c r="C329" s="1434">
        <f t="shared" ref="C329:K329" si="274">C111/C$172*100</f>
        <v>0</v>
      </c>
      <c r="D329" s="1438">
        <f t="shared" si="274"/>
        <v>5.9591941294212407E-2</v>
      </c>
      <c r="E329" s="1434">
        <f t="shared" si="274"/>
        <v>0</v>
      </c>
      <c r="F329" s="1434">
        <f t="shared" si="274"/>
        <v>0</v>
      </c>
      <c r="G329" s="1437">
        <f t="shared" si="274"/>
        <v>0</v>
      </c>
      <c r="H329" s="1438">
        <f t="shared" si="274"/>
        <v>5.9126337031012458E-2</v>
      </c>
      <c r="I329" s="1434">
        <f t="shared" si="274"/>
        <v>0</v>
      </c>
      <c r="J329" s="1434">
        <f t="shared" si="274"/>
        <v>0</v>
      </c>
      <c r="K329" s="1437">
        <f t="shared" si="274"/>
        <v>0</v>
      </c>
      <c r="L329" s="1434"/>
      <c r="M329" s="1438">
        <f t="shared" si="268"/>
        <v>-5.9126337031012458E-2</v>
      </c>
      <c r="N329" s="1434">
        <f t="shared" si="268"/>
        <v>0</v>
      </c>
      <c r="O329" s="1439">
        <f t="shared" si="268"/>
        <v>0</v>
      </c>
      <c r="P329" s="1434">
        <f t="shared" si="268"/>
        <v>0</v>
      </c>
      <c r="Q329" s="1434">
        <f t="shared" si="268"/>
        <v>0</v>
      </c>
      <c r="R329" s="1434">
        <f t="shared" si="268"/>
        <v>0</v>
      </c>
      <c r="S329" s="1438">
        <f t="shared" si="260"/>
        <v>0</v>
      </c>
      <c r="T329" s="1434">
        <f t="shared" si="261"/>
        <v>0</v>
      </c>
      <c r="U329" s="1437">
        <f t="shared" si="262"/>
        <v>0</v>
      </c>
      <c r="V329" s="1437">
        <f t="shared" si="263"/>
        <v>0</v>
      </c>
    </row>
    <row r="330" spans="1:23">
      <c r="A330" s="1207" t="s">
        <v>1352</v>
      </c>
      <c r="B330" s="1207"/>
      <c r="C330" s="1434">
        <f t="shared" ref="C330:K330" si="275">C112/C$172*100</f>
        <v>0</v>
      </c>
      <c r="D330" s="1438">
        <f t="shared" si="275"/>
        <v>1.2750192439407526E-3</v>
      </c>
      <c r="E330" s="1434">
        <f t="shared" si="275"/>
        <v>1.7263675209440903E-3</v>
      </c>
      <c r="F330" s="1434">
        <f t="shared" si="275"/>
        <v>1.6380240876921579E-3</v>
      </c>
      <c r="G330" s="1437">
        <f t="shared" si="275"/>
        <v>1.5390393183421331E-3</v>
      </c>
      <c r="H330" s="1438">
        <f t="shared" si="275"/>
        <v>1.2650572527260374E-3</v>
      </c>
      <c r="I330" s="1434">
        <f t="shared" si="275"/>
        <v>1.712879051527848E-3</v>
      </c>
      <c r="J330" s="1434">
        <f t="shared" si="275"/>
        <v>1.625225863940925E-3</v>
      </c>
      <c r="K330" s="1437">
        <f t="shared" si="275"/>
        <v>1.5270144832337316E-3</v>
      </c>
      <c r="L330" s="1434"/>
      <c r="M330" s="1438">
        <f t="shared" si="268"/>
        <v>0</v>
      </c>
      <c r="N330" s="1434">
        <f t="shared" si="268"/>
        <v>0</v>
      </c>
      <c r="O330" s="1439">
        <f t="shared" si="268"/>
        <v>1.2650572527260374E-3</v>
      </c>
      <c r="P330" s="1434">
        <f t="shared" si="268"/>
        <v>1.2201977631060206E-3</v>
      </c>
      <c r="Q330" s="1434">
        <f t="shared" si="268"/>
        <v>1.1754517407096936E-3</v>
      </c>
      <c r="R330" s="1434">
        <f t="shared" si="268"/>
        <v>1.1223626081959357E-3</v>
      </c>
      <c r="S330" s="1438">
        <f t="shared" si="260"/>
        <v>5.0616975783806975E-4</v>
      </c>
      <c r="T330" s="1434">
        <f t="shared" si="261"/>
        <v>4.6257234698246432E-4</v>
      </c>
      <c r="U330" s="1437">
        <f t="shared" si="262"/>
        <v>4.1667671014619743E-4</v>
      </c>
      <c r="V330" s="1437">
        <f t="shared" si="263"/>
        <v>-4.4859489620016797E-5</v>
      </c>
    </row>
    <row r="331" spans="1:23">
      <c r="A331" s="1207" t="s">
        <v>1351</v>
      </c>
      <c r="B331" s="1207"/>
      <c r="C331" s="1434">
        <f t="shared" ref="C331:K331" si="276">C113/C$172*100</f>
        <v>2.1299958315117375E-3</v>
      </c>
      <c r="D331" s="1438">
        <f t="shared" si="276"/>
        <v>1.949153079831531E-4</v>
      </c>
      <c r="E331" s="1434">
        <f t="shared" si="276"/>
        <v>1.6668376064287837E-4</v>
      </c>
      <c r="F331" s="1434">
        <f t="shared" si="276"/>
        <v>1.6041339341536933E-4</v>
      </c>
      <c r="G331" s="1437">
        <f t="shared" si="276"/>
        <v>1.4859689970199777E-4</v>
      </c>
      <c r="H331" s="1438">
        <f t="shared" si="276"/>
        <v>1.9339239403893659E-4</v>
      </c>
      <c r="I331" s="1434">
        <f t="shared" si="276"/>
        <v>1.6538142566475841E-4</v>
      </c>
      <c r="J331" s="1434">
        <f t="shared" si="276"/>
        <v>1.5916005012386929E-4</v>
      </c>
      <c r="K331" s="1437">
        <f t="shared" si="276"/>
        <v>1.4743588113980732E-4</v>
      </c>
      <c r="L331" s="1434"/>
      <c r="M331" s="1438">
        <f t="shared" si="268"/>
        <v>0</v>
      </c>
      <c r="N331" s="1434">
        <f t="shared" si="268"/>
        <v>0</v>
      </c>
      <c r="O331" s="1439">
        <f t="shared" si="268"/>
        <v>1.9339239403893659E-4</v>
      </c>
      <c r="P331" s="1434">
        <f t="shared" si="268"/>
        <v>1.9457068605045947E-4</v>
      </c>
      <c r="Q331" s="1434">
        <f t="shared" si="268"/>
        <v>1.9612049924036963E-4</v>
      </c>
      <c r="R331" s="1434">
        <f t="shared" si="268"/>
        <v>1.9752405990959253E-4</v>
      </c>
      <c r="S331" s="1438">
        <f t="shared" si="260"/>
        <v>-2.7886925407581101E-5</v>
      </c>
      <c r="T331" s="1434">
        <f t="shared" si="261"/>
        <v>-3.5707105825000295E-5</v>
      </c>
      <c r="U331" s="1437">
        <f t="shared" si="262"/>
        <v>-4.8927160207594764E-5</v>
      </c>
      <c r="V331" s="1437">
        <f t="shared" si="263"/>
        <v>1.1782920115228804E-6</v>
      </c>
    </row>
    <row r="332" spans="1:23">
      <c r="A332" s="1207" t="s">
        <v>1379</v>
      </c>
      <c r="B332" s="1207"/>
      <c r="C332" s="1434">
        <f t="shared" ref="C332:K332" si="277">C114/C$172*100</f>
        <v>0.44055588598167894</v>
      </c>
      <c r="D332" s="1438">
        <f t="shared" si="277"/>
        <v>0.45937316995787503</v>
      </c>
      <c r="E332" s="1434">
        <f t="shared" si="277"/>
        <v>0.4405398466893834</v>
      </c>
      <c r="F332" s="1434">
        <f t="shared" si="277"/>
        <v>0.42271360331597652</v>
      </c>
      <c r="G332" s="1437">
        <f t="shared" si="277"/>
        <v>0.40160171834665015</v>
      </c>
      <c r="H332" s="1438">
        <f t="shared" si="277"/>
        <v>0.45578399159437655</v>
      </c>
      <c r="I332" s="1434">
        <f t="shared" si="277"/>
        <v>0.43709781700762934</v>
      </c>
      <c r="J332" s="1434">
        <f t="shared" si="277"/>
        <v>0.41941085379075432</v>
      </c>
      <c r="K332" s="1437">
        <f t="shared" si="277"/>
        <v>0.39846392038085732</v>
      </c>
      <c r="L332" s="1434"/>
      <c r="M332" s="1438">
        <f t="shared" si="268"/>
        <v>0</v>
      </c>
      <c r="N332" s="1434">
        <f t="shared" si="268"/>
        <v>0</v>
      </c>
      <c r="O332" s="1439">
        <f t="shared" si="268"/>
        <v>0.45578399159437655</v>
      </c>
      <c r="P332" s="1434">
        <f t="shared" si="268"/>
        <v>0.43436235947980539</v>
      </c>
      <c r="Q332" s="1434">
        <f t="shared" si="268"/>
        <v>0.41497790402639867</v>
      </c>
      <c r="R332" s="1434">
        <f t="shared" si="268"/>
        <v>0.39241141976592997</v>
      </c>
      <c r="S332" s="1438">
        <f t="shared" si="260"/>
        <v>6.1774872095780031E-3</v>
      </c>
      <c r="T332" s="1434">
        <f t="shared" si="261"/>
        <v>7.7356992895778465E-3</v>
      </c>
      <c r="U332" s="1437">
        <f t="shared" si="262"/>
        <v>9.1902985807201798E-3</v>
      </c>
      <c r="V332" s="1437">
        <f t="shared" si="263"/>
        <v>-2.1421632114571154E-2</v>
      </c>
    </row>
    <row r="333" spans="1:23">
      <c r="A333" s="1207" t="s">
        <v>1378</v>
      </c>
      <c r="B333" s="1207"/>
      <c r="C333" s="1434">
        <f t="shared" ref="C333:K333" si="278">C115/C$172*100</f>
        <v>0.34664362338217092</v>
      </c>
      <c r="D333" s="1438">
        <f t="shared" si="278"/>
        <v>0.35451370025805318</v>
      </c>
      <c r="E333" s="1434">
        <f t="shared" si="278"/>
        <v>0.28203446405219157</v>
      </c>
      <c r="F333" s="1434">
        <f t="shared" si="278"/>
        <v>0.26568283470116377</v>
      </c>
      <c r="G333" s="1437">
        <f t="shared" si="278"/>
        <v>0.24941468995127988</v>
      </c>
      <c r="H333" s="1438">
        <f t="shared" si="278"/>
        <v>0.35174381079618783</v>
      </c>
      <c r="I333" s="1434">
        <f t="shared" si="278"/>
        <v>0.27983086997587697</v>
      </c>
      <c r="J333" s="1434">
        <f t="shared" si="278"/>
        <v>0.26360699931454379</v>
      </c>
      <c r="K333" s="1437">
        <f t="shared" si="278"/>
        <v>0.24746596097175783</v>
      </c>
      <c r="L333" s="1434"/>
      <c r="M333" s="1438">
        <f t="shared" ref="M333:R342" si="279">M115/M$172*100</f>
        <v>0</v>
      </c>
      <c r="N333" s="1434">
        <f t="shared" si="279"/>
        <v>0</v>
      </c>
      <c r="O333" s="1439">
        <f t="shared" si="279"/>
        <v>0.35174381079618783</v>
      </c>
      <c r="P333" s="1434">
        <f t="shared" si="279"/>
        <v>0.3392708197158909</v>
      </c>
      <c r="Q333" s="1434">
        <f t="shared" si="279"/>
        <v>0.32682937771653492</v>
      </c>
      <c r="R333" s="1434">
        <f t="shared" si="279"/>
        <v>0.31206816928741965</v>
      </c>
      <c r="S333" s="1438">
        <f t="shared" si="260"/>
        <v>-5.7236355663699334E-2</v>
      </c>
      <c r="T333" s="1434">
        <f t="shared" si="261"/>
        <v>-6.1146543015371146E-2</v>
      </c>
      <c r="U333" s="1437">
        <f t="shared" si="262"/>
        <v>-6.2653479336139767E-2</v>
      </c>
      <c r="V333" s="1437">
        <f t="shared" si="263"/>
        <v>-1.2472991080296925E-2</v>
      </c>
    </row>
    <row r="334" spans="1:23">
      <c r="A334" s="1445" t="s">
        <v>1377</v>
      </c>
      <c r="B334" s="1445"/>
      <c r="C334" s="1442">
        <f t="shared" ref="C334:K334" si="280">C116/C$172*100</f>
        <v>1.753061551287656</v>
      </c>
      <c r="D334" s="1443">
        <f t="shared" si="280"/>
        <v>1.5177322548369721</v>
      </c>
      <c r="E334" s="1442">
        <f t="shared" si="280"/>
        <v>1.3414470936880736</v>
      </c>
      <c r="F334" s="1442">
        <f t="shared" si="280"/>
        <v>1.2696381187291148</v>
      </c>
      <c r="G334" s="1441">
        <f t="shared" si="280"/>
        <v>1.1585251144623714</v>
      </c>
      <c r="H334" s="1443">
        <f t="shared" si="280"/>
        <v>1.5058738962585985</v>
      </c>
      <c r="I334" s="1442">
        <f t="shared" si="280"/>
        <v>1.3233136530073308</v>
      </c>
      <c r="J334" s="1442">
        <f t="shared" si="280"/>
        <v>1.2520964224885567</v>
      </c>
      <c r="K334" s="1441">
        <f t="shared" si="280"/>
        <v>1.1418087565797539</v>
      </c>
      <c r="L334" s="1442"/>
      <c r="M334" s="1443">
        <f t="shared" si="279"/>
        <v>0</v>
      </c>
      <c r="N334" s="1442">
        <f t="shared" si="279"/>
        <v>2.0202730284284067E-3</v>
      </c>
      <c r="O334" s="1444">
        <f t="shared" si="279"/>
        <v>1.5078941692870269</v>
      </c>
      <c r="P334" s="1442">
        <f t="shared" si="279"/>
        <v>1.3172663783972509</v>
      </c>
      <c r="Q334" s="1442">
        <f t="shared" si="279"/>
        <v>1.2421505890132081</v>
      </c>
      <c r="R334" s="1442">
        <f t="shared" si="279"/>
        <v>1.1657576337878164</v>
      </c>
      <c r="S334" s="1443">
        <f t="shared" si="260"/>
        <v>2.4180715290822663E-2</v>
      </c>
      <c r="T334" s="1442">
        <f t="shared" si="261"/>
        <v>2.7487529715906733E-2</v>
      </c>
      <c r="U334" s="1441">
        <f t="shared" si="262"/>
        <v>-7.2325193254449971E-3</v>
      </c>
      <c r="V334" s="1441">
        <f t="shared" si="263"/>
        <v>-0.19062779088977599</v>
      </c>
      <c r="W334" s="1440"/>
    </row>
    <row r="335" spans="1:23">
      <c r="A335" s="1445" t="s">
        <v>1091</v>
      </c>
      <c r="B335" s="1445"/>
      <c r="C335" s="1442">
        <f t="shared" ref="C335:K335" si="281">C117/C$172*100</f>
        <v>0.5893530709558038</v>
      </c>
      <c r="D335" s="1443">
        <f t="shared" si="281"/>
        <v>0.51112504647556767</v>
      </c>
      <c r="E335" s="1442">
        <f t="shared" si="281"/>
        <v>0.5710109400308867</v>
      </c>
      <c r="F335" s="1442">
        <f t="shared" si="281"/>
        <v>0.47672149310764872</v>
      </c>
      <c r="G335" s="1441">
        <f t="shared" si="281"/>
        <v>0.43931611990469582</v>
      </c>
      <c r="H335" s="1443">
        <f t="shared" si="281"/>
        <v>0.46371668802741572</v>
      </c>
      <c r="I335" s="1442">
        <f t="shared" si="281"/>
        <v>0.49327856673245862</v>
      </c>
      <c r="J335" s="1442">
        <f t="shared" si="281"/>
        <v>0.45445013370483411</v>
      </c>
      <c r="K335" s="1441">
        <f t="shared" si="281"/>
        <v>0.42851667025767309</v>
      </c>
      <c r="L335" s="1442"/>
      <c r="M335" s="1443">
        <f t="shared" si="279"/>
        <v>0</v>
      </c>
      <c r="N335" s="1442">
        <f t="shared" si="279"/>
        <v>-4.3414831882330779E-2</v>
      </c>
      <c r="O335" s="1444">
        <f t="shared" si="279"/>
        <v>0.46371668802741561</v>
      </c>
      <c r="P335" s="1442">
        <f t="shared" si="279"/>
        <v>0.44733159380249399</v>
      </c>
      <c r="Q335" s="1442">
        <f t="shared" si="279"/>
        <v>0.43678591260615174</v>
      </c>
      <c r="R335" s="1442">
        <f t="shared" si="279"/>
        <v>0.42259379479881326</v>
      </c>
      <c r="S335" s="1443">
        <f t="shared" si="260"/>
        <v>0.12367934622839272</v>
      </c>
      <c r="T335" s="1442">
        <f t="shared" si="261"/>
        <v>3.9935580501496981E-2</v>
      </c>
      <c r="U335" s="1441">
        <f t="shared" si="262"/>
        <v>1.6722325105882563E-2</v>
      </c>
      <c r="V335" s="1441">
        <f t="shared" si="263"/>
        <v>-1.6385094224921626E-2</v>
      </c>
      <c r="W335" s="1440"/>
    </row>
    <row r="336" spans="1:23">
      <c r="A336" s="1207" t="s">
        <v>1159</v>
      </c>
      <c r="B336" s="1207"/>
      <c r="C336" s="1434">
        <f t="shared" ref="C336:K336" si="282">C118/C$172*100</f>
        <v>5.9846909764937936E-2</v>
      </c>
      <c r="D336" s="1438">
        <f t="shared" si="282"/>
        <v>0.14973220149437041</v>
      </c>
      <c r="E336" s="1434">
        <f t="shared" si="282"/>
        <v>0.17844932557417995</v>
      </c>
      <c r="F336" s="1434">
        <f t="shared" si="282"/>
        <v>0.12082500255552897</v>
      </c>
      <c r="G336" s="1437">
        <f t="shared" si="282"/>
        <v>0.1065555963024836</v>
      </c>
      <c r="H336" s="1438">
        <f t="shared" si="282"/>
        <v>0.11559313357569576</v>
      </c>
      <c r="I336" s="1434">
        <f t="shared" si="282"/>
        <v>0.11417952192377459</v>
      </c>
      <c r="J336" s="1434">
        <f t="shared" si="282"/>
        <v>0.11158670973138976</v>
      </c>
      <c r="K336" s="1437">
        <f t="shared" si="282"/>
        <v>0.10798890261784373</v>
      </c>
      <c r="L336" s="1434"/>
      <c r="M336" s="1438">
        <f t="shared" si="279"/>
        <v>0</v>
      </c>
      <c r="N336" s="1434">
        <f t="shared" si="279"/>
        <v>-3.2969179006851909E-2</v>
      </c>
      <c r="O336" s="1439">
        <f t="shared" si="279"/>
        <v>0.11559313357569576</v>
      </c>
      <c r="P336" s="1434">
        <f t="shared" si="279"/>
        <v>0.11385729012261228</v>
      </c>
      <c r="Q336" s="1434">
        <f t="shared" si="279"/>
        <v>0.11116455264822786</v>
      </c>
      <c r="R336" s="1434">
        <f t="shared" si="279"/>
        <v>0.10707959610468791</v>
      </c>
      <c r="S336" s="1438">
        <f t="shared" si="260"/>
        <v>6.4592035451567664E-2</v>
      </c>
      <c r="T336" s="1434">
        <f t="shared" si="261"/>
        <v>9.6604499073011108E-3</v>
      </c>
      <c r="U336" s="1437">
        <f t="shared" si="262"/>
        <v>-5.2399980220431408E-4</v>
      </c>
      <c r="V336" s="1437">
        <f t="shared" si="263"/>
        <v>-1.7358434530834743E-3</v>
      </c>
    </row>
    <row r="337" spans="1:23">
      <c r="A337" s="1207" t="s">
        <v>1376</v>
      </c>
      <c r="B337" s="1207" t="s">
        <v>1375</v>
      </c>
      <c r="C337" s="1434">
        <f t="shared" ref="C337:K337" si="283">C119/C$172*100</f>
        <v>0</v>
      </c>
      <c r="D337" s="1438">
        <f t="shared" si="283"/>
        <v>1.0527909628644191E-2</v>
      </c>
      <c r="E337" s="1434">
        <f t="shared" si="283"/>
        <v>1.047726495469517E-2</v>
      </c>
      <c r="F337" s="1434">
        <f t="shared" si="283"/>
        <v>1.0333107813875978E-2</v>
      </c>
      <c r="G337" s="1437">
        <f t="shared" si="283"/>
        <v>9.7086845826727542E-3</v>
      </c>
      <c r="H337" s="1438">
        <f t="shared" si="283"/>
        <v>0</v>
      </c>
      <c r="I337" s="1434">
        <f t="shared" si="283"/>
        <v>0</v>
      </c>
      <c r="J337" s="1434">
        <f t="shared" si="283"/>
        <v>0</v>
      </c>
      <c r="K337" s="1437">
        <f t="shared" si="283"/>
        <v>0</v>
      </c>
      <c r="L337" s="1434"/>
      <c r="M337" s="1438">
        <f t="shared" si="279"/>
        <v>0</v>
      </c>
      <c r="N337" s="1434">
        <f t="shared" si="279"/>
        <v>-1.0445652875478868E-2</v>
      </c>
      <c r="O337" s="1439">
        <f t="shared" si="279"/>
        <v>0</v>
      </c>
      <c r="P337" s="1434">
        <f t="shared" si="279"/>
        <v>0</v>
      </c>
      <c r="Q337" s="1434">
        <f t="shared" si="279"/>
        <v>0</v>
      </c>
      <c r="R337" s="1434">
        <f t="shared" si="279"/>
        <v>0</v>
      </c>
      <c r="S337" s="1438">
        <f t="shared" si="260"/>
        <v>1.047726495469517E-2</v>
      </c>
      <c r="T337" s="1434">
        <f t="shared" si="261"/>
        <v>1.0333107813875978E-2</v>
      </c>
      <c r="U337" s="1437">
        <f t="shared" si="262"/>
        <v>9.7086845826727542E-3</v>
      </c>
      <c r="V337" s="1437">
        <f t="shared" si="263"/>
        <v>0</v>
      </c>
    </row>
    <row r="338" spans="1:23">
      <c r="A338" s="1207" t="s">
        <v>1354</v>
      </c>
      <c r="B338" s="1207"/>
      <c r="C338" s="1434">
        <f t="shared" ref="C338:K338" si="284">C120/C$172*100</f>
        <v>2.4337362871986743E-3</v>
      </c>
      <c r="D338" s="1438">
        <f t="shared" si="284"/>
        <v>6.545181552147665E-3</v>
      </c>
      <c r="E338" s="1434">
        <f t="shared" si="284"/>
        <v>0</v>
      </c>
      <c r="F338" s="1434">
        <f t="shared" si="284"/>
        <v>0</v>
      </c>
      <c r="G338" s="1437">
        <f t="shared" si="284"/>
        <v>0</v>
      </c>
      <c r="H338" s="1438">
        <f t="shared" si="284"/>
        <v>6.4940426839062045E-3</v>
      </c>
      <c r="I338" s="1434">
        <f t="shared" si="284"/>
        <v>0</v>
      </c>
      <c r="J338" s="1434">
        <f t="shared" si="284"/>
        <v>0</v>
      </c>
      <c r="K338" s="1437">
        <f t="shared" si="284"/>
        <v>0</v>
      </c>
      <c r="L338" s="1434"/>
      <c r="M338" s="1438">
        <f t="shared" si="279"/>
        <v>0</v>
      </c>
      <c r="N338" s="1434">
        <f t="shared" si="279"/>
        <v>0</v>
      </c>
      <c r="O338" s="1439">
        <f t="shared" si="279"/>
        <v>6.4940426839062045E-3</v>
      </c>
      <c r="P338" s="1434">
        <f t="shared" si="279"/>
        <v>0</v>
      </c>
      <c r="Q338" s="1434">
        <f t="shared" si="279"/>
        <v>0</v>
      </c>
      <c r="R338" s="1434">
        <f t="shared" si="279"/>
        <v>0</v>
      </c>
      <c r="S338" s="1438">
        <f t="shared" si="260"/>
        <v>0</v>
      </c>
      <c r="T338" s="1434">
        <f t="shared" si="261"/>
        <v>0</v>
      </c>
      <c r="U338" s="1437">
        <f t="shared" si="262"/>
        <v>0</v>
      </c>
      <c r="V338" s="1437">
        <f t="shared" si="263"/>
        <v>-6.4940426839062045E-3</v>
      </c>
    </row>
    <row r="339" spans="1:23">
      <c r="A339" s="1207" t="s">
        <v>1352</v>
      </c>
      <c r="B339" s="1207"/>
      <c r="C339" s="1434">
        <f t="shared" ref="C339:K339" si="285">C121/C$172*100</f>
        <v>0</v>
      </c>
      <c r="D339" s="1438">
        <f t="shared" si="285"/>
        <v>1.9777075517016739E-3</v>
      </c>
      <c r="E339" s="1434">
        <f t="shared" si="285"/>
        <v>2.153792307164041E-3</v>
      </c>
      <c r="F339" s="1434">
        <f t="shared" si="285"/>
        <v>2.0435762583690441E-3</v>
      </c>
      <c r="G339" s="1437">
        <f t="shared" si="285"/>
        <v>1.9200842254351166E-3</v>
      </c>
      <c r="H339" s="1438">
        <f t="shared" si="285"/>
        <v>1.962255310216726E-3</v>
      </c>
      <c r="I339" s="1434">
        <f t="shared" si="285"/>
        <v>2.1369642787681911E-3</v>
      </c>
      <c r="J339" s="1434">
        <f t="shared" si="285"/>
        <v>2.0276093709442294E-3</v>
      </c>
      <c r="K339" s="1437">
        <f t="shared" si="285"/>
        <v>1.9050822070136694E-3</v>
      </c>
      <c r="L339" s="1434"/>
      <c r="M339" s="1438">
        <f t="shared" si="279"/>
        <v>0</v>
      </c>
      <c r="N339" s="1434">
        <f t="shared" si="279"/>
        <v>0</v>
      </c>
      <c r="O339" s="1439">
        <f t="shared" si="279"/>
        <v>1.962255310216726E-3</v>
      </c>
      <c r="P339" s="1434">
        <f t="shared" si="279"/>
        <v>1.9154133371867641E-3</v>
      </c>
      <c r="Q339" s="1434">
        <f t="shared" si="279"/>
        <v>1.8703075135139021E-3</v>
      </c>
      <c r="R339" s="1434">
        <f t="shared" si="279"/>
        <v>1.8122538905746034E-3</v>
      </c>
      <c r="S339" s="1438">
        <f t="shared" si="260"/>
        <v>2.3837896997727691E-4</v>
      </c>
      <c r="T339" s="1434">
        <f t="shared" si="261"/>
        <v>1.7326874485514205E-4</v>
      </c>
      <c r="U339" s="1437">
        <f t="shared" si="262"/>
        <v>1.0783033486051318E-4</v>
      </c>
      <c r="V339" s="1437">
        <f t="shared" si="263"/>
        <v>-4.6841973029961882E-5</v>
      </c>
    </row>
    <row r="340" spans="1:23">
      <c r="A340" s="1207" t="s">
        <v>1365</v>
      </c>
      <c r="B340" s="1207"/>
      <c r="C340" s="1434">
        <f t="shared" ref="C340:K340" si="286">C122/C$172*100</f>
        <v>7.6531294163099728E-2</v>
      </c>
      <c r="D340" s="1438">
        <f t="shared" si="286"/>
        <v>8.3320707418301609E-2</v>
      </c>
      <c r="E340" s="1434">
        <f t="shared" si="286"/>
        <v>7.2352658101911979E-2</v>
      </c>
      <c r="F340" s="1434">
        <f t="shared" si="286"/>
        <v>7.456398614353163E-2</v>
      </c>
      <c r="G340" s="1437">
        <f t="shared" si="286"/>
        <v>6.9002031783049728E-2</v>
      </c>
      <c r="H340" s="1438">
        <f t="shared" si="286"/>
        <v>8.2669705357548723E-2</v>
      </c>
      <c r="I340" s="1434">
        <f t="shared" si="286"/>
        <v>7.1787351697480933E-2</v>
      </c>
      <c r="J340" s="1434">
        <f t="shared" si="286"/>
        <v>7.3981402172014307E-2</v>
      </c>
      <c r="K340" s="1437">
        <f t="shared" si="286"/>
        <v>6.846290452070683E-2</v>
      </c>
      <c r="L340" s="1434"/>
      <c r="M340" s="1438">
        <f t="shared" si="279"/>
        <v>0</v>
      </c>
      <c r="N340" s="1434">
        <f t="shared" si="279"/>
        <v>0</v>
      </c>
      <c r="O340" s="1439">
        <f t="shared" si="279"/>
        <v>8.2669705357548723E-2</v>
      </c>
      <c r="P340" s="1434">
        <f t="shared" si="279"/>
        <v>8.0696255680235598E-2</v>
      </c>
      <c r="Q340" s="1434">
        <f t="shared" si="279"/>
        <v>7.8795949877249527E-2</v>
      </c>
      <c r="R340" s="1434">
        <f t="shared" si="279"/>
        <v>7.6350154022682581E-2</v>
      </c>
      <c r="S340" s="1438">
        <f t="shared" si="260"/>
        <v>-8.3435975783236194E-3</v>
      </c>
      <c r="T340" s="1434">
        <f t="shared" si="261"/>
        <v>-4.2319637337178972E-3</v>
      </c>
      <c r="U340" s="1437">
        <f t="shared" si="262"/>
        <v>-7.3481222396328538E-3</v>
      </c>
      <c r="V340" s="1437">
        <f t="shared" si="263"/>
        <v>-1.9734496773131244E-3</v>
      </c>
    </row>
    <row r="341" spans="1:23">
      <c r="A341" s="1207" t="s">
        <v>1374</v>
      </c>
      <c r="B341" s="1207"/>
      <c r="C341" s="1434">
        <f t="shared" ref="C341:K341" si="287">C123/C$172*100</f>
        <v>0.34349868336773176</v>
      </c>
      <c r="D341" s="1438">
        <f t="shared" si="287"/>
        <v>0.1857133190483051</v>
      </c>
      <c r="E341" s="1434">
        <f t="shared" si="287"/>
        <v>0.19155178713250473</v>
      </c>
      <c r="F341" s="1434">
        <f t="shared" si="287"/>
        <v>0.18295599387736788</v>
      </c>
      <c r="G341" s="1437">
        <f t="shared" si="287"/>
        <v>0.17030796815488758</v>
      </c>
      <c r="H341" s="1438">
        <f t="shared" si="287"/>
        <v>0.18426230216239775</v>
      </c>
      <c r="I341" s="1434">
        <f t="shared" si="287"/>
        <v>0.19005515307804202</v>
      </c>
      <c r="J341" s="1434">
        <f t="shared" si="287"/>
        <v>0.18152652054796725</v>
      </c>
      <c r="K341" s="1437">
        <f t="shared" si="287"/>
        <v>0.16897731648777134</v>
      </c>
      <c r="L341" s="1434"/>
      <c r="M341" s="1438">
        <f t="shared" si="279"/>
        <v>0</v>
      </c>
      <c r="N341" s="1434">
        <f t="shared" si="279"/>
        <v>0</v>
      </c>
      <c r="O341" s="1439">
        <f t="shared" si="279"/>
        <v>0.18426230216239775</v>
      </c>
      <c r="P341" s="1434">
        <f t="shared" si="279"/>
        <v>0.179863685049023</v>
      </c>
      <c r="Q341" s="1434">
        <f t="shared" si="279"/>
        <v>0.17562809813654587</v>
      </c>
      <c r="R341" s="1434">
        <f t="shared" si="279"/>
        <v>0.17017666979489876</v>
      </c>
      <c r="S341" s="1438">
        <f t="shared" si="260"/>
        <v>1.1688102083481727E-2</v>
      </c>
      <c r="T341" s="1434">
        <f t="shared" si="261"/>
        <v>7.3278957408220158E-3</v>
      </c>
      <c r="U341" s="1437">
        <f t="shared" si="262"/>
        <v>1.3129835998881845E-4</v>
      </c>
      <c r="V341" s="1437">
        <f t="shared" si="263"/>
        <v>-4.3986171133747476E-3</v>
      </c>
    </row>
    <row r="342" spans="1:23">
      <c r="A342" s="1207" t="s">
        <v>1285</v>
      </c>
      <c r="B342" s="1207"/>
      <c r="C342" s="1434">
        <f t="shared" ref="C342:K342" si="288">C124/C$172*100</f>
        <v>0.10704244737283564</v>
      </c>
      <c r="D342" s="1438">
        <f t="shared" si="288"/>
        <v>7.3308019782097028E-2</v>
      </c>
      <c r="E342" s="1434">
        <f t="shared" si="288"/>
        <v>0.11602611196043087</v>
      </c>
      <c r="F342" s="1434">
        <f t="shared" si="288"/>
        <v>8.5999826458975179E-2</v>
      </c>
      <c r="G342" s="1437">
        <f t="shared" si="288"/>
        <v>8.1821754856167009E-2</v>
      </c>
      <c r="H342" s="1438">
        <f t="shared" si="288"/>
        <v>7.2735248937650571E-2</v>
      </c>
      <c r="I342" s="1434">
        <f t="shared" si="288"/>
        <v>0.11511957575439295</v>
      </c>
      <c r="J342" s="1434">
        <f t="shared" si="288"/>
        <v>8.5327891882518561E-2</v>
      </c>
      <c r="K342" s="1437">
        <f t="shared" si="288"/>
        <v>8.1182464424337547E-2</v>
      </c>
      <c r="L342" s="1434"/>
      <c r="M342" s="1438">
        <f t="shared" si="279"/>
        <v>0</v>
      </c>
      <c r="N342" s="1434">
        <f t="shared" si="279"/>
        <v>0</v>
      </c>
      <c r="O342" s="1439">
        <f t="shared" si="279"/>
        <v>7.2735248937650571E-2</v>
      </c>
      <c r="P342" s="1434">
        <f t="shared" si="279"/>
        <v>7.0998949613436391E-2</v>
      </c>
      <c r="Q342" s="1434">
        <f t="shared" si="279"/>
        <v>6.9327004430614556E-2</v>
      </c>
      <c r="R342" s="1434">
        <f t="shared" si="279"/>
        <v>6.7175120985969408E-2</v>
      </c>
      <c r="S342" s="1438">
        <f t="shared" si="260"/>
        <v>4.5027162346994484E-2</v>
      </c>
      <c r="T342" s="1434">
        <f t="shared" si="261"/>
        <v>1.6672822028360623E-2</v>
      </c>
      <c r="U342" s="1437">
        <f t="shared" si="262"/>
        <v>1.4646633870197601E-2</v>
      </c>
      <c r="V342" s="1437">
        <f t="shared" si="263"/>
        <v>-1.73629932421418E-3</v>
      </c>
    </row>
    <row r="343" spans="1:23">
      <c r="A343" s="1445" t="s">
        <v>1338</v>
      </c>
      <c r="B343" s="1445"/>
      <c r="C343" s="1442">
        <f t="shared" ref="C343:K343" si="289">C125/C$172*100</f>
        <v>6.2916785282186316</v>
      </c>
      <c r="D343" s="1443">
        <f t="shared" si="289"/>
        <v>3.050238345119801</v>
      </c>
      <c r="E343" s="1442">
        <f t="shared" si="289"/>
        <v>3.3822516231020496</v>
      </c>
      <c r="F343" s="1442">
        <f t="shared" si="289"/>
        <v>3.387320846168921</v>
      </c>
      <c r="G343" s="1441">
        <f t="shared" si="289"/>
        <v>2.5277394045736488</v>
      </c>
      <c r="H343" s="1443">
        <f t="shared" si="289"/>
        <v>3.6636933622682228</v>
      </c>
      <c r="I343" s="1442">
        <f t="shared" si="289"/>
        <v>4.3117394895721439</v>
      </c>
      <c r="J343" s="1442">
        <f t="shared" si="289"/>
        <v>3.9452176155908347</v>
      </c>
      <c r="K343" s="1441">
        <f t="shared" si="289"/>
        <v>3.4105724627577758</v>
      </c>
      <c r="L343" s="1442"/>
      <c r="M343" s="1443">
        <f t="shared" ref="M343:R352" si="290">M125/M$172*100</f>
        <v>-1.4781584257753114E-2</v>
      </c>
      <c r="N343" s="1442">
        <f t="shared" si="290"/>
        <v>0.63728716536208718</v>
      </c>
      <c r="O343" s="1444">
        <f t="shared" si="290"/>
        <v>3.6489117780104698</v>
      </c>
      <c r="P343" s="1442">
        <f t="shared" si="290"/>
        <v>4.4288477537101993</v>
      </c>
      <c r="Q343" s="1442">
        <f t="shared" si="290"/>
        <v>4.1467202483845975</v>
      </c>
      <c r="R343" s="1442">
        <f t="shared" si="290"/>
        <v>3.6405522176026528</v>
      </c>
      <c r="S343" s="1443">
        <f t="shared" si="260"/>
        <v>-1.0465961306081497</v>
      </c>
      <c r="T343" s="1442">
        <f t="shared" si="261"/>
        <v>-0.75939940221567648</v>
      </c>
      <c r="U343" s="1441">
        <f t="shared" si="262"/>
        <v>-1.112812813029004</v>
      </c>
      <c r="V343" s="1441">
        <f t="shared" si="263"/>
        <v>0.7799359756997295</v>
      </c>
      <c r="W343" s="1440"/>
    </row>
    <row r="344" spans="1:23">
      <c r="A344" s="1207" t="s">
        <v>1363</v>
      </c>
      <c r="B344" s="1207" t="s">
        <v>1373</v>
      </c>
      <c r="C344" s="1434">
        <f t="shared" ref="C344:K344" si="291">C126/C$172*100</f>
        <v>3.1127907248213114</v>
      </c>
      <c r="D344" s="1438">
        <f t="shared" si="291"/>
        <v>0.7088088967313475</v>
      </c>
      <c r="E344" s="1434">
        <f t="shared" si="291"/>
        <v>0.95261325831327293</v>
      </c>
      <c r="F344" s="1434">
        <f t="shared" si="291"/>
        <v>1.1483549997421543</v>
      </c>
      <c r="G344" s="1437">
        <f t="shared" si="291"/>
        <v>0.62226292892425061</v>
      </c>
      <c r="H344" s="1438">
        <f t="shared" si="291"/>
        <v>0.86315672917364528</v>
      </c>
      <c r="I344" s="1434">
        <f t="shared" si="291"/>
        <v>1.3890695941467648</v>
      </c>
      <c r="J344" s="1434">
        <f t="shared" si="291"/>
        <v>1.2874956791673993</v>
      </c>
      <c r="K344" s="1437">
        <f t="shared" si="291"/>
        <v>0.98251384064443492</v>
      </c>
      <c r="L344" s="1434"/>
      <c r="M344" s="1438">
        <f t="shared" si="290"/>
        <v>0</v>
      </c>
      <c r="N344" s="1434">
        <f t="shared" si="290"/>
        <v>0.15988590415039652</v>
      </c>
      <c r="O344" s="1439">
        <f t="shared" si="290"/>
        <v>0.86315672917364528</v>
      </c>
      <c r="P344" s="1434">
        <f t="shared" si="290"/>
        <v>1.3851494306207646</v>
      </c>
      <c r="Q344" s="1434">
        <f t="shared" si="290"/>
        <v>1.2826247996351574</v>
      </c>
      <c r="R344" s="1434">
        <f t="shared" si="290"/>
        <v>0.97424071060138473</v>
      </c>
      <c r="S344" s="1438">
        <f t="shared" si="260"/>
        <v>-0.43253617230749164</v>
      </c>
      <c r="T344" s="1434">
        <f t="shared" si="261"/>
        <v>-0.13426979989300314</v>
      </c>
      <c r="U344" s="1437">
        <f t="shared" si="262"/>
        <v>-0.35197778167713412</v>
      </c>
      <c r="V344" s="1437">
        <f t="shared" si="263"/>
        <v>0.52199270144711929</v>
      </c>
    </row>
    <row r="345" spans="1:23">
      <c r="A345" s="1207" t="s">
        <v>1159</v>
      </c>
      <c r="B345" s="1207"/>
      <c r="C345" s="1434">
        <f t="shared" ref="C345:K345" si="292">C127/C$172*100</f>
        <v>0.55578881472594754</v>
      </c>
      <c r="D345" s="1438">
        <f t="shared" si="292"/>
        <v>0.11988657089618572</v>
      </c>
      <c r="E345" s="1434">
        <f t="shared" si="292"/>
        <v>0.17958502696081596</v>
      </c>
      <c r="F345" s="1434">
        <f t="shared" si="292"/>
        <v>0.20173259553647296</v>
      </c>
      <c r="G345" s="1437">
        <f t="shared" si="292"/>
        <v>0.10532085372596529</v>
      </c>
      <c r="H345" s="1438">
        <f t="shared" si="292"/>
        <v>0.15104685924315395</v>
      </c>
      <c r="I345" s="1434">
        <f t="shared" si="292"/>
        <v>0.23875195675499422</v>
      </c>
      <c r="J345" s="1434">
        <f t="shared" si="292"/>
        <v>0.21199173000155513</v>
      </c>
      <c r="K345" s="1437">
        <f t="shared" si="292"/>
        <v>0.16007046110100967</v>
      </c>
      <c r="L345" s="1434"/>
      <c r="M345" s="1438">
        <f t="shared" si="290"/>
        <v>0</v>
      </c>
      <c r="N345" s="1434">
        <f t="shared" si="290"/>
        <v>3.2096987123638329E-2</v>
      </c>
      <c r="O345" s="1439">
        <f t="shared" si="290"/>
        <v>0.15104685924315395</v>
      </c>
      <c r="P345" s="1434">
        <f t="shared" si="290"/>
        <v>0.23807816278774019</v>
      </c>
      <c r="Q345" s="1434">
        <f t="shared" si="290"/>
        <v>0.21118971862755434</v>
      </c>
      <c r="R345" s="1434">
        <f t="shared" si="290"/>
        <v>0.15872260859658993</v>
      </c>
      <c r="S345" s="1438">
        <f t="shared" si="260"/>
        <v>-5.8493135826924225E-2</v>
      </c>
      <c r="T345" s="1434">
        <f t="shared" si="261"/>
        <v>-9.4571230910813764E-3</v>
      </c>
      <c r="U345" s="1437">
        <f t="shared" si="262"/>
        <v>-5.3401754870624638E-2</v>
      </c>
      <c r="V345" s="1437">
        <f t="shared" si="263"/>
        <v>8.7031303544586242E-2</v>
      </c>
    </row>
    <row r="346" spans="1:23">
      <c r="A346" s="1207" t="s">
        <v>1372</v>
      </c>
      <c r="B346" s="1207"/>
      <c r="C346" s="1434">
        <f t="shared" ref="C346:K346" si="293">C128/C$172*100</f>
        <v>0.26651636385819005</v>
      </c>
      <c r="D346" s="1438">
        <f t="shared" si="293"/>
        <v>0.23898230707144619</v>
      </c>
      <c r="E346" s="1434">
        <f t="shared" si="293"/>
        <v>0.14338613329816463</v>
      </c>
      <c r="F346" s="1434">
        <f t="shared" si="293"/>
        <v>0.16935926427773837</v>
      </c>
      <c r="G346" s="1437">
        <f t="shared" si="293"/>
        <v>0.15370969445817428</v>
      </c>
      <c r="H346" s="1438">
        <f t="shared" si="293"/>
        <v>0.23711508847468216</v>
      </c>
      <c r="I346" s="1434">
        <f t="shared" si="293"/>
        <v>0.14226582754041506</v>
      </c>
      <c r="J346" s="1434">
        <f t="shared" si="293"/>
        <v>0.16803602503183418</v>
      </c>
      <c r="K346" s="1437">
        <f t="shared" si="293"/>
        <v>0.15250872856445472</v>
      </c>
      <c r="L346" s="1434"/>
      <c r="M346" s="1438">
        <f t="shared" si="290"/>
        <v>0</v>
      </c>
      <c r="N346" s="1434">
        <f t="shared" si="290"/>
        <v>0</v>
      </c>
      <c r="O346" s="1439">
        <f t="shared" si="290"/>
        <v>0.23711508847468216</v>
      </c>
      <c r="P346" s="1434">
        <f t="shared" si="290"/>
        <v>0.23711508847468216</v>
      </c>
      <c r="Q346" s="1434">
        <f t="shared" si="290"/>
        <v>0.23711508847468221</v>
      </c>
      <c r="R346" s="1434">
        <f t="shared" si="290"/>
        <v>0.23711508847468216</v>
      </c>
      <c r="S346" s="1438">
        <f t="shared" si="260"/>
        <v>-9.3728955176517526E-2</v>
      </c>
      <c r="T346" s="1434">
        <f t="shared" si="261"/>
        <v>-6.7755824196943842E-2</v>
      </c>
      <c r="U346" s="1437">
        <f t="shared" si="262"/>
        <v>-8.3405394016507872E-2</v>
      </c>
      <c r="V346" s="1437">
        <f t="shared" si="263"/>
        <v>0</v>
      </c>
    </row>
    <row r="347" spans="1:23">
      <c r="A347" s="1207" t="s">
        <v>1301</v>
      </c>
      <c r="B347" s="1207"/>
      <c r="C347" s="1434">
        <f t="shared" ref="C347:K347" si="294">C129/C$172*100</f>
        <v>0</v>
      </c>
      <c r="D347" s="1438">
        <f t="shared" si="294"/>
        <v>-0.11715527358686766</v>
      </c>
      <c r="E347" s="1434">
        <f t="shared" si="294"/>
        <v>-0.1388942964548219</v>
      </c>
      <c r="F347" s="1434">
        <f t="shared" si="294"/>
        <v>-0.13178665636134956</v>
      </c>
      <c r="G347" s="1437">
        <f t="shared" si="294"/>
        <v>-0.12382287128556455</v>
      </c>
      <c r="H347" s="1438">
        <f t="shared" si="294"/>
        <v>0</v>
      </c>
      <c r="I347" s="1434">
        <f t="shared" si="294"/>
        <v>0</v>
      </c>
      <c r="J347" s="1434">
        <f t="shared" si="294"/>
        <v>0</v>
      </c>
      <c r="K347" s="1437">
        <f t="shared" si="294"/>
        <v>0</v>
      </c>
      <c r="L347" s="1434"/>
      <c r="M347" s="1438">
        <f t="shared" si="290"/>
        <v>0</v>
      </c>
      <c r="N347" s="1434">
        <f t="shared" si="290"/>
        <v>0.1162399150055942</v>
      </c>
      <c r="O347" s="1439">
        <f t="shared" si="290"/>
        <v>0</v>
      </c>
      <c r="P347" s="1434">
        <f t="shared" si="290"/>
        <v>0</v>
      </c>
      <c r="Q347" s="1434">
        <f t="shared" si="290"/>
        <v>0</v>
      </c>
      <c r="R347" s="1434">
        <f t="shared" si="290"/>
        <v>0</v>
      </c>
      <c r="S347" s="1438">
        <f t="shared" si="260"/>
        <v>-0.1388942964548219</v>
      </c>
      <c r="T347" s="1434">
        <f t="shared" si="261"/>
        <v>-0.13178665636134956</v>
      </c>
      <c r="U347" s="1437">
        <f t="shared" si="262"/>
        <v>-0.12382287128556455</v>
      </c>
      <c r="V347" s="1437">
        <f t="shared" si="263"/>
        <v>0</v>
      </c>
    </row>
    <row r="348" spans="1:23">
      <c r="A348" s="1207" t="s">
        <v>1354</v>
      </c>
      <c r="B348" s="1207"/>
      <c r="C348" s="1434">
        <f t="shared" ref="C348:K348" si="295">C130/C$172*100</f>
        <v>6.3544028386388357E-6</v>
      </c>
      <c r="D348" s="1438">
        <f t="shared" si="295"/>
        <v>1.2414987769627551E-6</v>
      </c>
      <c r="E348" s="1434">
        <f t="shared" si="295"/>
        <v>0</v>
      </c>
      <c r="F348" s="1434">
        <f t="shared" si="295"/>
        <v>0</v>
      </c>
      <c r="G348" s="1437">
        <f t="shared" si="295"/>
        <v>0</v>
      </c>
      <c r="H348" s="1438">
        <f t="shared" si="295"/>
        <v>1.2317986881460898E-6</v>
      </c>
      <c r="I348" s="1434">
        <f t="shared" si="295"/>
        <v>0</v>
      </c>
      <c r="J348" s="1434">
        <f t="shared" si="295"/>
        <v>0</v>
      </c>
      <c r="K348" s="1437">
        <f t="shared" si="295"/>
        <v>0</v>
      </c>
      <c r="L348" s="1434"/>
      <c r="M348" s="1438">
        <f t="shared" si="290"/>
        <v>0</v>
      </c>
      <c r="N348" s="1434">
        <f t="shared" si="290"/>
        <v>0</v>
      </c>
      <c r="O348" s="1439">
        <f t="shared" si="290"/>
        <v>1.2317986881460898E-6</v>
      </c>
      <c r="P348" s="1434">
        <f t="shared" si="290"/>
        <v>0</v>
      </c>
      <c r="Q348" s="1434">
        <f t="shared" si="290"/>
        <v>0</v>
      </c>
      <c r="R348" s="1434">
        <f t="shared" si="290"/>
        <v>0</v>
      </c>
      <c r="S348" s="1438">
        <f t="shared" si="260"/>
        <v>0</v>
      </c>
      <c r="T348" s="1434">
        <f t="shared" si="261"/>
        <v>0</v>
      </c>
      <c r="U348" s="1437">
        <f t="shared" si="262"/>
        <v>0</v>
      </c>
      <c r="V348" s="1437">
        <f t="shared" si="263"/>
        <v>-1.2317986881460898E-6</v>
      </c>
    </row>
    <row r="349" spans="1:23">
      <c r="A349" s="1207" t="s">
        <v>1353</v>
      </c>
      <c r="B349" s="1207"/>
      <c r="C349" s="1434">
        <f t="shared" ref="C349:K349" si="296">C131/C$172*100</f>
        <v>-9.5316042579582526E-5</v>
      </c>
      <c r="D349" s="1438">
        <f t="shared" si="296"/>
        <v>0.102008988507922</v>
      </c>
      <c r="E349" s="1434">
        <f t="shared" si="296"/>
        <v>5.886198887445164E-2</v>
      </c>
      <c r="F349" s="1434">
        <f t="shared" si="296"/>
        <v>5.4215208287256574E-2</v>
      </c>
      <c r="G349" s="1437">
        <f t="shared" si="296"/>
        <v>1.2575543340494894E-2</v>
      </c>
      <c r="H349" s="1438">
        <f t="shared" si="296"/>
        <v>0.10121197101021187</v>
      </c>
      <c r="I349" s="1434">
        <f t="shared" si="296"/>
        <v>5.8402087881713992E-2</v>
      </c>
      <c r="J349" s="1434">
        <f t="shared" si="296"/>
        <v>5.3791613560174388E-2</v>
      </c>
      <c r="K349" s="1437">
        <f t="shared" si="296"/>
        <v>1.2477287998174659E-2</v>
      </c>
      <c r="L349" s="1434"/>
      <c r="M349" s="1438">
        <f t="shared" si="290"/>
        <v>0</v>
      </c>
      <c r="N349" s="1434">
        <f t="shared" si="290"/>
        <v>0</v>
      </c>
      <c r="O349" s="1439">
        <f t="shared" si="290"/>
        <v>0.10121197101021187</v>
      </c>
      <c r="P349" s="1434">
        <f t="shared" si="290"/>
        <v>5.8237268396987757E-2</v>
      </c>
      <c r="Q349" s="1434">
        <f t="shared" si="290"/>
        <v>5.3588108046535722E-2</v>
      </c>
      <c r="R349" s="1434">
        <f t="shared" si="290"/>
        <v>1.2372224616954723E-2</v>
      </c>
      <c r="S349" s="1438">
        <f t="shared" si="260"/>
        <v>6.2472047746388315E-4</v>
      </c>
      <c r="T349" s="1434">
        <f t="shared" si="261"/>
        <v>6.2710024072085147E-4</v>
      </c>
      <c r="U349" s="1437">
        <f t="shared" si="262"/>
        <v>2.0331872354017143E-4</v>
      </c>
      <c r="V349" s="1437">
        <f t="shared" si="263"/>
        <v>-4.2974702613224114E-2</v>
      </c>
    </row>
    <row r="350" spans="1:23">
      <c r="A350" s="1207" t="s">
        <v>1351</v>
      </c>
      <c r="B350" s="1207"/>
      <c r="C350" s="1434">
        <f t="shared" ref="C350:K350" si="297">C132/C$172*100</f>
        <v>0.10010726231991622</v>
      </c>
      <c r="D350" s="1438">
        <f t="shared" si="297"/>
        <v>5.8597500773865226E-2</v>
      </c>
      <c r="E350" s="1434">
        <f t="shared" si="297"/>
        <v>9.222850596028484E-2</v>
      </c>
      <c r="F350" s="1434">
        <f t="shared" si="297"/>
        <v>7.9105266717685072E-2</v>
      </c>
      <c r="G350" s="1437">
        <f t="shared" si="297"/>
        <v>7.4175326705532174E-2</v>
      </c>
      <c r="H350" s="1438">
        <f t="shared" si="297"/>
        <v>7.6835906770488821E-2</v>
      </c>
      <c r="I350" s="1434">
        <f t="shared" si="297"/>
        <v>0.10332086438815981</v>
      </c>
      <c r="J350" s="1434">
        <f t="shared" si="297"/>
        <v>9.5299882125225624E-2</v>
      </c>
      <c r="K350" s="1437">
        <f t="shared" si="297"/>
        <v>8.9392480961939372E-2</v>
      </c>
      <c r="L350" s="1434"/>
      <c r="M350" s="1438">
        <f t="shared" si="290"/>
        <v>0</v>
      </c>
      <c r="N350" s="1434">
        <f t="shared" si="290"/>
        <v>1.8696240488681397E-2</v>
      </c>
      <c r="O350" s="1439">
        <f t="shared" si="290"/>
        <v>7.6835906770488821E-2</v>
      </c>
      <c r="P350" s="1434">
        <f t="shared" si="290"/>
        <v>7.7304048941207071E-2</v>
      </c>
      <c r="Q350" s="1434">
        <f t="shared" si="290"/>
        <v>7.7919798605837809E-2</v>
      </c>
      <c r="R350" s="1434">
        <f t="shared" si="290"/>
        <v>7.8477441305609255E-2</v>
      </c>
      <c r="S350" s="1438">
        <f t="shared" si="260"/>
        <v>1.4924457019077769E-2</v>
      </c>
      <c r="T350" s="1434">
        <f t="shared" si="261"/>
        <v>1.1854681118472626E-3</v>
      </c>
      <c r="U350" s="1437">
        <f t="shared" si="262"/>
        <v>-4.302114600077081E-3</v>
      </c>
      <c r="V350" s="1437">
        <f t="shared" si="263"/>
        <v>4.6814217071824982E-4</v>
      </c>
    </row>
    <row r="351" spans="1:23">
      <c r="A351" s="1207" t="s">
        <v>1350</v>
      </c>
      <c r="B351" s="1207"/>
      <c r="C351" s="1434">
        <f t="shared" ref="C351:K351" si="298">C133/C$172*100</f>
        <v>3.828273534166355E-2</v>
      </c>
      <c r="D351" s="1438">
        <f t="shared" si="298"/>
        <v>6.2977508458989834E-2</v>
      </c>
      <c r="E351" s="1434">
        <f t="shared" si="298"/>
        <v>0.13404946150558286</v>
      </c>
      <c r="F351" s="1434">
        <f t="shared" si="298"/>
        <v>0.13295713753918406</v>
      </c>
      <c r="G351" s="1437">
        <f t="shared" si="298"/>
        <v>6.392107921966779E-2</v>
      </c>
      <c r="H351" s="1438">
        <f t="shared" si="298"/>
        <v>6.2485452053586854E-2</v>
      </c>
      <c r="I351" s="1434">
        <f t="shared" si="298"/>
        <v>0.1330021051113934</v>
      </c>
      <c r="J351" s="1434">
        <f t="shared" si="298"/>
        <v>0.131918315699911</v>
      </c>
      <c r="K351" s="1437">
        <f t="shared" si="298"/>
        <v>6.3421650499162083E-2</v>
      </c>
      <c r="L351" s="1434"/>
      <c r="M351" s="1438">
        <f t="shared" si="290"/>
        <v>0</v>
      </c>
      <c r="N351" s="1434">
        <f t="shared" si="290"/>
        <v>0</v>
      </c>
      <c r="O351" s="1439">
        <f t="shared" si="290"/>
        <v>6.2485452053586854E-2</v>
      </c>
      <c r="P351" s="1434">
        <f t="shared" si="290"/>
        <v>6.2485452053586861E-2</v>
      </c>
      <c r="Q351" s="1434">
        <f t="shared" si="290"/>
        <v>6.2485452053586861E-2</v>
      </c>
      <c r="R351" s="1434">
        <f t="shared" si="290"/>
        <v>6.2485452053586861E-2</v>
      </c>
      <c r="S351" s="1438">
        <f t="shared" ref="S351:S382" si="299">E351-P351</f>
        <v>7.1564009451996008E-2</v>
      </c>
      <c r="T351" s="1434">
        <f t="shared" ref="T351:T382" si="300">F351-Q351</f>
        <v>7.0471685485597207E-2</v>
      </c>
      <c r="U351" s="1437">
        <f t="shared" ref="U351:U382" si="301">G351-R351</f>
        <v>1.4356271660809286E-3</v>
      </c>
      <c r="V351" s="1437">
        <f t="shared" ref="V351:V382" si="302">P351-O351</f>
        <v>0</v>
      </c>
    </row>
    <row r="352" spans="1:23">
      <c r="A352" s="1207" t="s">
        <v>1349</v>
      </c>
      <c r="B352" s="1207"/>
      <c r="C352" s="1434">
        <f t="shared" ref="C352:K352" si="303">C134/C$172*100</f>
        <v>0.15146608782293072</v>
      </c>
      <c r="D352" s="1438">
        <f t="shared" si="303"/>
        <v>0</v>
      </c>
      <c r="E352" s="1434">
        <f t="shared" si="303"/>
        <v>0</v>
      </c>
      <c r="F352" s="1434">
        <f t="shared" si="303"/>
        <v>0</v>
      </c>
      <c r="G352" s="1437">
        <f t="shared" si="303"/>
        <v>0</v>
      </c>
      <c r="H352" s="1438">
        <f t="shared" si="303"/>
        <v>0.13914810094146982</v>
      </c>
      <c r="I352" s="1434">
        <f t="shared" si="303"/>
        <v>0.13344313675892391</v>
      </c>
      <c r="J352" s="1434">
        <f t="shared" si="303"/>
        <v>0.1266144489493064</v>
      </c>
      <c r="K352" s="1437">
        <f t="shared" si="303"/>
        <v>0.11896321712689442</v>
      </c>
      <c r="L352" s="1434"/>
      <c r="M352" s="1438">
        <f t="shared" si="290"/>
        <v>0</v>
      </c>
      <c r="N352" s="1434">
        <f t="shared" si="290"/>
        <v>0.13914810094146982</v>
      </c>
      <c r="O352" s="1439">
        <f t="shared" si="290"/>
        <v>0.13914810094146982</v>
      </c>
      <c r="P352" s="1434">
        <f t="shared" si="290"/>
        <v>0.13914810094146984</v>
      </c>
      <c r="Q352" s="1434">
        <f t="shared" si="290"/>
        <v>0.13914810094146984</v>
      </c>
      <c r="R352" s="1434">
        <f t="shared" si="290"/>
        <v>0.13914810094146982</v>
      </c>
      <c r="S352" s="1438">
        <f t="shared" si="299"/>
        <v>-0.13914810094146984</v>
      </c>
      <c r="T352" s="1434">
        <f t="shared" si="300"/>
        <v>-0.13914810094146984</v>
      </c>
      <c r="U352" s="1437">
        <f t="shared" si="301"/>
        <v>-0.13914810094146982</v>
      </c>
      <c r="V352" s="1437">
        <f t="shared" si="302"/>
        <v>0</v>
      </c>
    </row>
    <row r="353" spans="1:23">
      <c r="A353" s="1207" t="s">
        <v>1371</v>
      </c>
      <c r="B353" s="1207"/>
      <c r="C353" s="1434">
        <f t="shared" ref="C353:K353" si="304">C135/C$172*100</f>
        <v>0.22086125034313772</v>
      </c>
      <c r="D353" s="1438">
        <f t="shared" si="304"/>
        <v>0.26958152742724728</v>
      </c>
      <c r="E353" s="1434">
        <f t="shared" si="304"/>
        <v>0.27112899565999515</v>
      </c>
      <c r="F353" s="1434">
        <f t="shared" si="304"/>
        <v>0.25846551530462247</v>
      </c>
      <c r="G353" s="1437">
        <f t="shared" si="304"/>
        <v>0.24167587486247838</v>
      </c>
      <c r="H353" s="1438">
        <f t="shared" si="304"/>
        <v>0.26747523074141888</v>
      </c>
      <c r="I353" s="1434">
        <f t="shared" si="304"/>
        <v>0.26901060828219259</v>
      </c>
      <c r="J353" s="1434">
        <f t="shared" si="304"/>
        <v>0.25644607033937367</v>
      </c>
      <c r="K353" s="1437">
        <f t="shared" si="304"/>
        <v>0.23978761085891123</v>
      </c>
      <c r="L353" s="1434"/>
      <c r="M353" s="1438">
        <f t="shared" ref="M353:R362" si="305">M135/M$172*100</f>
        <v>0</v>
      </c>
      <c r="N353" s="1434">
        <f t="shared" si="305"/>
        <v>0</v>
      </c>
      <c r="O353" s="1439">
        <f t="shared" si="305"/>
        <v>0.26747523074141888</v>
      </c>
      <c r="P353" s="1434">
        <f t="shared" si="305"/>
        <v>0.26747523074141893</v>
      </c>
      <c r="Q353" s="1434">
        <f t="shared" si="305"/>
        <v>0.26747523074141893</v>
      </c>
      <c r="R353" s="1434">
        <f t="shared" si="305"/>
        <v>0.26747523074141893</v>
      </c>
      <c r="S353" s="1438">
        <f t="shared" si="299"/>
        <v>3.6537649185762189E-3</v>
      </c>
      <c r="T353" s="1434">
        <f t="shared" si="300"/>
        <v>-9.0097154367964616E-3</v>
      </c>
      <c r="U353" s="1437">
        <f t="shared" si="301"/>
        <v>-2.5799355878940555E-2</v>
      </c>
      <c r="V353" s="1437">
        <f t="shared" si="302"/>
        <v>0</v>
      </c>
    </row>
    <row r="354" spans="1:23">
      <c r="A354" s="1207" t="s">
        <v>1370</v>
      </c>
      <c r="B354" s="1207"/>
      <c r="C354" s="1434">
        <f t="shared" ref="C354:K354" si="306">C136/C$172*100</f>
        <v>1.8173592118507068E-3</v>
      </c>
      <c r="D354" s="1438">
        <f t="shared" si="306"/>
        <v>1.5369754858798948E-3</v>
      </c>
      <c r="E354" s="1434">
        <f t="shared" si="306"/>
        <v>0</v>
      </c>
      <c r="F354" s="1434">
        <f t="shared" si="306"/>
        <v>0</v>
      </c>
      <c r="G354" s="1437">
        <f t="shared" si="306"/>
        <v>0</v>
      </c>
      <c r="H354" s="1438">
        <f t="shared" si="306"/>
        <v>1.524966775924863E-3</v>
      </c>
      <c r="I354" s="1434">
        <f t="shared" si="306"/>
        <v>1.4624443212355007E-3</v>
      </c>
      <c r="J354" s="1434">
        <f t="shared" si="306"/>
        <v>1.3876066341785276E-3</v>
      </c>
      <c r="K354" s="1437">
        <f t="shared" si="306"/>
        <v>1.3037544346505931E-3</v>
      </c>
      <c r="L354" s="1434"/>
      <c r="M354" s="1438">
        <f t="shared" si="305"/>
        <v>0</v>
      </c>
      <c r="N354" s="1434">
        <f t="shared" si="305"/>
        <v>0</v>
      </c>
      <c r="O354" s="1439">
        <f t="shared" si="305"/>
        <v>1.524966775924863E-3</v>
      </c>
      <c r="P354" s="1434">
        <f t="shared" si="305"/>
        <v>1.5249667759248632E-3</v>
      </c>
      <c r="Q354" s="1434">
        <f t="shared" si="305"/>
        <v>1.5249667759248632E-3</v>
      </c>
      <c r="R354" s="1434">
        <f t="shared" si="305"/>
        <v>1.524966775924863E-3</v>
      </c>
      <c r="S354" s="1438">
        <f t="shared" si="299"/>
        <v>-1.5249667759248632E-3</v>
      </c>
      <c r="T354" s="1434">
        <f t="shared" si="300"/>
        <v>-1.5249667759248632E-3</v>
      </c>
      <c r="U354" s="1437">
        <f t="shared" si="301"/>
        <v>-1.524966775924863E-3</v>
      </c>
      <c r="V354" s="1437">
        <f t="shared" si="302"/>
        <v>0</v>
      </c>
    </row>
    <row r="355" spans="1:23">
      <c r="A355" s="1207" t="s">
        <v>1348</v>
      </c>
      <c r="B355" s="1207"/>
      <c r="C355" s="1434">
        <f t="shared" ref="C355:K355" si="307">C137/C$172*100</f>
        <v>2.6434315808737557E-3</v>
      </c>
      <c r="D355" s="1438">
        <f t="shared" si="307"/>
        <v>3.6475234067165838E-2</v>
      </c>
      <c r="E355" s="1434">
        <f t="shared" si="307"/>
        <v>3.5161939307615055E-2</v>
      </c>
      <c r="F355" s="1434">
        <f t="shared" si="307"/>
        <v>3.2801149938089309E-2</v>
      </c>
      <c r="G355" s="1437">
        <f t="shared" si="307"/>
        <v>3.4953175029189508E-2</v>
      </c>
      <c r="H355" s="1438">
        <f t="shared" si="307"/>
        <v>3.6190245457732202E-2</v>
      </c>
      <c r="I355" s="1434">
        <f t="shared" si="307"/>
        <v>3.4887211743980649E-2</v>
      </c>
      <c r="J355" s="1434">
        <f t="shared" si="307"/>
        <v>3.2544867714061169E-2</v>
      </c>
      <c r="K355" s="1437">
        <f t="shared" si="307"/>
        <v>3.4680078584393113E-2</v>
      </c>
      <c r="L355" s="1434"/>
      <c r="M355" s="1438">
        <f t="shared" si="305"/>
        <v>0</v>
      </c>
      <c r="N355" s="1434">
        <f t="shared" si="305"/>
        <v>0</v>
      </c>
      <c r="O355" s="1439">
        <f t="shared" si="305"/>
        <v>3.6190245457732202E-2</v>
      </c>
      <c r="P355" s="1434">
        <f t="shared" si="305"/>
        <v>3.6190245457732209E-2</v>
      </c>
      <c r="Q355" s="1434">
        <f t="shared" si="305"/>
        <v>3.6190245457732209E-2</v>
      </c>
      <c r="R355" s="1434">
        <f t="shared" si="305"/>
        <v>3.6190245457732202E-2</v>
      </c>
      <c r="S355" s="1438">
        <f t="shared" si="299"/>
        <v>-1.0283061501171545E-3</v>
      </c>
      <c r="T355" s="1434">
        <f t="shared" si="300"/>
        <v>-3.3890955196428998E-3</v>
      </c>
      <c r="U355" s="1437">
        <f t="shared" si="301"/>
        <v>-1.2370704285426942E-3</v>
      </c>
      <c r="V355" s="1437">
        <f t="shared" si="302"/>
        <v>0</v>
      </c>
    </row>
    <row r="356" spans="1:23">
      <c r="A356" s="1207" t="s">
        <v>1360</v>
      </c>
      <c r="B356" s="1207"/>
      <c r="C356" s="1434">
        <f t="shared" ref="C356:K356" si="308">C138/C$172*100</f>
        <v>0</v>
      </c>
      <c r="D356" s="1438">
        <f t="shared" si="308"/>
        <v>4.0336295263520019E-2</v>
      </c>
      <c r="E356" s="1434">
        <f t="shared" si="308"/>
        <v>0.25615960335597443</v>
      </c>
      <c r="F356" s="1434">
        <f t="shared" si="308"/>
        <v>0.10598580683260567</v>
      </c>
      <c r="G356" s="1437">
        <f t="shared" si="308"/>
        <v>1.029564233649565E-4</v>
      </c>
      <c r="H356" s="1438">
        <f t="shared" si="308"/>
        <v>4.0021139377866555E-2</v>
      </c>
      <c r="I356" s="1434">
        <f t="shared" si="308"/>
        <v>0.2541581749615997</v>
      </c>
      <c r="J356" s="1434">
        <f t="shared" si="308"/>
        <v>0.10515771762409487</v>
      </c>
      <c r="K356" s="1437">
        <f t="shared" si="308"/>
        <v>1.0215200336115309E-4</v>
      </c>
      <c r="L356" s="1434"/>
      <c r="M356" s="1438">
        <f t="shared" si="305"/>
        <v>0</v>
      </c>
      <c r="N356" s="1434">
        <f t="shared" si="305"/>
        <v>0</v>
      </c>
      <c r="O356" s="1439">
        <f t="shared" si="305"/>
        <v>4.0021139377866555E-2</v>
      </c>
      <c r="P356" s="1434">
        <f t="shared" si="305"/>
        <v>0.25344090232708405</v>
      </c>
      <c r="Q356" s="1434">
        <f t="shared" si="305"/>
        <v>0.10475988283309681</v>
      </c>
      <c r="R356" s="1434">
        <f t="shared" si="305"/>
        <v>1.0129184569924105E-4</v>
      </c>
      <c r="S356" s="1438">
        <f t="shared" si="299"/>
        <v>2.7187010288903801E-3</v>
      </c>
      <c r="T356" s="1434">
        <f t="shared" si="300"/>
        <v>1.2259239995088544E-3</v>
      </c>
      <c r="U356" s="1437">
        <f t="shared" si="301"/>
        <v>1.6645776657154497E-6</v>
      </c>
      <c r="V356" s="1437">
        <f t="shared" si="302"/>
        <v>0.2134197629492175</v>
      </c>
    </row>
    <row r="357" spans="1:23">
      <c r="A357" s="1207" t="s">
        <v>1369</v>
      </c>
      <c r="B357" s="1207" t="s">
        <v>1368</v>
      </c>
      <c r="C357" s="1434">
        <f t="shared" ref="C357:K357" si="309">C139/C$172*100</f>
        <v>0</v>
      </c>
      <c r="D357" s="1438">
        <f t="shared" si="309"/>
        <v>0</v>
      </c>
      <c r="E357" s="1434">
        <f t="shared" si="309"/>
        <v>1.7858974354594038E-2</v>
      </c>
      <c r="F357" s="1434">
        <f t="shared" si="309"/>
        <v>1.6945076769229218E-2</v>
      </c>
      <c r="G357" s="1437">
        <f t="shared" si="309"/>
        <v>1.5921096396642759E-2</v>
      </c>
      <c r="H357" s="1438">
        <f t="shared" si="309"/>
        <v>0</v>
      </c>
      <c r="I357" s="1434">
        <f t="shared" si="309"/>
        <v>0</v>
      </c>
      <c r="J357" s="1434">
        <f t="shared" si="309"/>
        <v>0</v>
      </c>
      <c r="K357" s="1437">
        <f t="shared" si="309"/>
        <v>0</v>
      </c>
      <c r="L357" s="1434"/>
      <c r="M357" s="1438">
        <f t="shared" si="305"/>
        <v>0</v>
      </c>
      <c r="N357" s="1434">
        <f t="shared" si="305"/>
        <v>0</v>
      </c>
      <c r="O357" s="1439">
        <f t="shared" si="305"/>
        <v>0</v>
      </c>
      <c r="P357" s="1434">
        <f t="shared" si="305"/>
        <v>0</v>
      </c>
      <c r="Q357" s="1434">
        <f t="shared" si="305"/>
        <v>0</v>
      </c>
      <c r="R357" s="1434">
        <f t="shared" si="305"/>
        <v>0</v>
      </c>
      <c r="S357" s="1438">
        <f t="shared" si="299"/>
        <v>1.7858974354594038E-2</v>
      </c>
      <c r="T357" s="1434">
        <f t="shared" si="300"/>
        <v>1.6945076769229218E-2</v>
      </c>
      <c r="U357" s="1437">
        <f t="shared" si="301"/>
        <v>1.5921096396642759E-2</v>
      </c>
      <c r="V357" s="1437">
        <f t="shared" si="302"/>
        <v>0</v>
      </c>
    </row>
    <row r="358" spans="1:23">
      <c r="A358" s="1207" t="s">
        <v>1285</v>
      </c>
      <c r="B358" s="1207"/>
      <c r="C358" s="1434">
        <f t="shared" ref="C358:K358" si="310">C140/C$172*100</f>
        <v>1.8414934598325514</v>
      </c>
      <c r="D358" s="1438">
        <f t="shared" si="310"/>
        <v>1.5282005725243222</v>
      </c>
      <c r="E358" s="1434">
        <f t="shared" si="310"/>
        <v>1.3801120319661204</v>
      </c>
      <c r="F358" s="1434">
        <f t="shared" si="310"/>
        <v>1.319185481585232</v>
      </c>
      <c r="G358" s="1437">
        <f t="shared" si="310"/>
        <v>1.3269437467734526</v>
      </c>
      <c r="H358" s="1438">
        <f t="shared" si="310"/>
        <v>1.6874804404493533</v>
      </c>
      <c r="I358" s="1434">
        <f t="shared" si="310"/>
        <v>1.5539654776807699</v>
      </c>
      <c r="J358" s="1434">
        <f t="shared" si="310"/>
        <v>1.4745336587437208</v>
      </c>
      <c r="K358" s="1437">
        <f t="shared" si="310"/>
        <v>1.5553511999803897</v>
      </c>
      <c r="L358" s="1434"/>
      <c r="M358" s="1438">
        <f t="shared" si="305"/>
        <v>-1.4781584257753114E-2</v>
      </c>
      <c r="N358" s="1434">
        <f t="shared" si="305"/>
        <v>0.17122001765230691</v>
      </c>
      <c r="O358" s="1439">
        <f t="shared" si="305"/>
        <v>1.6726988561916001</v>
      </c>
      <c r="P358" s="1434">
        <f t="shared" si="305"/>
        <v>1.6726988561916005</v>
      </c>
      <c r="Q358" s="1434">
        <f t="shared" si="305"/>
        <v>1.6726988561916005</v>
      </c>
      <c r="R358" s="1434">
        <f t="shared" si="305"/>
        <v>1.6726988561916001</v>
      </c>
      <c r="S358" s="1438">
        <f t="shared" si="299"/>
        <v>-0.2925868242254801</v>
      </c>
      <c r="T358" s="1434">
        <f t="shared" si="300"/>
        <v>-0.35351337460636856</v>
      </c>
      <c r="U358" s="1437">
        <f t="shared" si="301"/>
        <v>-0.34575510941814747</v>
      </c>
      <c r="V358" s="1437">
        <f t="shared" si="302"/>
        <v>0</v>
      </c>
    </row>
    <row r="359" spans="1:23">
      <c r="A359" s="1445" t="s">
        <v>50</v>
      </c>
      <c r="B359" s="1445"/>
      <c r="C359" s="1442">
        <f t="shared" ref="C359:K359" si="311">C141/C$172*100</f>
        <v>0.91208683672743174</v>
      </c>
      <c r="D359" s="1443">
        <f t="shared" si="311"/>
        <v>0.70244000800552864</v>
      </c>
      <c r="E359" s="1442">
        <f t="shared" si="311"/>
        <v>0.33443905974703098</v>
      </c>
      <c r="F359" s="1442">
        <f t="shared" si="311"/>
        <v>0.41210426702765462</v>
      </c>
      <c r="G359" s="1441">
        <f t="shared" si="311"/>
        <v>0.34814130787325498</v>
      </c>
      <c r="H359" s="1443">
        <f t="shared" si="311"/>
        <v>0.65289746230709622</v>
      </c>
      <c r="I359" s="1442">
        <f t="shared" si="311"/>
        <v>0.56720650092232372</v>
      </c>
      <c r="J359" s="1442">
        <f t="shared" si="311"/>
        <v>0.52198189054997346</v>
      </c>
      <c r="K359" s="1441">
        <f t="shared" si="311"/>
        <v>0.48053428910983415</v>
      </c>
      <c r="L359" s="1442"/>
      <c r="M359" s="1443">
        <f t="shared" si="305"/>
        <v>-7.1296508069895867E-3</v>
      </c>
      <c r="N359" s="1442">
        <f t="shared" si="305"/>
        <v>-4.4054235445963E-2</v>
      </c>
      <c r="O359" s="1444">
        <f t="shared" si="305"/>
        <v>0.64576781150010665</v>
      </c>
      <c r="P359" s="1442">
        <f t="shared" si="305"/>
        <v>0.58124548615080918</v>
      </c>
      <c r="Q359" s="1442">
        <f t="shared" si="305"/>
        <v>0.51848916365853503</v>
      </c>
      <c r="R359" s="1442">
        <f t="shared" si="305"/>
        <v>0.54929569306360426</v>
      </c>
      <c r="S359" s="1443">
        <f t="shared" si="299"/>
        <v>-0.2468064264037782</v>
      </c>
      <c r="T359" s="1442">
        <f t="shared" si="300"/>
        <v>-0.10638489663088041</v>
      </c>
      <c r="U359" s="1441">
        <f t="shared" si="301"/>
        <v>-0.20115438519034928</v>
      </c>
      <c r="V359" s="1441">
        <f t="shared" si="302"/>
        <v>-6.4522325349297471E-2</v>
      </c>
      <c r="W359" s="1440"/>
    </row>
    <row r="360" spans="1:23">
      <c r="A360" s="1207" t="s">
        <v>1159</v>
      </c>
      <c r="B360" s="1207"/>
      <c r="C360" s="1434">
        <f t="shared" ref="C360:K360" si="312">C142/C$172*100</f>
        <v>0.17230676710859427</v>
      </c>
      <c r="D360" s="1438">
        <f t="shared" si="312"/>
        <v>0.11870590555929414</v>
      </c>
      <c r="E360" s="1434">
        <f t="shared" si="312"/>
        <v>0.10748386449585935</v>
      </c>
      <c r="F360" s="1434">
        <f t="shared" si="312"/>
        <v>0.16631443054519837</v>
      </c>
      <c r="G360" s="1437">
        <f t="shared" si="312"/>
        <v>0.17586665975081145</v>
      </c>
      <c r="H360" s="1438">
        <f t="shared" si="312"/>
        <v>0.1100918205899509</v>
      </c>
      <c r="I360" s="1434">
        <f t="shared" si="312"/>
        <v>8.9952547528991442E-2</v>
      </c>
      <c r="J360" s="1434">
        <f t="shared" si="312"/>
        <v>8.4894402151516474E-2</v>
      </c>
      <c r="K360" s="1437">
        <f t="shared" si="312"/>
        <v>0.1280636458339843</v>
      </c>
      <c r="L360" s="1434"/>
      <c r="M360" s="1438">
        <f t="shared" si="305"/>
        <v>0</v>
      </c>
      <c r="N360" s="1434">
        <f t="shared" si="305"/>
        <v>-7.6866109771377526E-3</v>
      </c>
      <c r="O360" s="1439">
        <f t="shared" si="305"/>
        <v>0.1100918205899509</v>
      </c>
      <c r="P360" s="1434">
        <f t="shared" si="305"/>
        <v>8.9698687897062382E-2</v>
      </c>
      <c r="Q360" s="1434">
        <f t="shared" si="305"/>
        <v>8.4573227942909321E-2</v>
      </c>
      <c r="R360" s="1434">
        <f t="shared" si="305"/>
        <v>0.12698530255581045</v>
      </c>
      <c r="S360" s="1438">
        <f t="shared" si="299"/>
        <v>1.778517659879697E-2</v>
      </c>
      <c r="T360" s="1434">
        <f t="shared" si="300"/>
        <v>8.1741202602289051E-2</v>
      </c>
      <c r="U360" s="1437">
        <f t="shared" si="301"/>
        <v>4.8881357195001002E-2</v>
      </c>
      <c r="V360" s="1437">
        <f t="shared" si="302"/>
        <v>-2.0393132692888519E-2</v>
      </c>
    </row>
    <row r="361" spans="1:23">
      <c r="A361" s="1207" t="s">
        <v>1354</v>
      </c>
      <c r="B361" s="1207"/>
      <c r="C361" s="1434">
        <f t="shared" ref="C361:K361" si="313">C143/C$172*100</f>
        <v>5.4380979493071158E-3</v>
      </c>
      <c r="D361" s="1438">
        <f t="shared" si="313"/>
        <v>2.1602078719151992E-2</v>
      </c>
      <c r="E361" s="1434">
        <f t="shared" si="313"/>
        <v>0</v>
      </c>
      <c r="F361" s="1434">
        <f t="shared" si="313"/>
        <v>0</v>
      </c>
      <c r="G361" s="1437">
        <f t="shared" si="313"/>
        <v>0</v>
      </c>
      <c r="H361" s="1438">
        <f t="shared" si="313"/>
        <v>2.1433297173742014E-2</v>
      </c>
      <c r="I361" s="1434">
        <f t="shared" si="313"/>
        <v>0</v>
      </c>
      <c r="J361" s="1434">
        <f t="shared" si="313"/>
        <v>0</v>
      </c>
      <c r="K361" s="1437">
        <f t="shared" si="313"/>
        <v>0</v>
      </c>
      <c r="L361" s="1434"/>
      <c r="M361" s="1438">
        <f t="shared" si="305"/>
        <v>0</v>
      </c>
      <c r="N361" s="1434">
        <f t="shared" si="305"/>
        <v>0</v>
      </c>
      <c r="O361" s="1439">
        <f t="shared" si="305"/>
        <v>2.1433297173742014E-2</v>
      </c>
      <c r="P361" s="1434">
        <f t="shared" si="305"/>
        <v>0</v>
      </c>
      <c r="Q361" s="1434">
        <f t="shared" si="305"/>
        <v>0</v>
      </c>
      <c r="R361" s="1434">
        <f t="shared" si="305"/>
        <v>0</v>
      </c>
      <c r="S361" s="1438">
        <f t="shared" si="299"/>
        <v>0</v>
      </c>
      <c r="T361" s="1434">
        <f t="shared" si="300"/>
        <v>0</v>
      </c>
      <c r="U361" s="1437">
        <f t="shared" si="301"/>
        <v>0</v>
      </c>
      <c r="V361" s="1437">
        <f t="shared" si="302"/>
        <v>-2.1433297173742014E-2</v>
      </c>
    </row>
    <row r="362" spans="1:23">
      <c r="A362" s="1207" t="s">
        <v>1353</v>
      </c>
      <c r="B362" s="1207"/>
      <c r="C362" s="1434">
        <f t="shared" ref="C362:K362" si="314">C144/C$172*100</f>
        <v>5.299571967424789E-2</v>
      </c>
      <c r="D362" s="1438">
        <f t="shared" si="314"/>
        <v>0</v>
      </c>
      <c r="E362" s="1434">
        <f t="shared" si="314"/>
        <v>0</v>
      </c>
      <c r="F362" s="1434">
        <f t="shared" si="314"/>
        <v>0</v>
      </c>
      <c r="G362" s="1437">
        <f t="shared" si="314"/>
        <v>0</v>
      </c>
      <c r="H362" s="1438">
        <f t="shared" si="314"/>
        <v>0</v>
      </c>
      <c r="I362" s="1434">
        <f t="shared" si="314"/>
        <v>0</v>
      </c>
      <c r="J362" s="1434">
        <f t="shared" si="314"/>
        <v>0</v>
      </c>
      <c r="K362" s="1437">
        <f t="shared" si="314"/>
        <v>0</v>
      </c>
      <c r="L362" s="1434"/>
      <c r="M362" s="1438">
        <f t="shared" si="305"/>
        <v>0</v>
      </c>
      <c r="N362" s="1434">
        <f t="shared" si="305"/>
        <v>0</v>
      </c>
      <c r="O362" s="1439">
        <f t="shared" si="305"/>
        <v>0</v>
      </c>
      <c r="P362" s="1434">
        <f t="shared" si="305"/>
        <v>0</v>
      </c>
      <c r="Q362" s="1434">
        <f t="shared" si="305"/>
        <v>0</v>
      </c>
      <c r="R362" s="1434">
        <f t="shared" si="305"/>
        <v>0</v>
      </c>
      <c r="S362" s="1438">
        <f t="shared" si="299"/>
        <v>0</v>
      </c>
      <c r="T362" s="1434">
        <f t="shared" si="300"/>
        <v>0</v>
      </c>
      <c r="U362" s="1437">
        <f t="shared" si="301"/>
        <v>0</v>
      </c>
      <c r="V362" s="1437">
        <f t="shared" si="302"/>
        <v>0</v>
      </c>
    </row>
    <row r="363" spans="1:23">
      <c r="A363" s="1207" t="s">
        <v>1299</v>
      </c>
      <c r="B363" s="1207"/>
      <c r="C363" s="1434">
        <f t="shared" ref="C363:K363" si="315">C145/C$172*100</f>
        <v>4.2587207824557473E-2</v>
      </c>
      <c r="D363" s="1438">
        <f t="shared" si="315"/>
        <v>5.3521012274864506E-2</v>
      </c>
      <c r="E363" s="1434">
        <f t="shared" si="315"/>
        <v>1.1429743586940185E-2</v>
      </c>
      <c r="F363" s="1434">
        <f t="shared" si="315"/>
        <v>1.0844849132306699E-2</v>
      </c>
      <c r="G363" s="1437">
        <f t="shared" si="315"/>
        <v>1.0189501693851365E-2</v>
      </c>
      <c r="H363" s="1438">
        <f t="shared" si="315"/>
        <v>1.1825267406202494E-2</v>
      </c>
      <c r="I363" s="1434">
        <f t="shared" si="315"/>
        <v>1.1340440617011961E-2</v>
      </c>
      <c r="J363" s="1434">
        <f t="shared" si="315"/>
        <v>1.0760116064712331E-2</v>
      </c>
      <c r="K363" s="1437">
        <f t="shared" si="315"/>
        <v>1.0109888992444017E-2</v>
      </c>
      <c r="L363" s="1434"/>
      <c r="M363" s="1438">
        <f t="shared" ref="M363:R372" si="316">M145/M$172*100</f>
        <v>0</v>
      </c>
      <c r="N363" s="1434">
        <f t="shared" si="316"/>
        <v>-4.1277574039775569E-2</v>
      </c>
      <c r="O363" s="1439">
        <f t="shared" si="316"/>
        <v>1.1825267406202494E-2</v>
      </c>
      <c r="P363" s="1434">
        <f t="shared" si="316"/>
        <v>1.1308436186231164E-2</v>
      </c>
      <c r="Q363" s="1434">
        <f t="shared" si="316"/>
        <v>1.0719408177336704E-2</v>
      </c>
      <c r="R363" s="1434">
        <f t="shared" si="316"/>
        <v>1.0024759986729012E-2</v>
      </c>
      <c r="S363" s="1438">
        <f t="shared" si="299"/>
        <v>1.2130740070902084E-4</v>
      </c>
      <c r="T363" s="1434">
        <f t="shared" si="300"/>
        <v>1.2544095496999468E-4</v>
      </c>
      <c r="U363" s="1437">
        <f t="shared" si="301"/>
        <v>1.6474170712235323E-4</v>
      </c>
      <c r="V363" s="1437">
        <f t="shared" si="302"/>
        <v>-5.1683121997132993E-4</v>
      </c>
    </row>
    <row r="364" spans="1:23">
      <c r="A364" s="1207" t="s">
        <v>1367</v>
      </c>
      <c r="B364" s="1207"/>
      <c r="C364" s="1434">
        <f t="shared" ref="C364:K364" si="317">C146/C$172*100</f>
        <v>7.355856726008316E-3</v>
      </c>
      <c r="D364" s="1438">
        <f t="shared" si="317"/>
        <v>7.1857949210604455E-3</v>
      </c>
      <c r="E364" s="1434">
        <f t="shared" si="317"/>
        <v>6.8911829042926868E-3</v>
      </c>
      <c r="F364" s="1434">
        <f t="shared" si="317"/>
        <v>6.5385402893532486E-3</v>
      </c>
      <c r="G364" s="1437">
        <f t="shared" si="317"/>
        <v>6.1434203962512186E-3</v>
      </c>
      <c r="H364" s="1438">
        <f t="shared" si="317"/>
        <v>7.1296508069895867E-3</v>
      </c>
      <c r="I364" s="1434">
        <f t="shared" si="317"/>
        <v>6.8373406553401284E-3</v>
      </c>
      <c r="J364" s="1434">
        <f t="shared" si="317"/>
        <v>6.4874533106828091E-3</v>
      </c>
      <c r="K364" s="1437">
        <f t="shared" si="317"/>
        <v>6.0954205716943722E-3</v>
      </c>
      <c r="L364" s="1434"/>
      <c r="M364" s="1438">
        <f t="shared" si="316"/>
        <v>-7.1296508069895867E-3</v>
      </c>
      <c r="N364" s="1434">
        <f t="shared" si="316"/>
        <v>0</v>
      </c>
      <c r="O364" s="1439">
        <f t="shared" si="316"/>
        <v>0</v>
      </c>
      <c r="P364" s="1434">
        <f t="shared" si="316"/>
        <v>6.8180446506152055E-3</v>
      </c>
      <c r="Q364" s="1434">
        <f t="shared" si="316"/>
        <v>6.4629098469192537E-3</v>
      </c>
      <c r="R364" s="1434">
        <f t="shared" si="316"/>
        <v>6.0440948753320333E-3</v>
      </c>
      <c r="S364" s="1438">
        <f t="shared" si="299"/>
        <v>7.3138253677481301E-5</v>
      </c>
      <c r="T364" s="1434">
        <f t="shared" si="300"/>
        <v>7.5630442433994964E-5</v>
      </c>
      <c r="U364" s="1437">
        <f t="shared" si="301"/>
        <v>9.9325520919185326E-5</v>
      </c>
      <c r="V364" s="1437">
        <f t="shared" si="302"/>
        <v>6.8180446506152055E-3</v>
      </c>
    </row>
    <row r="365" spans="1:23">
      <c r="A365" s="1207" t="s">
        <v>1366</v>
      </c>
      <c r="B365" s="1207"/>
      <c r="C365" s="1434">
        <f t="shared" ref="C365:K365" si="318">C147/C$172*100</f>
        <v>0.30823047673271853</v>
      </c>
      <c r="D365" s="1438">
        <f t="shared" si="318"/>
        <v>0.24954125416951442</v>
      </c>
      <c r="E365" s="1434">
        <f t="shared" si="318"/>
        <v>0</v>
      </c>
      <c r="F365" s="1434">
        <f t="shared" si="318"/>
        <v>0</v>
      </c>
      <c r="G365" s="1437">
        <f t="shared" si="318"/>
        <v>0</v>
      </c>
      <c r="H365" s="1438">
        <f t="shared" si="318"/>
        <v>0.24759153631736466</v>
      </c>
      <c r="I365" s="1434">
        <f t="shared" si="318"/>
        <v>0.21972103695460671</v>
      </c>
      <c r="J365" s="1434">
        <f t="shared" si="318"/>
        <v>0.16252258639409251</v>
      </c>
      <c r="K365" s="1437">
        <f t="shared" si="318"/>
        <v>0.15270144832337318</v>
      </c>
      <c r="L365" s="1434"/>
      <c r="M365" s="1438">
        <f t="shared" si="316"/>
        <v>0</v>
      </c>
      <c r="N365" s="1434">
        <f t="shared" si="316"/>
        <v>0</v>
      </c>
      <c r="O365" s="1439">
        <f t="shared" si="316"/>
        <v>0.24759153631736466</v>
      </c>
      <c r="P365" s="1434">
        <f t="shared" si="316"/>
        <v>0.2185944274040538</v>
      </c>
      <c r="Q365" s="1434">
        <f t="shared" si="316"/>
        <v>0.1619077276785231</v>
      </c>
      <c r="R365" s="1434">
        <f t="shared" si="316"/>
        <v>0.15141564563288609</v>
      </c>
      <c r="S365" s="1438">
        <f t="shared" si="299"/>
        <v>-0.2185944274040538</v>
      </c>
      <c r="T365" s="1434">
        <f t="shared" si="300"/>
        <v>-0.1619077276785231</v>
      </c>
      <c r="U365" s="1437">
        <f t="shared" si="301"/>
        <v>-0.15141564563288609</v>
      </c>
      <c r="V365" s="1437">
        <f t="shared" si="302"/>
        <v>-2.8997108913310865E-2</v>
      </c>
    </row>
    <row r="366" spans="1:23">
      <c r="A366" s="1207" t="s">
        <v>1365</v>
      </c>
      <c r="B366" s="1207"/>
      <c r="C366" s="1434">
        <f t="shared" ref="C366:K366" si="319">C148/C$172*100</f>
        <v>8.4145002389255461E-3</v>
      </c>
      <c r="D366" s="1438">
        <f t="shared" si="319"/>
        <v>2.2657352679570338E-3</v>
      </c>
      <c r="E366" s="1434">
        <f t="shared" si="319"/>
        <v>1.0565369228177834E-2</v>
      </c>
      <c r="F366" s="1434">
        <f t="shared" si="319"/>
        <v>1.0831293070891316E-2</v>
      </c>
      <c r="G366" s="1437">
        <f t="shared" si="319"/>
        <v>5.9693497423145914E-3</v>
      </c>
      <c r="H366" s="1438">
        <f t="shared" si="319"/>
        <v>2.2480326058666195E-3</v>
      </c>
      <c r="I366" s="1434">
        <f t="shared" si="319"/>
        <v>1.0482819795350432E-2</v>
      </c>
      <c r="J366" s="1434">
        <f t="shared" si="319"/>
        <v>1.0746665919631439E-2</v>
      </c>
      <c r="K366" s="1437">
        <f t="shared" si="319"/>
        <v>5.922709968073453E-3</v>
      </c>
      <c r="L366" s="1434"/>
      <c r="M366" s="1438">
        <f t="shared" si="316"/>
        <v>0</v>
      </c>
      <c r="N366" s="1434">
        <f t="shared" si="316"/>
        <v>0</v>
      </c>
      <c r="O366" s="1439">
        <f t="shared" si="316"/>
        <v>2.2480326058666195E-3</v>
      </c>
      <c r="P366" s="1434">
        <f t="shared" si="316"/>
        <v>2.24803260586662E-3</v>
      </c>
      <c r="Q366" s="1434">
        <f t="shared" si="316"/>
        <v>2.24803260586662E-3</v>
      </c>
      <c r="R366" s="1434">
        <f t="shared" si="316"/>
        <v>2.24803260586662E-3</v>
      </c>
      <c r="S366" s="1438">
        <f t="shared" si="299"/>
        <v>8.3173366223112145E-3</v>
      </c>
      <c r="T366" s="1434">
        <f t="shared" si="300"/>
        <v>8.5832604650246964E-3</v>
      </c>
      <c r="U366" s="1437">
        <f t="shared" si="301"/>
        <v>3.7213171364479714E-3</v>
      </c>
      <c r="V366" s="1437">
        <f t="shared" si="302"/>
        <v>0</v>
      </c>
    </row>
    <row r="367" spans="1:23">
      <c r="A367" s="1207" t="s">
        <v>1285</v>
      </c>
      <c r="B367" s="1207"/>
      <c r="C367" s="1434">
        <f t="shared" ref="C367:K367" si="320">C149/C$172*100</f>
        <v>0.31475821047307256</v>
      </c>
      <c r="D367" s="1438">
        <f t="shared" si="320"/>
        <v>0.24961822709368606</v>
      </c>
      <c r="E367" s="1434">
        <f t="shared" si="320"/>
        <v>0.19806889953176099</v>
      </c>
      <c r="F367" s="1434">
        <f t="shared" si="320"/>
        <v>0.21757515398990501</v>
      </c>
      <c r="G367" s="1437">
        <f t="shared" si="320"/>
        <v>0.14997237629002635</v>
      </c>
      <c r="H367" s="1438">
        <f t="shared" si="320"/>
        <v>0.25257785740697997</v>
      </c>
      <c r="I367" s="1434">
        <f t="shared" si="320"/>
        <v>0.22887231537102301</v>
      </c>
      <c r="J367" s="1434">
        <f t="shared" si="320"/>
        <v>0.24657066670933792</v>
      </c>
      <c r="K367" s="1437">
        <f t="shared" si="320"/>
        <v>0.17764117542026484</v>
      </c>
      <c r="L367" s="1434"/>
      <c r="M367" s="1438">
        <f t="shared" si="316"/>
        <v>0</v>
      </c>
      <c r="N367" s="1434">
        <f t="shared" si="316"/>
        <v>4.9099495709503263E-3</v>
      </c>
      <c r="O367" s="1439">
        <f t="shared" si="316"/>
        <v>0.25257785740697997</v>
      </c>
      <c r="P367" s="1434">
        <f t="shared" si="316"/>
        <v>0.25257785740698002</v>
      </c>
      <c r="Q367" s="1434">
        <f t="shared" si="316"/>
        <v>0.25257785740698008</v>
      </c>
      <c r="R367" s="1434">
        <f t="shared" si="316"/>
        <v>0.25257785740698002</v>
      </c>
      <c r="S367" s="1438">
        <f t="shared" si="299"/>
        <v>-5.4508957875219033E-2</v>
      </c>
      <c r="T367" s="1434">
        <f t="shared" si="300"/>
        <v>-3.5002703417075065E-2</v>
      </c>
      <c r="U367" s="1437">
        <f t="shared" si="301"/>
        <v>-0.10260548111695367</v>
      </c>
      <c r="V367" s="1437">
        <f t="shared" si="302"/>
        <v>0</v>
      </c>
    </row>
    <row r="368" spans="1:23">
      <c r="A368" s="1445" t="s">
        <v>1364</v>
      </c>
      <c r="B368" s="1445"/>
      <c r="C368" s="1442">
        <f t="shared" ref="C368:K368" si="321">C150/C$172*100</f>
        <v>2.1279954654981346</v>
      </c>
      <c r="D368" s="1443">
        <f t="shared" si="321"/>
        <v>2.3177540667117738</v>
      </c>
      <c r="E368" s="1442">
        <f t="shared" si="321"/>
        <v>2.4637050421307634</v>
      </c>
      <c r="F368" s="1442">
        <f t="shared" si="321"/>
        <v>2.5749738658520722</v>
      </c>
      <c r="G368" s="1441">
        <f t="shared" si="321"/>
        <v>2.7921357454005626</v>
      </c>
      <c r="H368" s="1443">
        <f t="shared" si="321"/>
        <v>2.1744154466347991</v>
      </c>
      <c r="I368" s="1442">
        <f t="shared" si="321"/>
        <v>1.9657243654049483</v>
      </c>
      <c r="J368" s="1442">
        <f t="shared" si="321"/>
        <v>1.9251686139151472</v>
      </c>
      <c r="K368" s="1441">
        <f t="shared" si="321"/>
        <v>1.869162142323779</v>
      </c>
      <c r="L368" s="1442"/>
      <c r="M368" s="1443">
        <f t="shared" si="316"/>
        <v>-4.0649356708821069E-2</v>
      </c>
      <c r="N368" s="1442">
        <f t="shared" si="316"/>
        <v>-0.12522952426514217</v>
      </c>
      <c r="O368" s="1444">
        <f t="shared" si="316"/>
        <v>2.1337660899259774</v>
      </c>
      <c r="P368" s="1442">
        <f t="shared" si="316"/>
        <v>1.8918668722135483</v>
      </c>
      <c r="Q368" s="1442">
        <f t="shared" si="316"/>
        <v>1.7939140290990241</v>
      </c>
      <c r="R368" s="1442">
        <f t="shared" si="316"/>
        <v>1.7619345019601762</v>
      </c>
      <c r="S368" s="1443">
        <f t="shared" si="299"/>
        <v>0.57183816991721503</v>
      </c>
      <c r="T368" s="1442">
        <f t="shared" si="300"/>
        <v>0.78105983675304813</v>
      </c>
      <c r="U368" s="1441">
        <f t="shared" si="301"/>
        <v>1.0302012434403864</v>
      </c>
      <c r="V368" s="1441">
        <f t="shared" si="302"/>
        <v>-0.24189921771242906</v>
      </c>
      <c r="W368" s="1440"/>
    </row>
    <row r="369" spans="1:22">
      <c r="A369" s="1207" t="s">
        <v>1363</v>
      </c>
      <c r="B369" s="1207"/>
      <c r="C369" s="1434">
        <f t="shared" ref="C369:K369" si="322">C151/C$172*100</f>
        <v>1.8587972691318511E-2</v>
      </c>
      <c r="D369" s="1438">
        <f t="shared" si="322"/>
        <v>0.12416353418282242</v>
      </c>
      <c r="E369" s="1434">
        <f t="shared" si="322"/>
        <v>0.29159298716779647</v>
      </c>
      <c r="F369" s="1434">
        <f t="shared" si="322"/>
        <v>0.38367988808041237</v>
      </c>
      <c r="G369" s="1437">
        <f t="shared" si="322"/>
        <v>0.36401515470141821</v>
      </c>
      <c r="H369" s="1438">
        <f t="shared" si="322"/>
        <v>6.1589934407304649E-3</v>
      </c>
      <c r="I369" s="1434">
        <f t="shared" si="322"/>
        <v>5.4193700464691928E-3</v>
      </c>
      <c r="J369" s="1434">
        <f t="shared" si="322"/>
        <v>6.7366540820293112E-3</v>
      </c>
      <c r="K369" s="1437">
        <f t="shared" si="322"/>
        <v>5.8332459181394602E-3</v>
      </c>
      <c r="L369" s="1434"/>
      <c r="M369" s="1438">
        <f t="shared" si="316"/>
        <v>0</v>
      </c>
      <c r="N369" s="1434">
        <f t="shared" si="316"/>
        <v>-0.11703442515944842</v>
      </c>
      <c r="O369" s="1439">
        <f t="shared" si="316"/>
        <v>6.1589934407304649E-3</v>
      </c>
      <c r="P369" s="1434">
        <f t="shared" si="316"/>
        <v>5.4040757682850124E-3</v>
      </c>
      <c r="Q369" s="1434">
        <f t="shared" si="316"/>
        <v>6.7111678368986308E-3</v>
      </c>
      <c r="R369" s="1434">
        <f t="shared" si="316"/>
        <v>5.7841278293579244E-3</v>
      </c>
      <c r="S369" s="1438">
        <f t="shared" si="299"/>
        <v>0.28618891139951147</v>
      </c>
      <c r="T369" s="1434">
        <f t="shared" si="300"/>
        <v>0.37696872024351374</v>
      </c>
      <c r="U369" s="1437">
        <f t="shared" si="301"/>
        <v>0.35823102687206027</v>
      </c>
      <c r="V369" s="1437">
        <f t="shared" si="302"/>
        <v>-7.5491767244545253E-4</v>
      </c>
    </row>
    <row r="370" spans="1:22">
      <c r="A370" s="1207" t="s">
        <v>1159</v>
      </c>
      <c r="B370" s="1207"/>
      <c r="C370" s="1434">
        <f t="shared" ref="C370:K370" si="323">C152/C$172*100</f>
        <v>1.6694175694154968E-2</v>
      </c>
      <c r="D370" s="1438">
        <f t="shared" si="323"/>
        <v>3.8438043633543958E-2</v>
      </c>
      <c r="E370" s="1434">
        <f t="shared" si="323"/>
        <v>9.090736571103622E-2</v>
      </c>
      <c r="F370" s="1434">
        <f t="shared" si="323"/>
        <v>9.4860744873468739E-2</v>
      </c>
      <c r="G370" s="1437">
        <f t="shared" si="323"/>
        <v>9.1044424620390918E-2</v>
      </c>
      <c r="H370" s="1438">
        <f t="shared" si="323"/>
        <v>1.4814503296214742E-2</v>
      </c>
      <c r="I370" s="1434">
        <f t="shared" si="323"/>
        <v>1.1427149841591632E-2</v>
      </c>
      <c r="J370" s="1434">
        <f t="shared" si="323"/>
        <v>8.1217565482479773E-3</v>
      </c>
      <c r="K370" s="1437">
        <f t="shared" si="323"/>
        <v>5.2099857364927074E-3</v>
      </c>
      <c r="L370" s="1434"/>
      <c r="M370" s="1438">
        <f t="shared" si="316"/>
        <v>0</v>
      </c>
      <c r="N370" s="1434">
        <f t="shared" si="316"/>
        <v>-2.3323215887476437E-2</v>
      </c>
      <c r="O370" s="1439">
        <f t="shared" si="316"/>
        <v>1.4814503296214742E-2</v>
      </c>
      <c r="P370" s="1434">
        <f t="shared" si="316"/>
        <v>1.1394900704324567E-2</v>
      </c>
      <c r="Q370" s="1434">
        <f t="shared" si="316"/>
        <v>8.0910301556263772E-3</v>
      </c>
      <c r="R370" s="1434">
        <f t="shared" si="316"/>
        <v>5.166115729030858E-3</v>
      </c>
      <c r="S370" s="1438">
        <f t="shared" si="299"/>
        <v>7.951246500671165E-2</v>
      </c>
      <c r="T370" s="1434">
        <f t="shared" si="300"/>
        <v>8.6769714717842367E-2</v>
      </c>
      <c r="U370" s="1437">
        <f t="shared" si="301"/>
        <v>8.5878308891360056E-2</v>
      </c>
      <c r="V370" s="1437">
        <f t="shared" si="302"/>
        <v>-3.4196025918901748E-3</v>
      </c>
    </row>
    <row r="371" spans="1:22">
      <c r="A371" s="1207" t="s">
        <v>1362</v>
      </c>
      <c r="B371" s="1207"/>
      <c r="C371" s="1434">
        <f t="shared" ref="C371:K371" si="324">C153/C$172*100</f>
        <v>0.81016455151895639</v>
      </c>
      <c r="D371" s="1438">
        <f t="shared" si="324"/>
        <v>0.85256079861708856</v>
      </c>
      <c r="E371" s="1434">
        <f t="shared" si="324"/>
        <v>0.84073741090490117</v>
      </c>
      <c r="F371" s="1434">
        <f t="shared" si="324"/>
        <v>0.90123068600216372</v>
      </c>
      <c r="G371" s="1437">
        <f t="shared" si="324"/>
        <v>0.87890820548026682</v>
      </c>
      <c r="H371" s="1438">
        <f t="shared" si="324"/>
        <v>0.84589956332499683</v>
      </c>
      <c r="I371" s="1434">
        <f t="shared" si="324"/>
        <v>0.83416855420636937</v>
      </c>
      <c r="J371" s="1434">
        <f t="shared" si="324"/>
        <v>0.89418918273148607</v>
      </c>
      <c r="K371" s="1437">
        <f t="shared" si="324"/>
        <v>0.87204111240449922</v>
      </c>
      <c r="L371" s="1434"/>
      <c r="M371" s="1438">
        <f t="shared" si="316"/>
        <v>-4.0649356708821069E-2</v>
      </c>
      <c r="N371" s="1434">
        <f t="shared" si="316"/>
        <v>0</v>
      </c>
      <c r="O371" s="1439">
        <f t="shared" si="316"/>
        <v>0.80525020661617575</v>
      </c>
      <c r="P371" s="1434">
        <f t="shared" si="316"/>
        <v>0.80525020661617575</v>
      </c>
      <c r="Q371" s="1434">
        <f t="shared" si="316"/>
        <v>0.80525020661617575</v>
      </c>
      <c r="R371" s="1434">
        <f t="shared" si="316"/>
        <v>0.80525020661617575</v>
      </c>
      <c r="S371" s="1438">
        <f t="shared" si="299"/>
        <v>3.5487204288725427E-2</v>
      </c>
      <c r="T371" s="1434">
        <f t="shared" si="300"/>
        <v>9.5980479385987971E-2</v>
      </c>
      <c r="U371" s="1437">
        <f t="shared" si="301"/>
        <v>7.3657998864091079E-2</v>
      </c>
      <c r="V371" s="1437">
        <f t="shared" si="302"/>
        <v>0</v>
      </c>
    </row>
    <row r="372" spans="1:22">
      <c r="A372" s="1207" t="s">
        <v>1361</v>
      </c>
      <c r="B372" s="1207"/>
      <c r="C372" s="1434">
        <f t="shared" ref="C372:K372" si="325">C154/C$172*100</f>
        <v>7.2376648332096338E-2</v>
      </c>
      <c r="D372" s="1438">
        <f t="shared" si="325"/>
        <v>7.3783513813673693E-2</v>
      </c>
      <c r="E372" s="1434">
        <f t="shared" si="325"/>
        <v>7.7278163228909014E-2</v>
      </c>
      <c r="F372" s="1434">
        <f t="shared" si="325"/>
        <v>7.5986242920362282E-2</v>
      </c>
      <c r="G372" s="1437">
        <f t="shared" si="325"/>
        <v>7.5852348859311858E-2</v>
      </c>
      <c r="H372" s="1438">
        <f t="shared" si="325"/>
        <v>7.3207027835210436E-2</v>
      </c>
      <c r="I372" s="1434">
        <f t="shared" si="325"/>
        <v>7.6674372825874498E-2</v>
      </c>
      <c r="J372" s="1434">
        <f t="shared" si="325"/>
        <v>7.5392546560084386E-2</v>
      </c>
      <c r="K372" s="1437">
        <f t="shared" si="325"/>
        <v>7.525969864125201E-2</v>
      </c>
      <c r="L372" s="1434"/>
      <c r="M372" s="1438">
        <f t="shared" si="316"/>
        <v>0</v>
      </c>
      <c r="N372" s="1434">
        <f t="shared" si="316"/>
        <v>0</v>
      </c>
      <c r="O372" s="1439">
        <f t="shared" si="316"/>
        <v>7.3207027835210436E-2</v>
      </c>
      <c r="P372" s="1434">
        <f t="shared" si="316"/>
        <v>7.6689481446246904E-2</v>
      </c>
      <c r="Q372" s="1434">
        <f t="shared" si="316"/>
        <v>7.5458882402893016E-2</v>
      </c>
      <c r="R372" s="1434">
        <f t="shared" si="316"/>
        <v>7.5336895565414452E-2</v>
      </c>
      <c r="S372" s="1438">
        <f t="shared" si="299"/>
        <v>5.8868178266210935E-4</v>
      </c>
      <c r="T372" s="1434">
        <f t="shared" si="300"/>
        <v>5.2736051746926638E-4</v>
      </c>
      <c r="U372" s="1437">
        <f t="shared" si="301"/>
        <v>5.1545329389740546E-4</v>
      </c>
      <c r="V372" s="1437">
        <f t="shared" si="302"/>
        <v>3.4824536110364679E-3</v>
      </c>
    </row>
    <row r="373" spans="1:22">
      <c r="A373" s="1207" t="s">
        <v>1360</v>
      </c>
      <c r="B373" s="1207"/>
      <c r="C373" s="1434">
        <f t="shared" ref="C373:K373" si="326">C155/C$172*100</f>
        <v>0</v>
      </c>
      <c r="D373" s="1438">
        <f t="shared" si="326"/>
        <v>0</v>
      </c>
      <c r="E373" s="1434">
        <f t="shared" si="326"/>
        <v>0</v>
      </c>
      <c r="F373" s="1434">
        <f t="shared" si="326"/>
        <v>3.6305391813965908E-2</v>
      </c>
      <c r="G373" s="1437">
        <f t="shared" si="326"/>
        <v>4.7530841182537288E-2</v>
      </c>
      <c r="H373" s="1438">
        <f t="shared" si="326"/>
        <v>0</v>
      </c>
      <c r="I373" s="1434">
        <f t="shared" si="326"/>
        <v>0</v>
      </c>
      <c r="J373" s="1434">
        <f t="shared" si="326"/>
        <v>3.6021730217471341E-2</v>
      </c>
      <c r="K373" s="1437">
        <f t="shared" si="326"/>
        <v>4.7159472809441202E-2</v>
      </c>
      <c r="L373" s="1434"/>
      <c r="M373" s="1438">
        <f t="shared" ref="M373:R382" si="327">M155/M$172*100</f>
        <v>0</v>
      </c>
      <c r="N373" s="1434">
        <f t="shared" si="327"/>
        <v>0</v>
      </c>
      <c r="O373" s="1439">
        <f t="shared" si="327"/>
        <v>0</v>
      </c>
      <c r="P373" s="1434">
        <f t="shared" si="327"/>
        <v>0</v>
      </c>
      <c r="Q373" s="1434">
        <f t="shared" si="327"/>
        <v>3.5885452083671554E-2</v>
      </c>
      <c r="R373" s="1434">
        <f t="shared" si="327"/>
        <v>4.676237260059498E-2</v>
      </c>
      <c r="S373" s="1438">
        <f t="shared" si="299"/>
        <v>0</v>
      </c>
      <c r="T373" s="1434">
        <f t="shared" si="300"/>
        <v>4.1993973029435389E-4</v>
      </c>
      <c r="U373" s="1437">
        <f t="shared" si="301"/>
        <v>7.6846858194230816E-4</v>
      </c>
      <c r="V373" s="1437">
        <f t="shared" si="302"/>
        <v>0</v>
      </c>
    </row>
    <row r="374" spans="1:22">
      <c r="A374" s="1207" t="s">
        <v>1359</v>
      </c>
      <c r="B374" s="1207"/>
      <c r="C374" s="1434">
        <f t="shared" ref="C374:K374" si="328">C156/C$172*100</f>
        <v>0</v>
      </c>
      <c r="D374" s="1438">
        <f t="shared" si="328"/>
        <v>0</v>
      </c>
      <c r="E374" s="1434">
        <f t="shared" si="328"/>
        <v>0.11662148373207967</v>
      </c>
      <c r="F374" s="1434">
        <f t="shared" si="328"/>
        <v>0.18209631364927564</v>
      </c>
      <c r="G374" s="1437">
        <f t="shared" si="328"/>
        <v>0.51286203259934737</v>
      </c>
      <c r="H374" s="1438">
        <f t="shared" si="328"/>
        <v>0</v>
      </c>
      <c r="I374" s="1434">
        <f t="shared" si="328"/>
        <v>0</v>
      </c>
      <c r="J374" s="1434">
        <f t="shared" si="328"/>
        <v>0</v>
      </c>
      <c r="K374" s="1437">
        <f t="shared" si="328"/>
        <v>0</v>
      </c>
      <c r="L374" s="1434"/>
      <c r="M374" s="1438">
        <f t="shared" si="327"/>
        <v>0</v>
      </c>
      <c r="N374" s="1434">
        <f t="shared" si="327"/>
        <v>0</v>
      </c>
      <c r="O374" s="1439">
        <f t="shared" si="327"/>
        <v>0</v>
      </c>
      <c r="P374" s="1434">
        <f t="shared" si="327"/>
        <v>0</v>
      </c>
      <c r="Q374" s="1434">
        <f t="shared" si="327"/>
        <v>0</v>
      </c>
      <c r="R374" s="1434">
        <f t="shared" si="327"/>
        <v>0</v>
      </c>
      <c r="S374" s="1438">
        <f t="shared" si="299"/>
        <v>0.11662148373207967</v>
      </c>
      <c r="T374" s="1434">
        <f t="shared" si="300"/>
        <v>0.18209631364927564</v>
      </c>
      <c r="U374" s="1437">
        <f t="shared" si="301"/>
        <v>0.51286203259934737</v>
      </c>
      <c r="V374" s="1437">
        <f t="shared" si="302"/>
        <v>0</v>
      </c>
    </row>
    <row r="375" spans="1:22">
      <c r="A375" s="1207" t="s">
        <v>1358</v>
      </c>
      <c r="B375" s="1207"/>
      <c r="C375" s="1434">
        <f t="shared" ref="C375:K375" si="329">C157/C$172*100</f>
        <v>0</v>
      </c>
      <c r="D375" s="1438">
        <f t="shared" si="329"/>
        <v>5.7965577896391179E-3</v>
      </c>
      <c r="E375" s="1434">
        <f t="shared" si="329"/>
        <v>2.6611062386635419E-2</v>
      </c>
      <c r="F375" s="1434">
        <f t="shared" si="329"/>
        <v>2.5788147499197642E-2</v>
      </c>
      <c r="G375" s="1437">
        <f t="shared" si="329"/>
        <v>1.9816457981688022E-2</v>
      </c>
      <c r="H375" s="1438">
        <f t="shared" si="329"/>
        <v>0</v>
      </c>
      <c r="I375" s="1434">
        <f t="shared" si="329"/>
        <v>0</v>
      </c>
      <c r="J375" s="1434">
        <f t="shared" si="329"/>
        <v>0</v>
      </c>
      <c r="K375" s="1437">
        <f t="shared" si="329"/>
        <v>0</v>
      </c>
      <c r="L375" s="1434"/>
      <c r="M375" s="1438">
        <f t="shared" si="327"/>
        <v>0</v>
      </c>
      <c r="N375" s="1434">
        <f t="shared" si="327"/>
        <v>-5.7512680749541066E-3</v>
      </c>
      <c r="O375" s="1439">
        <f t="shared" si="327"/>
        <v>0</v>
      </c>
      <c r="P375" s="1434">
        <f t="shared" si="327"/>
        <v>0</v>
      </c>
      <c r="Q375" s="1434">
        <f t="shared" si="327"/>
        <v>0</v>
      </c>
      <c r="R375" s="1434">
        <f t="shared" si="327"/>
        <v>0</v>
      </c>
      <c r="S375" s="1438">
        <f t="shared" si="299"/>
        <v>2.6611062386635419E-2</v>
      </c>
      <c r="T375" s="1434">
        <f t="shared" si="300"/>
        <v>2.5788147499197642E-2</v>
      </c>
      <c r="U375" s="1437">
        <f t="shared" si="301"/>
        <v>1.9816457981688022E-2</v>
      </c>
      <c r="V375" s="1437">
        <f t="shared" si="302"/>
        <v>0</v>
      </c>
    </row>
    <row r="376" spans="1:22">
      <c r="A376" s="1207" t="s">
        <v>1357</v>
      </c>
      <c r="B376" s="1207"/>
      <c r="C376" s="1434">
        <f t="shared" ref="C376:K376" si="330">C158/C$172*100</f>
        <v>0.15547952865581505</v>
      </c>
      <c r="D376" s="1438">
        <f t="shared" si="330"/>
        <v>0.21290090076501253</v>
      </c>
      <c r="E376" s="1434">
        <f t="shared" si="330"/>
        <v>0</v>
      </c>
      <c r="F376" s="1434">
        <f t="shared" si="330"/>
        <v>0</v>
      </c>
      <c r="G376" s="1437">
        <f t="shared" si="330"/>
        <v>0</v>
      </c>
      <c r="H376" s="1438">
        <f t="shared" si="330"/>
        <v>0.21123746163410903</v>
      </c>
      <c r="I376" s="1434">
        <f t="shared" si="330"/>
        <v>0</v>
      </c>
      <c r="J376" s="1434">
        <f t="shared" si="330"/>
        <v>0</v>
      </c>
      <c r="K376" s="1437">
        <f t="shared" si="330"/>
        <v>0</v>
      </c>
      <c r="L376" s="1434"/>
      <c r="M376" s="1438">
        <f t="shared" si="327"/>
        <v>0</v>
      </c>
      <c r="N376" s="1434">
        <f t="shared" si="327"/>
        <v>0</v>
      </c>
      <c r="O376" s="1439">
        <f t="shared" si="327"/>
        <v>0.21123746163410903</v>
      </c>
      <c r="P376" s="1434">
        <f t="shared" si="327"/>
        <v>0</v>
      </c>
      <c r="Q376" s="1434">
        <f t="shared" si="327"/>
        <v>0</v>
      </c>
      <c r="R376" s="1434">
        <f t="shared" si="327"/>
        <v>0</v>
      </c>
      <c r="S376" s="1438">
        <f t="shared" si="299"/>
        <v>0</v>
      </c>
      <c r="T376" s="1434">
        <f t="shared" si="300"/>
        <v>0</v>
      </c>
      <c r="U376" s="1437">
        <f t="shared" si="301"/>
        <v>0</v>
      </c>
      <c r="V376" s="1437">
        <f t="shared" si="302"/>
        <v>-0.21123746163410903</v>
      </c>
    </row>
    <row r="377" spans="1:22">
      <c r="A377" s="1207" t="s">
        <v>1356</v>
      </c>
      <c r="B377" s="1207"/>
      <c r="C377" s="1434">
        <f t="shared" ref="C377:K377" si="331">C159/C$172*100</f>
        <v>7.744110739449149E-2</v>
      </c>
      <c r="D377" s="1438">
        <f t="shared" si="331"/>
        <v>0</v>
      </c>
      <c r="E377" s="1434">
        <f t="shared" si="331"/>
        <v>0</v>
      </c>
      <c r="F377" s="1434">
        <f t="shared" si="331"/>
        <v>0</v>
      </c>
      <c r="G377" s="1437">
        <f t="shared" si="331"/>
        <v>0</v>
      </c>
      <c r="H377" s="1438">
        <f t="shared" si="331"/>
        <v>0</v>
      </c>
      <c r="I377" s="1434">
        <f t="shared" si="331"/>
        <v>0</v>
      </c>
      <c r="J377" s="1434">
        <f t="shared" si="331"/>
        <v>0</v>
      </c>
      <c r="K377" s="1437">
        <f t="shared" si="331"/>
        <v>0</v>
      </c>
      <c r="L377" s="1434"/>
      <c r="M377" s="1438">
        <f t="shared" si="327"/>
        <v>0</v>
      </c>
      <c r="N377" s="1434">
        <f t="shared" si="327"/>
        <v>0</v>
      </c>
      <c r="O377" s="1439">
        <f t="shared" si="327"/>
        <v>0</v>
      </c>
      <c r="P377" s="1434">
        <f t="shared" si="327"/>
        <v>0</v>
      </c>
      <c r="Q377" s="1434">
        <f t="shared" si="327"/>
        <v>0</v>
      </c>
      <c r="R377" s="1434">
        <f t="shared" si="327"/>
        <v>0</v>
      </c>
      <c r="S377" s="1438">
        <f t="shared" si="299"/>
        <v>0</v>
      </c>
      <c r="T377" s="1434">
        <f t="shared" si="300"/>
        <v>0</v>
      </c>
      <c r="U377" s="1437">
        <f t="shared" si="301"/>
        <v>0</v>
      </c>
      <c r="V377" s="1437">
        <f t="shared" si="302"/>
        <v>0</v>
      </c>
    </row>
    <row r="378" spans="1:22">
      <c r="A378" s="1207" t="s">
        <v>1355</v>
      </c>
      <c r="B378" s="1207"/>
      <c r="C378" s="1434">
        <f t="shared" ref="C378:K378" si="332">C160/C$172*100</f>
        <v>1.093338552416198E-2</v>
      </c>
      <c r="D378" s="1438">
        <f t="shared" si="332"/>
        <v>0</v>
      </c>
      <c r="E378" s="1434">
        <f t="shared" si="332"/>
        <v>0</v>
      </c>
      <c r="F378" s="1434">
        <f t="shared" si="332"/>
        <v>0</v>
      </c>
      <c r="G378" s="1437">
        <f t="shared" si="332"/>
        <v>0</v>
      </c>
      <c r="H378" s="1438">
        <f t="shared" si="332"/>
        <v>1.0445652875478868E-2</v>
      </c>
      <c r="I378" s="1434">
        <f t="shared" si="332"/>
        <v>1.0395403898927631E-2</v>
      </c>
      <c r="J378" s="1434">
        <f t="shared" si="332"/>
        <v>1.0252373087908717E-2</v>
      </c>
      <c r="K378" s="1437">
        <f t="shared" si="332"/>
        <v>9.6328286056130644E-3</v>
      </c>
      <c r="L378" s="1434"/>
      <c r="M378" s="1438">
        <f t="shared" si="327"/>
        <v>0</v>
      </c>
      <c r="N378" s="1434">
        <f t="shared" si="327"/>
        <v>1.0445652875478868E-2</v>
      </c>
      <c r="O378" s="1439">
        <f t="shared" si="327"/>
        <v>1.0445652875478868E-2</v>
      </c>
      <c r="P378" s="1434">
        <f t="shared" si="327"/>
        <v>1.0366066504045233E-2</v>
      </c>
      <c r="Q378" s="1434">
        <f t="shared" si="327"/>
        <v>1.0213586103968627E-2</v>
      </c>
      <c r="R378" s="1434">
        <f t="shared" si="327"/>
        <v>9.5517166248552353E-3</v>
      </c>
      <c r="S378" s="1438">
        <f t="shared" si="299"/>
        <v>-1.0366066504045233E-2</v>
      </c>
      <c r="T378" s="1434">
        <f t="shared" si="300"/>
        <v>-1.0213586103968627E-2</v>
      </c>
      <c r="U378" s="1437">
        <f t="shared" si="301"/>
        <v>-9.5517166248552353E-3</v>
      </c>
      <c r="V378" s="1437">
        <f t="shared" si="302"/>
        <v>-7.9586371433635131E-5</v>
      </c>
    </row>
    <row r="379" spans="1:22">
      <c r="A379" s="1207" t="s">
        <v>1354</v>
      </c>
      <c r="B379" s="1207"/>
      <c r="C379" s="1434">
        <f t="shared" ref="C379:K379" si="333">C161/C$172*100</f>
        <v>2.1681222485435705E-3</v>
      </c>
      <c r="D379" s="1438">
        <f t="shared" si="333"/>
        <v>0</v>
      </c>
      <c r="E379" s="1434">
        <f t="shared" si="333"/>
        <v>0</v>
      </c>
      <c r="F379" s="1434">
        <f t="shared" si="333"/>
        <v>0</v>
      </c>
      <c r="G379" s="1437">
        <f t="shared" si="333"/>
        <v>0</v>
      </c>
      <c r="H379" s="1438">
        <f t="shared" si="333"/>
        <v>0</v>
      </c>
      <c r="I379" s="1434">
        <f t="shared" si="333"/>
        <v>0</v>
      </c>
      <c r="J379" s="1434">
        <f t="shared" si="333"/>
        <v>0</v>
      </c>
      <c r="K379" s="1437">
        <f t="shared" si="333"/>
        <v>0</v>
      </c>
      <c r="L379" s="1434"/>
      <c r="M379" s="1438">
        <f t="shared" si="327"/>
        <v>0</v>
      </c>
      <c r="N379" s="1434">
        <f t="shared" si="327"/>
        <v>0</v>
      </c>
      <c r="O379" s="1439">
        <f t="shared" si="327"/>
        <v>0</v>
      </c>
      <c r="P379" s="1434">
        <f t="shared" si="327"/>
        <v>0</v>
      </c>
      <c r="Q379" s="1434">
        <f t="shared" si="327"/>
        <v>0</v>
      </c>
      <c r="R379" s="1434">
        <f t="shared" si="327"/>
        <v>0</v>
      </c>
      <c r="S379" s="1438">
        <f t="shared" si="299"/>
        <v>0</v>
      </c>
      <c r="T379" s="1434">
        <f t="shared" si="300"/>
        <v>0</v>
      </c>
      <c r="U379" s="1437">
        <f t="shared" si="301"/>
        <v>0</v>
      </c>
      <c r="V379" s="1437">
        <f t="shared" si="302"/>
        <v>0</v>
      </c>
    </row>
    <row r="380" spans="1:22">
      <c r="A380" s="1207" t="s">
        <v>1353</v>
      </c>
      <c r="B380" s="1207"/>
      <c r="C380" s="1434">
        <f t="shared" ref="C380:K380" si="334">C162/C$172*100</f>
        <v>1.2708805677277672E-6</v>
      </c>
      <c r="D380" s="1438">
        <f t="shared" si="334"/>
        <v>9.7473793475677056E-2</v>
      </c>
      <c r="E380" s="1434">
        <f t="shared" si="334"/>
        <v>0.10077462048810323</v>
      </c>
      <c r="F380" s="1434">
        <f t="shared" si="334"/>
        <v>1.0720585235999018E-3</v>
      </c>
      <c r="G380" s="1437">
        <f t="shared" si="334"/>
        <v>6.2516838517483891E-4</v>
      </c>
      <c r="H380" s="1438">
        <f t="shared" si="334"/>
        <v>9.6712210402414206E-2</v>
      </c>
      <c r="I380" s="1434">
        <f t="shared" si="334"/>
        <v>9.9987247365117313E-2</v>
      </c>
      <c r="J380" s="1434">
        <f t="shared" si="334"/>
        <v>1.06368230681375E-3</v>
      </c>
      <c r="K380" s="1437">
        <f t="shared" si="334"/>
        <v>6.202838142239089E-4</v>
      </c>
      <c r="L380" s="1434"/>
      <c r="M380" s="1438">
        <f t="shared" si="327"/>
        <v>0</v>
      </c>
      <c r="N380" s="1434">
        <f t="shared" si="327"/>
        <v>0</v>
      </c>
      <c r="O380" s="1439">
        <f t="shared" si="327"/>
        <v>9.6712210402414206E-2</v>
      </c>
      <c r="P380" s="1434">
        <f t="shared" si="327"/>
        <v>9.9705068299476882E-2</v>
      </c>
      <c r="Q380" s="1434">
        <f t="shared" si="327"/>
        <v>1.0596581625304719E-3</v>
      </c>
      <c r="R380" s="1434">
        <f t="shared" si="327"/>
        <v>6.1506079501910281E-4</v>
      </c>
      <c r="S380" s="1438">
        <f t="shared" si="299"/>
        <v>1.069552188626352E-3</v>
      </c>
      <c r="T380" s="1434">
        <f t="shared" si="300"/>
        <v>1.2400361069429865E-5</v>
      </c>
      <c r="U380" s="1437">
        <f t="shared" si="301"/>
        <v>1.0107590155736105E-5</v>
      </c>
      <c r="V380" s="1437">
        <f t="shared" si="302"/>
        <v>2.9928578970626757E-3</v>
      </c>
    </row>
    <row r="381" spans="1:22">
      <c r="A381" s="1207" t="s">
        <v>1352</v>
      </c>
      <c r="B381" s="1207"/>
      <c r="C381" s="1434">
        <f t="shared" ref="C381:K381" si="335">C163/C$172*100</f>
        <v>5.7189625547749514E-6</v>
      </c>
      <c r="D381" s="1438">
        <f t="shared" si="335"/>
        <v>8.3118343117656677E-3</v>
      </c>
      <c r="E381" s="1434">
        <f t="shared" si="335"/>
        <v>6.9995273487105554E-3</v>
      </c>
      <c r="F381" s="1434">
        <f t="shared" si="335"/>
        <v>6.6413404217532373E-3</v>
      </c>
      <c r="G381" s="1437">
        <f t="shared" si="335"/>
        <v>6.240008381057518E-3</v>
      </c>
      <c r="H381" s="1438">
        <f t="shared" si="335"/>
        <v>8.2468922171380927E-3</v>
      </c>
      <c r="I381" s="1434">
        <f t="shared" si="335"/>
        <v>6.9448385820222195E-3</v>
      </c>
      <c r="J381" s="1434">
        <f t="shared" si="335"/>
        <v>6.5894502442128949E-3</v>
      </c>
      <c r="K381" s="1437">
        <f t="shared" si="335"/>
        <v>6.1912538944352471E-3</v>
      </c>
      <c r="L381" s="1434"/>
      <c r="M381" s="1438">
        <f t="shared" si="327"/>
        <v>0</v>
      </c>
      <c r="N381" s="1434">
        <f t="shared" si="327"/>
        <v>0</v>
      </c>
      <c r="O381" s="1439">
        <f t="shared" si="327"/>
        <v>8.2468922171380927E-3</v>
      </c>
      <c r="P381" s="1434">
        <f t="shared" si="327"/>
        <v>6.9252392019638533E-3</v>
      </c>
      <c r="Q381" s="1434">
        <f t="shared" si="327"/>
        <v>6.5645209036002579E-3</v>
      </c>
      <c r="R381" s="1434">
        <f t="shared" si="327"/>
        <v>6.139121246039568E-3</v>
      </c>
      <c r="S381" s="1438">
        <f t="shared" si="299"/>
        <v>7.4288146746702075E-5</v>
      </c>
      <c r="T381" s="1434">
        <f t="shared" si="300"/>
        <v>7.6819518152979396E-5</v>
      </c>
      <c r="U381" s="1437">
        <f t="shared" si="301"/>
        <v>1.0088713501794997E-4</v>
      </c>
      <c r="V381" s="1437">
        <f t="shared" si="302"/>
        <v>-1.3216530151742394E-3</v>
      </c>
    </row>
    <row r="382" spans="1:22">
      <c r="A382" s="1207" t="s">
        <v>1351</v>
      </c>
      <c r="B382" s="1207"/>
      <c r="C382" s="1434">
        <f t="shared" ref="C382:K382" si="336">C164/C$172*100</f>
        <v>1.5029433593948574E-2</v>
      </c>
      <c r="D382" s="1438">
        <f t="shared" si="336"/>
        <v>1.5181047044700609E-2</v>
      </c>
      <c r="E382" s="1434">
        <f t="shared" si="336"/>
        <v>1.6269525637035168E-2</v>
      </c>
      <c r="F382" s="1434">
        <f t="shared" si="336"/>
        <v>1.5348850537567826E-2</v>
      </c>
      <c r="G382" s="1437">
        <f t="shared" si="336"/>
        <v>1.4214354862922654E-2</v>
      </c>
      <c r="H382" s="1438">
        <f t="shared" si="336"/>
        <v>1.5062434358650425E-2</v>
      </c>
      <c r="I382" s="1434">
        <f t="shared" si="336"/>
        <v>1.614240844077796E-2</v>
      </c>
      <c r="J382" s="1434">
        <f t="shared" si="336"/>
        <v>1.5228926767838168E-2</v>
      </c>
      <c r="K382" s="1437">
        <f t="shared" si="336"/>
        <v>1.4103295144459405E-2</v>
      </c>
      <c r="L382" s="1434"/>
      <c r="M382" s="1438">
        <f t="shared" si="327"/>
        <v>0</v>
      </c>
      <c r="N382" s="1434">
        <f t="shared" si="327"/>
        <v>0</v>
      </c>
      <c r="O382" s="1439">
        <f t="shared" si="327"/>
        <v>1.5062434358650425E-2</v>
      </c>
      <c r="P382" s="1434">
        <f t="shared" si="327"/>
        <v>1.5154206044745339E-2</v>
      </c>
      <c r="Q382" s="1434">
        <f t="shared" si="327"/>
        <v>1.5274913787969682E-2</v>
      </c>
      <c r="R382" s="1434">
        <f t="shared" si="327"/>
        <v>1.5384230602385335E-2</v>
      </c>
      <c r="S382" s="1438">
        <f t="shared" si="299"/>
        <v>1.1153195922898283E-3</v>
      </c>
      <c r="T382" s="1434">
        <f t="shared" si="300"/>
        <v>7.3936749598144114E-5</v>
      </c>
      <c r="U382" s="1437">
        <f t="shared" si="301"/>
        <v>-1.1698757394626811E-3</v>
      </c>
      <c r="V382" s="1437">
        <f t="shared" si="302"/>
        <v>9.1771686094914429E-5</v>
      </c>
    </row>
    <row r="383" spans="1:22">
      <c r="A383" s="1207" t="s">
        <v>1350</v>
      </c>
      <c r="B383" s="1207"/>
      <c r="C383" s="1434">
        <f t="shared" ref="C383:K383" si="337">C165/C$172*100</f>
        <v>1.4615126528869321E-3</v>
      </c>
      <c r="D383" s="1438">
        <f t="shared" si="337"/>
        <v>7.5756255370267502E-3</v>
      </c>
      <c r="E383" s="1434">
        <f t="shared" si="337"/>
        <v>7.0888222204835262E-3</v>
      </c>
      <c r="F383" s="1434">
        <f t="shared" si="337"/>
        <v>7.3857941278147096E-3</v>
      </c>
      <c r="G383" s="1437">
        <f t="shared" si="337"/>
        <v>6.5987637531952012E-3</v>
      </c>
      <c r="H383" s="1438">
        <f t="shared" si="337"/>
        <v>7.5164355950674572E-3</v>
      </c>
      <c r="I383" s="1434">
        <f t="shared" si="337"/>
        <v>7.0334357743426267E-3</v>
      </c>
      <c r="J383" s="1434">
        <f t="shared" si="337"/>
        <v>7.3280873782384601E-3</v>
      </c>
      <c r="K383" s="1437">
        <f t="shared" si="337"/>
        <v>6.5472062360442144E-3</v>
      </c>
      <c r="L383" s="1434"/>
      <c r="M383" s="1438">
        <f t="shared" ref="M383:R389" si="338">M165/M$172*100</f>
        <v>0</v>
      </c>
      <c r="N383" s="1434">
        <f t="shared" si="338"/>
        <v>0</v>
      </c>
      <c r="O383" s="1439">
        <f t="shared" si="338"/>
        <v>7.5164355950674572E-3</v>
      </c>
      <c r="P383" s="1434">
        <f t="shared" si="338"/>
        <v>7.2498994649200926E-3</v>
      </c>
      <c r="Q383" s="1434">
        <f t="shared" si="338"/>
        <v>6.9840375090657724E-3</v>
      </c>
      <c r="R383" s="1434">
        <f t="shared" si="338"/>
        <v>6.6686043186091511E-3</v>
      </c>
      <c r="S383" s="1438">
        <f t="shared" ref="S383:S389" si="339">E383-P383</f>
        <v>-1.610772444365664E-4</v>
      </c>
      <c r="T383" s="1434">
        <f t="shared" ref="T383:T389" si="340">F383-Q383</f>
        <v>4.0175661874893714E-4</v>
      </c>
      <c r="U383" s="1437">
        <f t="shared" ref="U383:U389" si="341">G383-R383</f>
        <v>-6.9840565413949868E-5</v>
      </c>
      <c r="V383" s="1437">
        <f t="shared" ref="V383:V389" si="342">P383-O383</f>
        <v>-2.6653613014736462E-4</v>
      </c>
    </row>
    <row r="384" spans="1:22">
      <c r="A384" s="1207" t="s">
        <v>1349</v>
      </c>
      <c r="B384" s="1207"/>
      <c r="C384" s="1434">
        <f t="shared" ref="C384:K384" si="343">C166/C$172*100</f>
        <v>1.9633833890826274E-2</v>
      </c>
      <c r="D384" s="1438">
        <f t="shared" si="343"/>
        <v>0</v>
      </c>
      <c r="E384" s="1434">
        <f t="shared" si="343"/>
        <v>0</v>
      </c>
      <c r="F384" s="1434">
        <f t="shared" si="343"/>
        <v>0</v>
      </c>
      <c r="G384" s="1437">
        <f t="shared" si="343"/>
        <v>0</v>
      </c>
      <c r="H384" s="1438">
        <f t="shared" si="343"/>
        <v>1.8800847750359104E-2</v>
      </c>
      <c r="I384" s="1434">
        <f t="shared" si="343"/>
        <v>1.8030027578961914E-2</v>
      </c>
      <c r="J384" s="1434">
        <f t="shared" si="343"/>
        <v>1.7107376684162026E-2</v>
      </c>
      <c r="K384" s="1437">
        <f t="shared" si="343"/>
        <v>1.6073588629401739E-2</v>
      </c>
      <c r="L384" s="1434"/>
      <c r="M384" s="1438">
        <f t="shared" si="338"/>
        <v>0</v>
      </c>
      <c r="N384" s="1434">
        <f t="shared" si="338"/>
        <v>1.8800847750359104E-2</v>
      </c>
      <c r="O384" s="1439">
        <f t="shared" si="338"/>
        <v>1.8800847750359104E-2</v>
      </c>
      <c r="P384" s="1434">
        <f t="shared" si="338"/>
        <v>1.8134161374950133E-2</v>
      </c>
      <c r="Q384" s="1434">
        <f t="shared" si="338"/>
        <v>1.7469161310569893E-2</v>
      </c>
      <c r="R384" s="1434">
        <f t="shared" si="338"/>
        <v>1.6680168800200124E-2</v>
      </c>
      <c r="S384" s="1438">
        <f t="shared" si="339"/>
        <v>-1.8134161374950133E-2</v>
      </c>
      <c r="T384" s="1434">
        <f t="shared" si="340"/>
        <v>-1.7469161310569893E-2</v>
      </c>
      <c r="U384" s="1437">
        <f t="shared" si="341"/>
        <v>-1.6680168800200124E-2</v>
      </c>
      <c r="V384" s="1437">
        <f t="shared" si="342"/>
        <v>-6.6668637540897094E-4</v>
      </c>
    </row>
    <row r="385" spans="1:25">
      <c r="A385" s="1207" t="s">
        <v>1348</v>
      </c>
      <c r="B385" s="1207"/>
      <c r="C385" s="1434">
        <f t="shared" ref="C385:K385" si="344">C167/C$172*100</f>
        <v>1.9560122817898061E-2</v>
      </c>
      <c r="D385" s="1438">
        <f t="shared" si="344"/>
        <v>7.8549627618433749E-3</v>
      </c>
      <c r="E385" s="1434">
        <f t="shared" si="344"/>
        <v>7.5317247844774605E-3</v>
      </c>
      <c r="F385" s="1434">
        <f t="shared" si="344"/>
        <v>7.4705195116608553E-3</v>
      </c>
      <c r="G385" s="1437">
        <f t="shared" si="344"/>
        <v>6.6359129781207015E-3</v>
      </c>
      <c r="H385" s="1438">
        <f t="shared" si="344"/>
        <v>7.7935902999003324E-3</v>
      </c>
      <c r="I385" s="1434">
        <f t="shared" si="344"/>
        <v>7.4728778482518422E-3</v>
      </c>
      <c r="J385" s="1434">
        <f t="shared" si="344"/>
        <v>7.4121507849940257E-3</v>
      </c>
      <c r="K385" s="1437">
        <f t="shared" si="344"/>
        <v>6.5840652063291656E-3</v>
      </c>
      <c r="L385" s="1434"/>
      <c r="M385" s="1438">
        <f t="shared" si="338"/>
        <v>0</v>
      </c>
      <c r="N385" s="1434">
        <f t="shared" si="338"/>
        <v>0</v>
      </c>
      <c r="O385" s="1439">
        <f t="shared" si="338"/>
        <v>7.7935902999003324E-3</v>
      </c>
      <c r="P385" s="1434">
        <f t="shared" si="338"/>
        <v>7.5172261413552037E-3</v>
      </c>
      <c r="Q385" s="1434">
        <f t="shared" si="338"/>
        <v>7.2415610160372276E-3</v>
      </c>
      <c r="R385" s="1434">
        <f t="shared" si="338"/>
        <v>6.9144968082333865E-3</v>
      </c>
      <c r="S385" s="1438">
        <f t="shared" si="339"/>
        <v>1.449864312225678E-5</v>
      </c>
      <c r="T385" s="1434">
        <f t="shared" si="340"/>
        <v>2.2895849562362767E-4</v>
      </c>
      <c r="U385" s="1437">
        <f t="shared" si="341"/>
        <v>-2.7858383011268497E-4</v>
      </c>
      <c r="V385" s="1437">
        <f t="shared" si="342"/>
        <v>-2.7636415854512871E-4</v>
      </c>
    </row>
    <row r="386" spans="1:25">
      <c r="A386" s="1436" t="s">
        <v>1285</v>
      </c>
      <c r="B386" s="1435"/>
      <c r="C386" s="1431">
        <f t="shared" ref="C386:K386" si="345">C168/C$172*100</f>
        <v>0.90845808063991385</v>
      </c>
      <c r="D386" s="1432">
        <f t="shared" si="345"/>
        <v>0.87371345477897999</v>
      </c>
      <c r="E386" s="1431">
        <f t="shared" si="345"/>
        <v>0.88129234852059535</v>
      </c>
      <c r="F386" s="1431">
        <f t="shared" si="345"/>
        <v>0.83710788789082979</v>
      </c>
      <c r="G386" s="1430">
        <f t="shared" si="345"/>
        <v>0.7677920716151313</v>
      </c>
      <c r="H386" s="1432">
        <f t="shared" si="345"/>
        <v>0.85851983360452877</v>
      </c>
      <c r="I386" s="1431">
        <f t="shared" si="345"/>
        <v>0.87202867899624248</v>
      </c>
      <c r="J386" s="1431">
        <f t="shared" si="345"/>
        <v>0.83972469652165982</v>
      </c>
      <c r="K386" s="1430">
        <f t="shared" si="345"/>
        <v>0.80390610528344753</v>
      </c>
      <c r="L386" s="1434"/>
      <c r="M386" s="1432">
        <f t="shared" si="338"/>
        <v>0</v>
      </c>
      <c r="N386" s="1431">
        <f t="shared" si="338"/>
        <v>-8.3671157691011522E-3</v>
      </c>
      <c r="O386" s="1433">
        <f t="shared" si="338"/>
        <v>0.85851983360452877</v>
      </c>
      <c r="P386" s="1431">
        <f t="shared" si="338"/>
        <v>0.82807634064705915</v>
      </c>
      <c r="Q386" s="1431">
        <f t="shared" si="338"/>
        <v>0.79770985121001681</v>
      </c>
      <c r="R386" s="1431">
        <f t="shared" si="338"/>
        <v>0.76168138442426037</v>
      </c>
      <c r="S386" s="1432">
        <f t="shared" si="339"/>
        <v>5.3216007873536197E-2</v>
      </c>
      <c r="T386" s="1431">
        <f t="shared" si="340"/>
        <v>3.9398036680812987E-2</v>
      </c>
      <c r="U386" s="1430">
        <f t="shared" si="341"/>
        <v>6.1106871908709337E-3</v>
      </c>
      <c r="V386" s="1430">
        <f t="shared" si="342"/>
        <v>-3.044349295746962E-2</v>
      </c>
    </row>
    <row r="387" spans="1:25">
      <c r="A387" s="1429" t="s">
        <v>67</v>
      </c>
      <c r="B387" s="1429"/>
      <c r="C387" s="1426">
        <f t="shared" ref="C387:K387" si="346">C169/C$172*100</f>
        <v>-2.7073322035670961</v>
      </c>
      <c r="D387" s="1427">
        <f t="shared" si="346"/>
        <v>-1.9701542731426385</v>
      </c>
      <c r="E387" s="1426">
        <f t="shared" si="346"/>
        <v>-1.2900156287434239</v>
      </c>
      <c r="F387" s="1426">
        <f t="shared" si="346"/>
        <v>-0.44000603043587133</v>
      </c>
      <c r="G387" s="1425">
        <f t="shared" si="346"/>
        <v>0.15997019435169882</v>
      </c>
      <c r="H387" s="1427">
        <f t="shared" si="346"/>
        <v>-2.5472180379260303</v>
      </c>
      <c r="I387" s="1426">
        <f t="shared" si="346"/>
        <v>-1.5545653765030529</v>
      </c>
      <c r="J387" s="1426">
        <f t="shared" si="346"/>
        <v>-0.80175204156892454</v>
      </c>
      <c r="K387" s="1425">
        <f t="shared" si="346"/>
        <v>4.0698439981126178E-3</v>
      </c>
      <c r="L387" s="1414"/>
      <c r="M387" s="1427">
        <f t="shared" si="338"/>
        <v>0.15204953466868926</v>
      </c>
      <c r="N387" s="1426">
        <f t="shared" si="338"/>
        <v>-0.59294687726625406</v>
      </c>
      <c r="O387" s="1428">
        <f t="shared" si="338"/>
        <v>-2.3956583895956158</v>
      </c>
      <c r="P387" s="1426">
        <f t="shared" si="338"/>
        <v>-1.7776766268749042</v>
      </c>
      <c r="Q387" s="1426">
        <f t="shared" si="338"/>
        <v>-1.0020126618799639</v>
      </c>
      <c r="R387" s="1426">
        <f t="shared" si="338"/>
        <v>-0.47186573337737586</v>
      </c>
      <c r="S387" s="1427">
        <f t="shared" si="339"/>
        <v>0.48766099813148034</v>
      </c>
      <c r="T387" s="1426">
        <f t="shared" si="340"/>
        <v>0.56200663144409257</v>
      </c>
      <c r="U387" s="1425">
        <f t="shared" si="341"/>
        <v>0.63183592772907471</v>
      </c>
      <c r="V387" s="1425">
        <f t="shared" si="342"/>
        <v>0.61798176272071159</v>
      </c>
      <c r="W387" s="1414"/>
    </row>
    <row r="388" spans="1:25">
      <c r="A388" s="1424" t="s">
        <v>185</v>
      </c>
      <c r="B388" s="1424"/>
      <c r="C388" s="1421">
        <f t="shared" ref="C388:K388" si="347">C170/C$172*100</f>
        <v>-3.4406958878970178E-3</v>
      </c>
      <c r="D388" s="1422">
        <f t="shared" si="347"/>
        <v>-2.4459441205345379E-3</v>
      </c>
      <c r="E388" s="1421">
        <f t="shared" si="347"/>
        <v>-1.5358904020502874E-3</v>
      </c>
      <c r="F388" s="1421">
        <f t="shared" si="347"/>
        <v>-4.9706239764397649E-4</v>
      </c>
      <c r="G388" s="1420">
        <f t="shared" si="347"/>
        <v>1.6979339232420492E-4</v>
      </c>
      <c r="H388" s="1422">
        <f t="shared" si="347"/>
        <v>-3.1376598375393492E-3</v>
      </c>
      <c r="I388" s="1421">
        <f t="shared" si="347"/>
        <v>-1.8364017018224698E-3</v>
      </c>
      <c r="J388" s="1421">
        <f t="shared" si="347"/>
        <v>-8.9864010650017644E-4</v>
      </c>
      <c r="K388" s="1420">
        <f t="shared" si="347"/>
        <v>4.2860073997378237E-6</v>
      </c>
      <c r="L388" s="1414"/>
      <c r="M388" s="1422">
        <f t="shared" si="338"/>
        <v>1.8729441733811528E-4</v>
      </c>
      <c r="N388" s="1421">
        <f t="shared" si="338"/>
        <v>-7.3039118555689412E-4</v>
      </c>
      <c r="O388" s="1423">
        <f t="shared" si="338"/>
        <v>-2.9509688615500613E-3</v>
      </c>
      <c r="P388" s="1421">
        <f t="shared" si="338"/>
        <v>-2.094035697371825E-3</v>
      </c>
      <c r="Q388" s="1421">
        <f t="shared" si="338"/>
        <v>-1.1188523668282293E-3</v>
      </c>
      <c r="R388" s="1421">
        <f t="shared" si="338"/>
        <v>-4.9274382531979766E-4</v>
      </c>
      <c r="S388" s="1422">
        <f t="shared" si="339"/>
        <v>5.5814529532153753E-4</v>
      </c>
      <c r="T388" s="1421">
        <f t="shared" si="340"/>
        <v>6.217899691842528E-4</v>
      </c>
      <c r="U388" s="1420">
        <f t="shared" si="341"/>
        <v>6.6253721764400258E-4</v>
      </c>
      <c r="V388" s="1420">
        <f t="shared" si="342"/>
        <v>8.5693316417823637E-4</v>
      </c>
    </row>
    <row r="389" spans="1:25">
      <c r="A389" s="1419" t="s">
        <v>1347</v>
      </c>
      <c r="B389" s="1419"/>
      <c r="C389" s="1416">
        <f t="shared" ref="C389:K389" si="348">C171/C$172*100</f>
        <v>-0.95427065227944008</v>
      </c>
      <c r="D389" s="1417">
        <f t="shared" si="348"/>
        <v>-0.45242201830566642</v>
      </c>
      <c r="E389" s="1416">
        <f t="shared" si="348"/>
        <v>5.1431464944649785E-2</v>
      </c>
      <c r="F389" s="1416">
        <f t="shared" si="348"/>
        <v>0.82963208829324331</v>
      </c>
      <c r="G389" s="1415">
        <f t="shared" si="348"/>
        <v>1.3184953088140703</v>
      </c>
      <c r="H389" s="1417">
        <f t="shared" si="348"/>
        <v>-1.0413441416674318</v>
      </c>
      <c r="I389" s="1416">
        <f t="shared" si="348"/>
        <v>-0.23125172349572221</v>
      </c>
      <c r="J389" s="1416">
        <f t="shared" si="348"/>
        <v>0.45034438091963219</v>
      </c>
      <c r="K389" s="1415">
        <f t="shared" si="348"/>
        <v>1.1458786005778665</v>
      </c>
      <c r="L389" s="1414"/>
      <c r="M389" s="1417">
        <f t="shared" si="338"/>
        <v>0.15204953466868926</v>
      </c>
      <c r="N389" s="1416">
        <f t="shared" si="338"/>
        <v>-0.59092660423782561</v>
      </c>
      <c r="O389" s="1418">
        <f t="shared" si="338"/>
        <v>-0.88776422030858881</v>
      </c>
      <c r="P389" s="1416">
        <f t="shared" si="338"/>
        <v>-0.46041024847765327</v>
      </c>
      <c r="Q389" s="1416">
        <f t="shared" si="338"/>
        <v>0.24013792713324403</v>
      </c>
      <c r="R389" s="1416">
        <f t="shared" si="338"/>
        <v>0.69389190041044047</v>
      </c>
      <c r="S389" s="1417">
        <f t="shared" si="339"/>
        <v>0.511841713422303</v>
      </c>
      <c r="T389" s="1416">
        <f t="shared" si="340"/>
        <v>0.58949416115999931</v>
      </c>
      <c r="U389" s="1415">
        <f t="shared" si="341"/>
        <v>0.62460340840362982</v>
      </c>
      <c r="V389" s="1415">
        <f t="shared" si="342"/>
        <v>0.42735397183093554</v>
      </c>
      <c r="W389" s="1414"/>
    </row>
    <row r="390" spans="1:25">
      <c r="L390" s="1361"/>
    </row>
    <row r="391" spans="1:25">
      <c r="A391" s="792" t="s">
        <v>1346</v>
      </c>
      <c r="C391" s="933"/>
      <c r="D391" s="933"/>
      <c r="E391" s="933"/>
      <c r="F391" s="933"/>
      <c r="G391" s="933"/>
      <c r="H391" s="933"/>
      <c r="I391" s="933"/>
      <c r="J391" s="933"/>
      <c r="K391" s="933"/>
      <c r="L391" s="1413"/>
      <c r="M391" s="932"/>
      <c r="N391" s="933"/>
      <c r="O391" s="933"/>
      <c r="P391" s="933"/>
      <c r="Q391" s="933"/>
      <c r="R391" s="933"/>
      <c r="T391" s="1413"/>
      <c r="Y391" s="933"/>
    </row>
    <row r="392" spans="1:25">
      <c r="A392" s="1796"/>
      <c r="B392" s="1796"/>
      <c r="C392" s="1390"/>
      <c r="D392" s="1804" t="s">
        <v>1336</v>
      </c>
      <c r="E392" s="1804"/>
      <c r="F392" s="1804"/>
      <c r="G392" s="1804"/>
      <c r="H392" s="1804" t="s">
        <v>1042</v>
      </c>
      <c r="I392" s="1804"/>
      <c r="J392" s="1804"/>
      <c r="K392" s="1804"/>
      <c r="M392" s="1804" t="s">
        <v>1335</v>
      </c>
      <c r="N392" s="1804"/>
      <c r="O392" s="1804"/>
      <c r="P392" s="1804"/>
      <c r="Q392" s="1804"/>
      <c r="R392" s="1805"/>
      <c r="S392" s="1796" t="s">
        <v>1345</v>
      </c>
      <c r="T392" s="1796"/>
      <c r="U392" s="1796"/>
      <c r="V392" s="1412"/>
      <c r="Y392" s="933"/>
    </row>
    <row r="393" spans="1:25">
      <c r="A393" s="1389" t="s">
        <v>1334</v>
      </c>
      <c r="B393" s="1792" t="s">
        <v>1333</v>
      </c>
      <c r="C393" s="1808" t="s">
        <v>540</v>
      </c>
      <c r="D393" s="1792" t="s">
        <v>1332</v>
      </c>
      <c r="E393" s="1792" t="s">
        <v>983</v>
      </c>
      <c r="F393" s="1792" t="s">
        <v>982</v>
      </c>
      <c r="G393" s="1792" t="s">
        <v>981</v>
      </c>
      <c r="H393" s="1792" t="s">
        <v>541</v>
      </c>
      <c r="I393" s="1792" t="s">
        <v>542</v>
      </c>
      <c r="J393" s="1792" t="s">
        <v>543</v>
      </c>
      <c r="K393" s="1792" t="s">
        <v>544</v>
      </c>
      <c r="M393" s="1793" t="s">
        <v>1331</v>
      </c>
      <c r="N393" s="1794"/>
      <c r="O393" s="1794" t="s">
        <v>1330</v>
      </c>
      <c r="P393" s="1792" t="s">
        <v>1153</v>
      </c>
      <c r="Q393" s="1792" t="s">
        <v>1152</v>
      </c>
      <c r="R393" s="1801" t="s">
        <v>1151</v>
      </c>
      <c r="S393" s="1802">
        <v>2017</v>
      </c>
      <c r="T393" s="1797">
        <v>2018</v>
      </c>
      <c r="U393" s="1799">
        <v>2019</v>
      </c>
      <c r="V393" s="1790" t="s">
        <v>1344</v>
      </c>
      <c r="Y393" s="933"/>
    </row>
    <row r="394" spans="1:25">
      <c r="A394" s="1389"/>
      <c r="B394" s="1792"/>
      <c r="C394" s="1808"/>
      <c r="D394" s="1792"/>
      <c r="E394" s="1792"/>
      <c r="F394" s="1792"/>
      <c r="G394" s="1792"/>
      <c r="H394" s="1792"/>
      <c r="I394" s="1792"/>
      <c r="J394" s="1792"/>
      <c r="K394" s="1792"/>
      <c r="M394" s="1388" t="s">
        <v>1329</v>
      </c>
      <c r="N394" s="1387" t="s">
        <v>1328</v>
      </c>
      <c r="O394" s="1794"/>
      <c r="P394" s="1792"/>
      <c r="Q394" s="1792"/>
      <c r="R394" s="1801"/>
      <c r="S394" s="1803"/>
      <c r="T394" s="1798"/>
      <c r="U394" s="1800"/>
      <c r="V394" s="1791"/>
      <c r="Y394" s="933"/>
    </row>
    <row r="395" spans="1:25" s="906" customFormat="1">
      <c r="A395" s="1411" t="s">
        <v>1343</v>
      </c>
      <c r="B395" s="1411"/>
      <c r="C395" s="1408">
        <f t="shared" ref="C395:K395" si="349">C178/C$172*100</f>
        <v>19.454871031039985</v>
      </c>
      <c r="D395" s="1407">
        <f t="shared" si="349"/>
        <v>19.734396513561091</v>
      </c>
      <c r="E395" s="1407">
        <f t="shared" si="349"/>
        <v>19.241892069089886</v>
      </c>
      <c r="F395" s="1407">
        <f t="shared" si="349"/>
        <v>18.883507408733042</v>
      </c>
      <c r="G395" s="1408">
        <f t="shared" si="349"/>
        <v>18.545059251511223</v>
      </c>
      <c r="H395" s="1410">
        <f t="shared" si="349"/>
        <v>19.665514088581006</v>
      </c>
      <c r="I395" s="1409">
        <f t="shared" si="349"/>
        <v>19.091056754565574</v>
      </c>
      <c r="J395" s="1409">
        <f t="shared" si="349"/>
        <v>18.826539315476847</v>
      </c>
      <c r="K395" s="1408">
        <f t="shared" si="349"/>
        <v>18.32569244420003</v>
      </c>
      <c r="L395" s="1395"/>
      <c r="M395" s="1407">
        <f t="shared" ref="M395:R402" si="350">M178/M$172*100</f>
        <v>-6.177347241183842E-2</v>
      </c>
      <c r="N395" s="1408">
        <f t="shared" si="350"/>
        <v>6.5289476022131074E-2</v>
      </c>
      <c r="O395" s="1395">
        <f t="shared" si="350"/>
        <v>19.603740616169173</v>
      </c>
      <c r="P395" s="1407">
        <f t="shared" si="350"/>
        <v>19.272513649539217</v>
      </c>
      <c r="Q395" s="1407">
        <f t="shared" si="350"/>
        <v>19.030249193015635</v>
      </c>
      <c r="R395" s="1408">
        <f t="shared" si="350"/>
        <v>18.667017332032827</v>
      </c>
      <c r="S395" s="1407">
        <f t="shared" ref="S395:U402" si="351">E395-P395</f>
        <v>-3.0621580449331276E-2</v>
      </c>
      <c r="T395" s="1407">
        <f t="shared" si="351"/>
        <v>-0.1467417842825931</v>
      </c>
      <c r="U395" s="1406">
        <f t="shared" si="351"/>
        <v>-0.12195808052160473</v>
      </c>
      <c r="V395" s="1406">
        <f t="shared" ref="V395:V402" si="352">P395-O395</f>
        <v>-0.33122696662995565</v>
      </c>
      <c r="W395" s="1405"/>
      <c r="Y395" s="1404"/>
    </row>
    <row r="396" spans="1:25">
      <c r="A396" s="898" t="s">
        <v>1323</v>
      </c>
      <c r="B396" s="898"/>
      <c r="C396" s="1400">
        <f t="shared" ref="C396:K396" si="353">C179/C$172*100</f>
        <v>8.9590687495551915</v>
      </c>
      <c r="D396" s="900">
        <f t="shared" si="353"/>
        <v>8.9667249166135221</v>
      </c>
      <c r="E396" s="900">
        <f t="shared" si="353"/>
        <v>8.7422060662318426</v>
      </c>
      <c r="F396" s="900">
        <f t="shared" si="353"/>
        <v>8.6975690041099725</v>
      </c>
      <c r="G396" s="1400">
        <f t="shared" si="353"/>
        <v>8.5820016610036678</v>
      </c>
      <c r="H396" s="1403">
        <f t="shared" si="353"/>
        <v>8.8703569746830375</v>
      </c>
      <c r="I396" s="1402">
        <f t="shared" si="353"/>
        <v>8.8461283112443354</v>
      </c>
      <c r="J396" s="1402">
        <f t="shared" si="353"/>
        <v>8.7883354471719386</v>
      </c>
      <c r="K396" s="1400">
        <f t="shared" si="353"/>
        <v>8.6836023753312084</v>
      </c>
      <c r="L396" s="1401"/>
      <c r="M396" s="900">
        <f t="shared" si="350"/>
        <v>-1.5648770534207965E-2</v>
      </c>
      <c r="N396" s="1400">
        <f t="shared" si="350"/>
        <v>-2.6309050452118128E-2</v>
      </c>
      <c r="O396" s="1401">
        <f t="shared" si="350"/>
        <v>8.8547082041488316</v>
      </c>
      <c r="P396" s="900">
        <f t="shared" si="350"/>
        <v>8.6833092220181936</v>
      </c>
      <c r="Q396" s="900">
        <f t="shared" si="350"/>
        <v>8.6059867495354663</v>
      </c>
      <c r="R396" s="1400">
        <f t="shared" si="350"/>
        <v>8.4797752566454641</v>
      </c>
      <c r="S396" s="1399">
        <f t="shared" si="351"/>
        <v>5.8896844213649047E-2</v>
      </c>
      <c r="T396" s="1398">
        <f t="shared" si="351"/>
        <v>9.1582254574506194E-2</v>
      </c>
      <c r="U396" s="1398">
        <f t="shared" si="351"/>
        <v>0.10222640435820374</v>
      </c>
      <c r="V396" s="1397">
        <f t="shared" si="352"/>
        <v>-0.17139898213063809</v>
      </c>
      <c r="Y396" s="933"/>
    </row>
    <row r="397" spans="1:25">
      <c r="A397" s="898" t="s">
        <v>1162</v>
      </c>
      <c r="B397" s="898"/>
      <c r="C397" s="1400">
        <f t="shared" ref="C397:K397" si="354">C180/C$172*100</f>
        <v>5.9157240969122684</v>
      </c>
      <c r="D397" s="900">
        <f t="shared" si="354"/>
        <v>5.6011458821451807</v>
      </c>
      <c r="E397" s="900">
        <f t="shared" si="354"/>
        <v>5.6160521353746713</v>
      </c>
      <c r="F397" s="900">
        <f t="shared" si="354"/>
        <v>5.2482291769656744</v>
      </c>
      <c r="G397" s="1400">
        <f t="shared" si="354"/>
        <v>5.0205585377173279</v>
      </c>
      <c r="H397" s="1403">
        <f t="shared" si="354"/>
        <v>5.8535966890815656</v>
      </c>
      <c r="I397" s="1402">
        <f t="shared" si="354"/>
        <v>5.3638098669878831</v>
      </c>
      <c r="J397" s="1402">
        <f t="shared" si="354"/>
        <v>5.1983866944721377</v>
      </c>
      <c r="K397" s="1400">
        <f t="shared" si="354"/>
        <v>4.8812198427204692</v>
      </c>
      <c r="L397" s="1401"/>
      <c r="M397" s="900">
        <f t="shared" si="350"/>
        <v>-4.6124701877630452E-2</v>
      </c>
      <c r="N397" s="1400">
        <f t="shared" si="350"/>
        <v>0.29621372764165349</v>
      </c>
      <c r="O397" s="1401">
        <f t="shared" si="350"/>
        <v>5.807471987203936</v>
      </c>
      <c r="P397" s="900">
        <f t="shared" si="350"/>
        <v>5.6097607675201635</v>
      </c>
      <c r="Q397" s="900">
        <f t="shared" si="350"/>
        <v>5.4323206620776672</v>
      </c>
      <c r="R397" s="1400">
        <f t="shared" si="350"/>
        <v>5.217896632074642</v>
      </c>
      <c r="S397" s="1399">
        <f t="shared" si="351"/>
        <v>6.29136785450779E-3</v>
      </c>
      <c r="T397" s="1398">
        <f t="shared" si="351"/>
        <v>-0.1840914851119928</v>
      </c>
      <c r="U397" s="1398">
        <f t="shared" si="351"/>
        <v>-0.1973380943573142</v>
      </c>
      <c r="V397" s="1397">
        <f t="shared" si="352"/>
        <v>-0.19771121968377248</v>
      </c>
      <c r="Y397" s="933"/>
    </row>
    <row r="398" spans="1:25">
      <c r="A398" s="898" t="s">
        <v>1342</v>
      </c>
      <c r="B398" s="898"/>
      <c r="C398" s="1400">
        <f t="shared" ref="C398:K398" si="355">C181/C$172*100</f>
        <v>7.7142450461075471E-2</v>
      </c>
      <c r="D398" s="900">
        <f t="shared" si="355"/>
        <v>5.4800997513913111E-2</v>
      </c>
      <c r="E398" s="900">
        <f t="shared" si="355"/>
        <v>5.927512648118792E-2</v>
      </c>
      <c r="F398" s="900">
        <f t="shared" si="355"/>
        <v>5.7354566176702447E-2</v>
      </c>
      <c r="G398" s="1400">
        <f t="shared" si="355"/>
        <v>5.2864408475412614E-2</v>
      </c>
      <c r="H398" s="1403">
        <f t="shared" si="355"/>
        <v>7.4389879787469942E-2</v>
      </c>
      <c r="I398" s="1402">
        <f t="shared" si="355"/>
        <v>7.1955049736782142E-2</v>
      </c>
      <c r="J398" s="1402">
        <f t="shared" si="355"/>
        <v>6.9383248095374939E-2</v>
      </c>
      <c r="K398" s="1400">
        <f t="shared" si="355"/>
        <v>6.6559380205991225E-2</v>
      </c>
      <c r="L398" s="1401"/>
      <c r="M398" s="900">
        <f t="shared" si="350"/>
        <v>0</v>
      </c>
      <c r="N398" s="1400">
        <f t="shared" si="350"/>
        <v>0</v>
      </c>
      <c r="O398" s="1401">
        <f t="shared" si="350"/>
        <v>7.4389879787469942E-2</v>
      </c>
      <c r="P398" s="900">
        <f t="shared" si="350"/>
        <v>7.1751981753235258E-2</v>
      </c>
      <c r="Q398" s="900">
        <f t="shared" si="350"/>
        <v>6.9120755996569014E-2</v>
      </c>
      <c r="R398" s="1400">
        <f t="shared" si="350"/>
        <v>6.5998925599399808E-2</v>
      </c>
      <c r="S398" s="1399">
        <f t="shared" si="351"/>
        <v>-1.2476855272047338E-2</v>
      </c>
      <c r="T398" s="1398">
        <f t="shared" si="351"/>
        <v>-1.1766189819866567E-2</v>
      </c>
      <c r="U398" s="1398">
        <f t="shared" si="351"/>
        <v>-1.3134517123987194E-2</v>
      </c>
      <c r="V398" s="1397">
        <f t="shared" si="352"/>
        <v>-2.6378980342346842E-3</v>
      </c>
      <c r="Y398" s="933"/>
    </row>
    <row r="399" spans="1:25">
      <c r="A399" s="898" t="s">
        <v>1341</v>
      </c>
      <c r="B399" s="898"/>
      <c r="C399" s="1400">
        <f t="shared" ref="C399:K399" si="356">C182/C$172*100</f>
        <v>5.0744532671797637</v>
      </c>
      <c r="D399" s="900">
        <f t="shared" si="356"/>
        <v>5.1749107975419957</v>
      </c>
      <c r="E399" s="900">
        <f t="shared" si="356"/>
        <v>5.0265658172987431</v>
      </c>
      <c r="F399" s="900">
        <f t="shared" si="356"/>
        <v>5.0118483101266422</v>
      </c>
      <c r="G399" s="1400">
        <f t="shared" si="356"/>
        <v>4.9644184432637877</v>
      </c>
      <c r="H399" s="1403">
        <f t="shared" si="356"/>
        <v>5.1930267638758032</v>
      </c>
      <c r="I399" s="1402">
        <f t="shared" si="356"/>
        <v>5.1686264757589324</v>
      </c>
      <c r="J399" s="1402">
        <f t="shared" si="356"/>
        <v>5.0706622133255514</v>
      </c>
      <c r="K399" s="1400">
        <f t="shared" si="356"/>
        <v>4.9280137568293814</v>
      </c>
      <c r="L399" s="1401"/>
      <c r="M399" s="900">
        <f t="shared" si="350"/>
        <v>0</v>
      </c>
      <c r="N399" s="1400">
        <f t="shared" si="350"/>
        <v>5.8548623446271937E-2</v>
      </c>
      <c r="O399" s="1401">
        <f t="shared" si="350"/>
        <v>5.1930267638758032</v>
      </c>
      <c r="P399" s="900">
        <f t="shared" si="350"/>
        <v>5.2246665911911814</v>
      </c>
      <c r="Q399" s="900">
        <f t="shared" si="350"/>
        <v>5.2662826093091999</v>
      </c>
      <c r="R399" s="1400">
        <f t="shared" si="350"/>
        <v>5.3039714137537555</v>
      </c>
      <c r="S399" s="1399">
        <f t="shared" si="351"/>
        <v>-0.1981007738924383</v>
      </c>
      <c r="T399" s="1398">
        <f t="shared" si="351"/>
        <v>-0.25443429918255767</v>
      </c>
      <c r="U399" s="1398">
        <f t="shared" si="351"/>
        <v>-0.3395529704899678</v>
      </c>
      <c r="V399" s="1397">
        <f t="shared" si="352"/>
        <v>3.1639827315378177E-2</v>
      </c>
      <c r="Y399" s="933"/>
    </row>
    <row r="400" spans="1:25">
      <c r="A400" s="898" t="s">
        <v>1340</v>
      </c>
      <c r="B400" s="898"/>
      <c r="C400" s="1400">
        <f t="shared" ref="C400:K400" si="357">C183/C$172*100</f>
        <v>3.8540724096912262</v>
      </c>
      <c r="D400" s="900">
        <f t="shared" si="357"/>
        <v>3.8779182667477792</v>
      </c>
      <c r="E400" s="900">
        <f t="shared" si="357"/>
        <v>3.8304944252314241</v>
      </c>
      <c r="F400" s="900">
        <f t="shared" si="357"/>
        <v>3.7435107658040132</v>
      </c>
      <c r="G400" s="1400">
        <f t="shared" si="357"/>
        <v>3.6228115383129729</v>
      </c>
      <c r="H400" s="1403">
        <f t="shared" si="357"/>
        <v>3.8476192827219964</v>
      </c>
      <c r="I400" s="1402">
        <f t="shared" si="357"/>
        <v>3.8005659735680348</v>
      </c>
      <c r="J400" s="1402">
        <f t="shared" si="357"/>
        <v>3.7142619356092079</v>
      </c>
      <c r="K400" s="1400">
        <f t="shared" si="357"/>
        <v>3.5945057563502645</v>
      </c>
      <c r="L400" s="1401"/>
      <c r="M400" s="900">
        <f t="shared" si="350"/>
        <v>0</v>
      </c>
      <c r="N400" s="1400">
        <f t="shared" si="350"/>
        <v>0</v>
      </c>
      <c r="O400" s="1401">
        <f t="shared" si="350"/>
        <v>3.8476192827219964</v>
      </c>
      <c r="P400" s="900">
        <f t="shared" si="350"/>
        <v>3.7898402041965653</v>
      </c>
      <c r="Q400" s="900">
        <f t="shared" si="350"/>
        <v>3.700210065197306</v>
      </c>
      <c r="R400" s="1400">
        <f t="shared" si="350"/>
        <v>3.564238688007213</v>
      </c>
      <c r="S400" s="1399">
        <f t="shared" si="351"/>
        <v>4.0654221034858828E-2</v>
      </c>
      <c r="T400" s="1398">
        <f t="shared" si="351"/>
        <v>4.330070060670721E-2</v>
      </c>
      <c r="U400" s="1398">
        <f t="shared" si="351"/>
        <v>5.8572850305759872E-2</v>
      </c>
      <c r="V400" s="1397">
        <f t="shared" si="352"/>
        <v>-5.7779078525431071E-2</v>
      </c>
      <c r="Y400" s="933"/>
    </row>
    <row r="401" spans="1:25">
      <c r="A401" s="898" t="s">
        <v>1339</v>
      </c>
      <c r="B401" s="898"/>
      <c r="C401" s="1400">
        <f t="shared" ref="C401:K401" si="358">C184/C$172*100</f>
        <v>4.4255899427595384</v>
      </c>
      <c r="D401" s="900">
        <f t="shared" si="358"/>
        <v>3.9411043470012981</v>
      </c>
      <c r="E401" s="900">
        <f t="shared" si="358"/>
        <v>4.0327015015279821</v>
      </c>
      <c r="F401" s="900">
        <f t="shared" si="358"/>
        <v>3.875004414449966</v>
      </c>
      <c r="G401" s="1400">
        <f t="shared" si="358"/>
        <v>3.6975953372619421</v>
      </c>
      <c r="H401" s="1403">
        <f t="shared" si="358"/>
        <v>4.173475501568868</v>
      </c>
      <c r="I401" s="1402">
        <f t="shared" si="358"/>
        <v>4.1600289227303922</v>
      </c>
      <c r="J401" s="1402">
        <f t="shared" si="358"/>
        <v>4.0144902231973658</v>
      </c>
      <c r="K401" s="1400">
        <f t="shared" si="358"/>
        <v>3.8282086672372833</v>
      </c>
      <c r="L401" s="1401"/>
      <c r="M401" s="900">
        <f t="shared" si="350"/>
        <v>0</v>
      </c>
      <c r="N401" s="1400">
        <f t="shared" si="350"/>
        <v>0.26316382461367621</v>
      </c>
      <c r="O401" s="1401">
        <f t="shared" si="350"/>
        <v>4.173475501568868</v>
      </c>
      <c r="P401" s="900">
        <f t="shared" si="350"/>
        <v>4.1068151171401217</v>
      </c>
      <c r="Q401" s="900">
        <f t="shared" si="350"/>
        <v>4.0436716491005757</v>
      </c>
      <c r="R401" s="1400">
        <f t="shared" si="350"/>
        <v>3.9648635840476474</v>
      </c>
      <c r="S401" s="1399">
        <f t="shared" si="351"/>
        <v>-7.4113615612139583E-2</v>
      </c>
      <c r="T401" s="1398">
        <f t="shared" si="351"/>
        <v>-0.16866723465060973</v>
      </c>
      <c r="U401" s="1398">
        <f t="shared" si="351"/>
        <v>-0.26726824678570527</v>
      </c>
      <c r="V401" s="1397">
        <f t="shared" si="352"/>
        <v>-6.6660384428746333E-2</v>
      </c>
      <c r="Y401" s="933"/>
    </row>
    <row r="402" spans="1:25">
      <c r="A402" s="1396" t="s">
        <v>1338</v>
      </c>
      <c r="B402" s="1396"/>
      <c r="C402" s="1391">
        <f t="shared" ref="C402:K402" si="359">C185/C$172*100</f>
        <v>6.2916785282186316</v>
      </c>
      <c r="D402" s="1392">
        <f t="shared" si="359"/>
        <v>3.050238345119801</v>
      </c>
      <c r="E402" s="1392">
        <f t="shared" si="359"/>
        <v>3.3822516231020496</v>
      </c>
      <c r="F402" s="1392">
        <f t="shared" si="359"/>
        <v>3.387320846168921</v>
      </c>
      <c r="G402" s="1391">
        <f t="shared" si="359"/>
        <v>2.5277394045736488</v>
      </c>
      <c r="H402" s="1394">
        <f t="shared" si="359"/>
        <v>3.6636933622682228</v>
      </c>
      <c r="I402" s="1392">
        <f t="shared" si="359"/>
        <v>4.3117394895721439</v>
      </c>
      <c r="J402" s="1392">
        <f t="shared" si="359"/>
        <v>3.9452176155908347</v>
      </c>
      <c r="K402" s="1391">
        <f t="shared" si="359"/>
        <v>3.4105724627577758</v>
      </c>
      <c r="L402" s="1395"/>
      <c r="M402" s="1394">
        <f t="shared" si="350"/>
        <v>-1.4781584257753114E-2</v>
      </c>
      <c r="N402" s="1391">
        <f t="shared" si="350"/>
        <v>0.63728716536208718</v>
      </c>
      <c r="O402" s="1393">
        <f t="shared" si="350"/>
        <v>3.6489117780104698</v>
      </c>
      <c r="P402" s="1392">
        <f t="shared" si="350"/>
        <v>4.4288477537101993</v>
      </c>
      <c r="Q402" s="1392">
        <f t="shared" si="350"/>
        <v>4.1467202483845975</v>
      </c>
      <c r="R402" s="1391">
        <f t="shared" si="350"/>
        <v>3.6405522176026528</v>
      </c>
      <c r="S402" s="1392">
        <f t="shared" si="351"/>
        <v>-1.0465961306081497</v>
      </c>
      <c r="T402" s="1392">
        <f t="shared" si="351"/>
        <v>-0.75939940221567648</v>
      </c>
      <c r="U402" s="1391">
        <f t="shared" si="351"/>
        <v>-1.112812813029004</v>
      </c>
      <c r="V402" s="1391">
        <f t="shared" si="352"/>
        <v>0.7799359756997295</v>
      </c>
      <c r="Y402" s="933"/>
    </row>
    <row r="403" spans="1:25">
      <c r="L403" s="1361"/>
    </row>
    <row r="404" spans="1:25">
      <c r="A404" s="792" t="s">
        <v>1337</v>
      </c>
    </row>
    <row r="405" spans="1:25">
      <c r="A405" s="1796"/>
      <c r="B405" s="1796"/>
      <c r="C405" s="1390"/>
      <c r="D405" s="1804" t="s">
        <v>1336</v>
      </c>
      <c r="E405" s="1804"/>
      <c r="F405" s="1804"/>
      <c r="G405" s="1805"/>
      <c r="H405" s="1804" t="s">
        <v>1042</v>
      </c>
      <c r="I405" s="1804"/>
      <c r="J405" s="1804"/>
      <c r="K405" s="1804"/>
      <c r="L405" s="933"/>
      <c r="M405" s="1804" t="s">
        <v>1335</v>
      </c>
      <c r="N405" s="1804"/>
      <c r="O405" s="1804"/>
      <c r="P405" s="1804"/>
      <c r="Q405" s="1804"/>
      <c r="R405" s="1805"/>
      <c r="V405" s="931"/>
    </row>
    <row r="406" spans="1:25" ht="12.75" customHeight="1">
      <c r="A406" s="1389" t="s">
        <v>1334</v>
      </c>
      <c r="B406" s="1792" t="s">
        <v>1333</v>
      </c>
      <c r="C406" s="1812" t="s">
        <v>540</v>
      </c>
      <c r="D406" s="1792" t="s">
        <v>1332</v>
      </c>
      <c r="E406" s="1792" t="s">
        <v>983</v>
      </c>
      <c r="F406" s="1792" t="s">
        <v>982</v>
      </c>
      <c r="G406" s="1801" t="s">
        <v>981</v>
      </c>
      <c r="H406" s="1792" t="s">
        <v>541</v>
      </c>
      <c r="I406" s="1792" t="s">
        <v>542</v>
      </c>
      <c r="J406" s="1792" t="s">
        <v>543</v>
      </c>
      <c r="K406" s="1792" t="s">
        <v>544</v>
      </c>
      <c r="M406" s="1793" t="s">
        <v>1331</v>
      </c>
      <c r="N406" s="1794"/>
      <c r="O406" s="1794" t="s">
        <v>1330</v>
      </c>
      <c r="P406" s="1792" t="s">
        <v>1153</v>
      </c>
      <c r="Q406" s="1792" t="s">
        <v>1152</v>
      </c>
      <c r="R406" s="1801" t="s">
        <v>1151</v>
      </c>
      <c r="V406" s="931"/>
    </row>
    <row r="407" spans="1:25">
      <c r="A407" s="1389"/>
      <c r="B407" s="1792"/>
      <c r="C407" s="1813"/>
      <c r="D407" s="1814"/>
      <c r="E407" s="1814"/>
      <c r="F407" s="1814"/>
      <c r="G407" s="1815"/>
      <c r="H407" s="1792"/>
      <c r="I407" s="1792"/>
      <c r="J407" s="1792"/>
      <c r="K407" s="1792"/>
      <c r="M407" s="1388" t="s">
        <v>1329</v>
      </c>
      <c r="N407" s="1387" t="s">
        <v>1328</v>
      </c>
      <c r="O407" s="1794"/>
      <c r="P407" s="1792"/>
      <c r="Q407" s="1792"/>
      <c r="R407" s="1801"/>
      <c r="V407" s="1386"/>
    </row>
    <row r="408" spans="1:25">
      <c r="A408" s="1385" t="s">
        <v>1327</v>
      </c>
      <c r="B408" s="1384"/>
      <c r="C408" s="1383">
        <f t="shared" ref="C408:K408" si="360">C200/C$172*100</f>
        <v>3.7009345372723832</v>
      </c>
      <c r="D408" s="1382">
        <f t="shared" si="360"/>
        <v>1.2599275848079934</v>
      </c>
      <c r="E408" s="1381">
        <f t="shared" si="360"/>
        <v>1.366651049866507</v>
      </c>
      <c r="F408" s="1381">
        <f t="shared" si="360"/>
        <v>1.8559020953908003</v>
      </c>
      <c r="G408" s="1380">
        <f t="shared" si="360"/>
        <v>1.4192022861096234</v>
      </c>
      <c r="H408" s="1375">
        <f t="shared" si="360"/>
        <v>1.1464704274472466</v>
      </c>
      <c r="I408" s="1375">
        <f t="shared" si="360"/>
        <v>1.5706539297247488</v>
      </c>
      <c r="J408" s="1375">
        <f t="shared" si="360"/>
        <v>1.465628024009896</v>
      </c>
      <c r="K408" s="1374">
        <f t="shared" si="360"/>
        <v>1.1544014207207711</v>
      </c>
      <c r="L408" s="917"/>
      <c r="M408" s="1385"/>
      <c r="N408" s="1384"/>
      <c r="O408" s="1383">
        <f t="shared" ref="O408:R412" si="361">O200/O$172*100</f>
        <v>1.1464704274472466</v>
      </c>
      <c r="P408" s="1382">
        <f t="shared" si="361"/>
        <v>1.5662213078653251</v>
      </c>
      <c r="Q408" s="1381">
        <f t="shared" si="361"/>
        <v>1.4600832306101648</v>
      </c>
      <c r="R408" s="1380">
        <f t="shared" si="361"/>
        <v>1.144680933659499</v>
      </c>
      <c r="V408" s="931"/>
    </row>
    <row r="409" spans="1:25">
      <c r="A409" s="1373" t="s">
        <v>1323</v>
      </c>
      <c r="B409" s="1372"/>
      <c r="C409" s="1371">
        <f t="shared" ref="C409:K409" si="362">C201/C$172*100</f>
        <v>0.20865522572109726</v>
      </c>
      <c r="D409" s="1370">
        <f t="shared" si="362"/>
        <v>0.20839674320219165</v>
      </c>
      <c r="E409" s="1369">
        <f t="shared" si="362"/>
        <v>4.7688262019072593E-2</v>
      </c>
      <c r="F409" s="1369">
        <f t="shared" si="362"/>
        <v>0.21848489223411705</v>
      </c>
      <c r="G409" s="1368">
        <f t="shared" si="362"/>
        <v>0.32832147461913086</v>
      </c>
      <c r="H409" s="1369">
        <f t="shared" si="362"/>
        <v>0.12317986881460929</v>
      </c>
      <c r="I409" s="1369">
        <f t="shared" si="362"/>
        <v>5.8134195023789748E-2</v>
      </c>
      <c r="J409" s="1369">
        <f t="shared" si="362"/>
        <v>5.7583550222963326E-2</v>
      </c>
      <c r="K409" s="1368">
        <f t="shared" si="362"/>
        <v>5.6874298024973069E-2</v>
      </c>
      <c r="L409" s="759"/>
      <c r="M409" s="1373"/>
      <c r="N409" s="1372"/>
      <c r="O409" s="1371">
        <f t="shared" si="361"/>
        <v>0.12317986881460929</v>
      </c>
      <c r="P409" s="1370">
        <f t="shared" si="361"/>
        <v>5.7970131573041164E-2</v>
      </c>
      <c r="Q409" s="1369">
        <f t="shared" si="361"/>
        <v>5.7365698978323616E-2</v>
      </c>
      <c r="R409" s="1368">
        <f t="shared" si="361"/>
        <v>5.6395395393576866E-2</v>
      </c>
    </row>
    <row r="410" spans="1:25">
      <c r="A410" s="1373" t="s">
        <v>1162</v>
      </c>
      <c r="B410" s="1372"/>
      <c r="C410" s="1371">
        <f t="shared" ref="C410:K410" si="363">C202/C$172*100</f>
        <v>0.36003738628160736</v>
      </c>
      <c r="D410" s="1370">
        <f t="shared" si="363"/>
        <v>0.21787558636430232</v>
      </c>
      <c r="E410" s="1369">
        <f t="shared" si="363"/>
        <v>7.4756542366365114E-2</v>
      </c>
      <c r="F410" s="1369">
        <f t="shared" si="363"/>
        <v>0.1053823153341165</v>
      </c>
      <c r="G410" s="1368">
        <f t="shared" si="363"/>
        <v>0.10460272786482361</v>
      </c>
      <c r="H410" s="1369">
        <f t="shared" si="363"/>
        <v>0.15397483601826159</v>
      </c>
      <c r="I410" s="1369">
        <f t="shared" si="363"/>
        <v>0.1180307705077252</v>
      </c>
      <c r="J410" s="1369">
        <f t="shared" si="363"/>
        <v>0.11381214053750432</v>
      </c>
      <c r="K410" s="1368">
        <f t="shared" si="363"/>
        <v>0.10918003613322362</v>
      </c>
      <c r="L410" s="759"/>
      <c r="M410" s="1373"/>
      <c r="N410" s="1372"/>
      <c r="O410" s="1371">
        <f t="shared" si="361"/>
        <v>0.15397483601826159</v>
      </c>
      <c r="P410" s="1370">
        <f t="shared" si="361"/>
        <v>0.11769766990323441</v>
      </c>
      <c r="Q410" s="1369">
        <f t="shared" si="361"/>
        <v>0.1133815641597853</v>
      </c>
      <c r="R410" s="1368">
        <f t="shared" si="361"/>
        <v>0.10826069983517958</v>
      </c>
    </row>
    <row r="411" spans="1:25">
      <c r="A411" s="1373" t="s">
        <v>1320</v>
      </c>
      <c r="B411" s="1372"/>
      <c r="C411" s="1371">
        <f t="shared" ref="C411:K411" si="364">C203/C$172*100</f>
        <v>1.9451200448366818E-2</v>
      </c>
      <c r="D411" s="1370">
        <f t="shared" si="364"/>
        <v>0.12484635851015194</v>
      </c>
      <c r="E411" s="1369">
        <f t="shared" si="364"/>
        <v>0.29159298716779647</v>
      </c>
      <c r="F411" s="1369">
        <f t="shared" si="364"/>
        <v>0.38367988808041237</v>
      </c>
      <c r="G411" s="1368">
        <f t="shared" si="364"/>
        <v>0.36401515470141821</v>
      </c>
      <c r="H411" s="1369">
        <f t="shared" si="364"/>
        <v>6.1589934407304649E-3</v>
      </c>
      <c r="I411" s="1369">
        <f t="shared" si="364"/>
        <v>5.4193700464691928E-3</v>
      </c>
      <c r="J411" s="1369">
        <f t="shared" si="364"/>
        <v>6.7366540820293112E-3</v>
      </c>
      <c r="K411" s="1368">
        <f t="shared" si="364"/>
        <v>5.8332459181394602E-3</v>
      </c>
      <c r="L411" s="759"/>
      <c r="M411" s="1373"/>
      <c r="N411" s="1372"/>
      <c r="O411" s="1371">
        <f t="shared" si="361"/>
        <v>6.1589934407304649E-3</v>
      </c>
      <c r="P411" s="1370">
        <f t="shared" si="361"/>
        <v>5.4040757682850124E-3</v>
      </c>
      <c r="Q411" s="1369">
        <f t="shared" si="361"/>
        <v>6.7111678368986308E-3</v>
      </c>
      <c r="R411" s="1368">
        <f t="shared" si="361"/>
        <v>5.7841278293579244E-3</v>
      </c>
    </row>
    <row r="412" spans="1:25">
      <c r="A412" s="1373" t="s">
        <v>1322</v>
      </c>
      <c r="B412" s="1372"/>
      <c r="C412" s="1371">
        <f t="shared" ref="C412:K412" si="365">C204/C$172*100</f>
        <v>3.1127907248213114</v>
      </c>
      <c r="D412" s="1370">
        <f t="shared" si="365"/>
        <v>0.7088088967313475</v>
      </c>
      <c r="E412" s="1369">
        <f t="shared" si="365"/>
        <v>0.95261325831327293</v>
      </c>
      <c r="F412" s="1369">
        <f t="shared" si="365"/>
        <v>1.1483549997421543</v>
      </c>
      <c r="G412" s="1368">
        <f t="shared" si="365"/>
        <v>0.62226292892425061</v>
      </c>
      <c r="H412" s="1369">
        <f t="shared" si="365"/>
        <v>0.86315672917364528</v>
      </c>
      <c r="I412" s="1369">
        <f t="shared" si="365"/>
        <v>1.3890695941467648</v>
      </c>
      <c r="J412" s="1369">
        <f t="shared" si="365"/>
        <v>1.2874956791673993</v>
      </c>
      <c r="K412" s="1368">
        <f t="shared" si="365"/>
        <v>0.98251384064443492</v>
      </c>
      <c r="L412" s="759"/>
      <c r="M412" s="1373"/>
      <c r="N412" s="1372"/>
      <c r="O412" s="1371">
        <f t="shared" si="361"/>
        <v>0.86315672917364528</v>
      </c>
      <c r="P412" s="1370">
        <f t="shared" si="361"/>
        <v>1.3851494306207646</v>
      </c>
      <c r="Q412" s="1369">
        <f t="shared" si="361"/>
        <v>1.2826247996351574</v>
      </c>
      <c r="R412" s="1368">
        <f t="shared" si="361"/>
        <v>0.97424071060138473</v>
      </c>
    </row>
    <row r="413" spans="1:25">
      <c r="A413" s="1373"/>
      <c r="B413" s="1372"/>
      <c r="C413" s="1371"/>
      <c r="D413" s="1370"/>
      <c r="E413" s="1369"/>
      <c r="F413" s="1369"/>
      <c r="G413" s="1368"/>
      <c r="H413" s="1369"/>
      <c r="I413" s="1369"/>
      <c r="J413" s="1369"/>
      <c r="K413" s="1368"/>
      <c r="L413" s="759"/>
      <c r="M413" s="1373"/>
      <c r="N413" s="1372"/>
      <c r="O413" s="1371"/>
      <c r="P413" s="1370"/>
      <c r="Q413" s="1369"/>
      <c r="R413" s="1368"/>
    </row>
    <row r="414" spans="1:25">
      <c r="A414" s="1379" t="s">
        <v>1326</v>
      </c>
      <c r="B414" s="1378"/>
      <c r="C414" s="1377">
        <f t="shared" ref="C414:K414" si="366">C206/C$172*100</f>
        <v>1.5374530644743141</v>
      </c>
      <c r="D414" s="1376">
        <f t="shared" si="366"/>
        <v>1.5661345676544192</v>
      </c>
      <c r="E414" s="1375">
        <f t="shared" si="366"/>
        <v>1.7954910955117518</v>
      </c>
      <c r="F414" s="1375">
        <f t="shared" si="366"/>
        <v>1.9191740721601773</v>
      </c>
      <c r="G414" s="1374">
        <f t="shared" si="366"/>
        <v>2.0035914385033404</v>
      </c>
      <c r="H414" s="1375">
        <f t="shared" si="366"/>
        <v>1.4666791664766454</v>
      </c>
      <c r="I414" s="1375">
        <f t="shared" si="366"/>
        <v>1.3546884150854184</v>
      </c>
      <c r="J414" s="1375">
        <f t="shared" si="366"/>
        <v>1.3254658629056506</v>
      </c>
      <c r="K414" s="1374">
        <f t="shared" si="366"/>
        <v>1.5668959027301588</v>
      </c>
      <c r="L414" s="917"/>
      <c r="M414" s="1379"/>
      <c r="N414" s="1378"/>
      <c r="O414" s="1377">
        <f t="shared" ref="O414:R416" si="367">O206/O$172*100</f>
        <v>1.4666791664766454</v>
      </c>
      <c r="P414" s="1376">
        <f t="shared" si="367"/>
        <v>1.3508652804229864</v>
      </c>
      <c r="Q414" s="1375">
        <f t="shared" si="367"/>
        <v>1.320451333811085</v>
      </c>
      <c r="R414" s="1374">
        <f t="shared" si="367"/>
        <v>1.5537020595180298</v>
      </c>
    </row>
    <row r="415" spans="1:25">
      <c r="A415" s="1373" t="s">
        <v>1325</v>
      </c>
      <c r="B415" s="1372"/>
      <c r="C415" s="1371">
        <f t="shared" ref="C415:K415" si="368">C207/C$172*100</f>
        <v>0.85890200914779824</v>
      </c>
      <c r="D415" s="1370">
        <f t="shared" si="368"/>
        <v>0.9745082574830326</v>
      </c>
      <c r="E415" s="1369">
        <f t="shared" si="368"/>
        <v>1.1102267717482046</v>
      </c>
      <c r="F415" s="1369">
        <f t="shared" si="368"/>
        <v>0.93298980861137548</v>
      </c>
      <c r="G415" s="1368">
        <f t="shared" si="368"/>
        <v>0.89280413947666304</v>
      </c>
      <c r="H415" s="1369">
        <f t="shared" si="368"/>
        <v>0.83248921651694674</v>
      </c>
      <c r="I415" s="1369">
        <f t="shared" si="368"/>
        <v>0.82230853864998288</v>
      </c>
      <c r="J415" s="1369">
        <f t="shared" si="368"/>
        <v>0.80363538632817499</v>
      </c>
      <c r="K415" s="1368">
        <f t="shared" si="368"/>
        <v>0.77772436953604274</v>
      </c>
      <c r="L415" s="759"/>
      <c r="M415" s="1373"/>
      <c r="N415" s="1372"/>
      <c r="O415" s="1371">
        <f t="shared" si="367"/>
        <v>0.83248921651694674</v>
      </c>
      <c r="P415" s="1370">
        <f t="shared" si="367"/>
        <v>0.819987860151283</v>
      </c>
      <c r="Q415" s="1369">
        <f t="shared" si="367"/>
        <v>0.80059505678145171</v>
      </c>
      <c r="R415" s="1368">
        <f t="shared" si="367"/>
        <v>0.7711756426065568</v>
      </c>
    </row>
    <row r="416" spans="1:25">
      <c r="A416" s="1373" t="s">
        <v>780</v>
      </c>
      <c r="B416" s="1372"/>
      <c r="C416" s="1371">
        <f t="shared" ref="C416:K416" si="369">C208/C$172*100</f>
        <v>0.67855105532651594</v>
      </c>
      <c r="D416" s="1370">
        <f t="shared" si="369"/>
        <v>0.59162631017138678</v>
      </c>
      <c r="E416" s="1369">
        <f t="shared" si="369"/>
        <v>0.68526432376354718</v>
      </c>
      <c r="F416" s="1369">
        <f t="shared" si="369"/>
        <v>0.98618426354880206</v>
      </c>
      <c r="G416" s="1368">
        <f t="shared" si="369"/>
        <v>1.1107872990266776</v>
      </c>
      <c r="H416" s="1369">
        <f t="shared" si="369"/>
        <v>0.63418994995969857</v>
      </c>
      <c r="I416" s="1369">
        <f t="shared" si="369"/>
        <v>0.5323798764354355</v>
      </c>
      <c r="J416" s="1369">
        <f t="shared" si="369"/>
        <v>0.52183047657747539</v>
      </c>
      <c r="K416" s="1368">
        <f t="shared" si="369"/>
        <v>0.78917153319411593</v>
      </c>
      <c r="L416" s="759"/>
      <c r="M416" s="1373"/>
      <c r="N416" s="1372"/>
      <c r="O416" s="1371">
        <f t="shared" si="367"/>
        <v>0.63418994995969857</v>
      </c>
      <c r="P416" s="1370">
        <f t="shared" si="367"/>
        <v>0.53087742027170348</v>
      </c>
      <c r="Q416" s="1369">
        <f t="shared" si="367"/>
        <v>0.51985627702963311</v>
      </c>
      <c r="R416" s="1368">
        <f t="shared" si="367"/>
        <v>0.78252641691147296</v>
      </c>
    </row>
    <row r="417" spans="1:18">
      <c r="A417" s="1373"/>
      <c r="B417" s="1372"/>
      <c r="C417" s="1371"/>
      <c r="D417" s="1370"/>
      <c r="E417" s="1369"/>
      <c r="F417" s="1369"/>
      <c r="G417" s="1368"/>
      <c r="H417" s="1369"/>
      <c r="I417" s="1369"/>
      <c r="J417" s="1369"/>
      <c r="K417" s="1368"/>
      <c r="L417" s="759"/>
      <c r="M417" s="1373"/>
      <c r="N417" s="1372"/>
      <c r="O417" s="1371"/>
      <c r="P417" s="1370"/>
      <c r="Q417" s="1369"/>
      <c r="R417" s="1368"/>
    </row>
    <row r="418" spans="1:18">
      <c r="A418" s="1379" t="s">
        <v>1324</v>
      </c>
      <c r="B418" s="1378"/>
      <c r="C418" s="1377">
        <f t="shared" ref="C418:K418" si="370">C210/C$172*100</f>
        <v>0.94065763335349806</v>
      </c>
      <c r="D418" s="1376">
        <f t="shared" si="370"/>
        <v>0.521080625168032</v>
      </c>
      <c r="E418" s="1375">
        <f t="shared" si="370"/>
        <v>0.62868009586204121</v>
      </c>
      <c r="F418" s="1375">
        <f t="shared" si="370"/>
        <v>0.67972201146921296</v>
      </c>
      <c r="G418" s="1374">
        <f t="shared" si="370"/>
        <v>0.59994617577202614</v>
      </c>
      <c r="H418" s="1375">
        <f t="shared" si="370"/>
        <v>0.45483581160990383</v>
      </c>
      <c r="I418" s="1375">
        <f t="shared" si="370"/>
        <v>0.49832534361328462</v>
      </c>
      <c r="J418" s="1375">
        <f t="shared" si="370"/>
        <v>0.45660578888149689</v>
      </c>
      <c r="K418" s="1374">
        <f t="shared" si="370"/>
        <v>0.44223339115862531</v>
      </c>
      <c r="L418" s="917"/>
      <c r="M418" s="1379"/>
      <c r="N418" s="1378"/>
      <c r="O418" s="1377">
        <f t="shared" ref="O418:R425" si="371">O210/O$172*100</f>
        <v>0.45483581160990383</v>
      </c>
      <c r="P418" s="1376">
        <f t="shared" si="371"/>
        <v>0.49691899446825549</v>
      </c>
      <c r="Q418" s="1375">
        <f t="shared" si="371"/>
        <v>0.45487834868316995</v>
      </c>
      <c r="R418" s="1374">
        <f t="shared" si="371"/>
        <v>0.43850962239010111</v>
      </c>
    </row>
    <row r="419" spans="1:18">
      <c r="A419" s="1373" t="s">
        <v>1323</v>
      </c>
      <c r="B419" s="1372"/>
      <c r="C419" s="1371">
        <f t="shared" ref="C419:K419" si="372">C211/C$172*100</f>
        <v>4.2214861232550832E-2</v>
      </c>
      <c r="D419" s="1370">
        <f t="shared" si="372"/>
        <v>2.5034822837454021E-2</v>
      </c>
      <c r="E419" s="1369">
        <f t="shared" si="372"/>
        <v>1.6274330879828863E-2</v>
      </c>
      <c r="F419" s="1369">
        <f t="shared" si="372"/>
        <v>2.7285989926037101E-2</v>
      </c>
      <c r="G419" s="1368">
        <f t="shared" si="372"/>
        <v>3.0355794372453518E-2</v>
      </c>
      <c r="H419" s="1369">
        <f t="shared" si="372"/>
        <v>2.1383334785884629E-2</v>
      </c>
      <c r="I419" s="1369">
        <f t="shared" si="372"/>
        <v>9.822533067835237E-3</v>
      </c>
      <c r="J419" s="1369">
        <f t="shared" si="372"/>
        <v>9.3680252291943374E-3</v>
      </c>
      <c r="K419" s="1368">
        <f t="shared" si="372"/>
        <v>9.2293369096159011E-3</v>
      </c>
      <c r="L419" s="759"/>
      <c r="M419" s="1373"/>
      <c r="N419" s="1372"/>
      <c r="O419" s="1371">
        <f t="shared" si="371"/>
        <v>2.1383334785884629E-2</v>
      </c>
      <c r="P419" s="1370">
        <f t="shared" si="371"/>
        <v>9.7948124006867268E-3</v>
      </c>
      <c r="Q419" s="1369">
        <f t="shared" si="371"/>
        <v>9.332583927848831E-3</v>
      </c>
      <c r="R419" s="1368">
        <f t="shared" si="371"/>
        <v>9.1516224782199063E-3</v>
      </c>
    </row>
    <row r="420" spans="1:18">
      <c r="A420" s="1373" t="s">
        <v>1162</v>
      </c>
      <c r="B420" s="1372"/>
      <c r="C420" s="1371">
        <f t="shared" ref="C420:K420" si="373">C212/C$172*100</f>
        <v>6.9752089683499802E-2</v>
      </c>
      <c r="D420" s="1370">
        <f t="shared" si="373"/>
        <v>5.3986574316225541E-2</v>
      </c>
      <c r="E420" s="1369">
        <f t="shared" si="373"/>
        <v>2.6455850850126483E-2</v>
      </c>
      <c r="F420" s="1369">
        <f t="shared" si="373"/>
        <v>3.866723638980462E-2</v>
      </c>
      <c r="G420" s="1368">
        <f t="shared" si="373"/>
        <v>5.6108734744265865E-2</v>
      </c>
      <c r="H420" s="1369">
        <f t="shared" si="373"/>
        <v>2.6729168482355785E-2</v>
      </c>
      <c r="I420" s="1369">
        <f t="shared" si="373"/>
        <v>1.9942843379181018E-2</v>
      </c>
      <c r="J420" s="1369">
        <f t="shared" si="373"/>
        <v>1.8515617738323675E-2</v>
      </c>
      <c r="K420" s="1368">
        <f t="shared" si="373"/>
        <v>1.7717305923232722E-2</v>
      </c>
      <c r="L420" s="759"/>
      <c r="M420" s="1373"/>
      <c r="N420" s="1372"/>
      <c r="O420" s="1371">
        <f t="shared" si="371"/>
        <v>2.6729168482355785E-2</v>
      </c>
      <c r="P420" s="1370">
        <f t="shared" si="371"/>
        <v>1.9886561672670968E-2</v>
      </c>
      <c r="Q420" s="1369">
        <f t="shared" si="371"/>
        <v>1.8445569081129938E-2</v>
      </c>
      <c r="R420" s="1368">
        <f t="shared" si="371"/>
        <v>1.7568119652412079E-2</v>
      </c>
    </row>
    <row r="421" spans="1:18">
      <c r="A421" s="1373" t="s">
        <v>1161</v>
      </c>
      <c r="B421" s="1372"/>
      <c r="C421" s="1371">
        <f t="shared" ref="C421:K421" si="374">C213/C$172*100</f>
        <v>2.4054015143812842E-2</v>
      </c>
      <c r="D421" s="1370">
        <f t="shared" si="374"/>
        <v>1.5296506430958146E-2</v>
      </c>
      <c r="E421" s="1369">
        <f t="shared" si="374"/>
        <v>2.9524331390194381E-2</v>
      </c>
      <c r="F421" s="1369">
        <f t="shared" si="374"/>
        <v>3.0036011642702237E-2</v>
      </c>
      <c r="G421" s="1368">
        <f t="shared" si="374"/>
        <v>3.4694112255655475E-2</v>
      </c>
      <c r="H421" s="1369">
        <f t="shared" si="374"/>
        <v>1.5176991636648009E-2</v>
      </c>
      <c r="I421" s="1369">
        <f t="shared" si="374"/>
        <v>1.4248791116916487E-2</v>
      </c>
      <c r="J421" s="1369">
        <f t="shared" si="374"/>
        <v>1.2127547481269523E-2</v>
      </c>
      <c r="K421" s="1368">
        <f t="shared" si="374"/>
        <v>1.395375303644617E-2</v>
      </c>
      <c r="L421" s="759"/>
      <c r="M421" s="1373"/>
      <c r="N421" s="1372"/>
      <c r="O421" s="1371">
        <f t="shared" si="371"/>
        <v>1.5176991636648009E-2</v>
      </c>
      <c r="P421" s="1370">
        <f t="shared" si="371"/>
        <v>1.4208578883158362E-2</v>
      </c>
      <c r="Q421" s="1369">
        <f t="shared" si="371"/>
        <v>1.2081666299873242E-2</v>
      </c>
      <c r="R421" s="1368">
        <f t="shared" si="371"/>
        <v>1.3836257273349938E-2</v>
      </c>
    </row>
    <row r="422" spans="1:18">
      <c r="A422" s="1373" t="s">
        <v>1224</v>
      </c>
      <c r="B422" s="1372"/>
      <c r="C422" s="1371">
        <f t="shared" ref="C422:K422" si="375">C214/C$172*100</f>
        <v>5.9846909764937936E-2</v>
      </c>
      <c r="D422" s="1370">
        <f t="shared" si="375"/>
        <v>0.14973220149437041</v>
      </c>
      <c r="E422" s="1369">
        <f t="shared" si="375"/>
        <v>0.17844932557417995</v>
      </c>
      <c r="F422" s="1369">
        <f t="shared" si="375"/>
        <v>0.12082500255552897</v>
      </c>
      <c r="G422" s="1368">
        <f t="shared" si="375"/>
        <v>0.1065555963024836</v>
      </c>
      <c r="H422" s="1369">
        <f t="shared" si="375"/>
        <v>0.11559313357569576</v>
      </c>
      <c r="I422" s="1369">
        <f t="shared" si="375"/>
        <v>0.11417952192377459</v>
      </c>
      <c r="J422" s="1369">
        <f t="shared" si="375"/>
        <v>0.11158670973138976</v>
      </c>
      <c r="K422" s="1368">
        <f t="shared" si="375"/>
        <v>0.10798890261784373</v>
      </c>
      <c r="L422" s="759"/>
      <c r="M422" s="1373"/>
      <c r="N422" s="1372"/>
      <c r="O422" s="1371">
        <f t="shared" si="371"/>
        <v>0.11559313357569576</v>
      </c>
      <c r="P422" s="1370">
        <f t="shared" si="371"/>
        <v>0.11385729012261228</v>
      </c>
      <c r="Q422" s="1369">
        <f t="shared" si="371"/>
        <v>0.11116455264822786</v>
      </c>
      <c r="R422" s="1368">
        <f t="shared" si="371"/>
        <v>0.10707959610468791</v>
      </c>
    </row>
    <row r="423" spans="1:18">
      <c r="A423" s="1373" t="s">
        <v>1322</v>
      </c>
      <c r="B423" s="1372"/>
      <c r="C423" s="1371">
        <f t="shared" ref="C423:K423" si="376">C215/C$172*100</f>
        <v>0.55578881472594754</v>
      </c>
      <c r="D423" s="1370">
        <f t="shared" si="376"/>
        <v>0.11988657089618572</v>
      </c>
      <c r="E423" s="1369">
        <f t="shared" si="376"/>
        <v>0.17958502696081596</v>
      </c>
      <c r="F423" s="1369">
        <f t="shared" si="376"/>
        <v>0.20173259553647296</v>
      </c>
      <c r="G423" s="1368">
        <f t="shared" si="376"/>
        <v>0.10532085372596529</v>
      </c>
      <c r="H423" s="1369">
        <f t="shared" si="376"/>
        <v>0.15104685924315395</v>
      </c>
      <c r="I423" s="1369">
        <f t="shared" si="376"/>
        <v>0.23875195675499422</v>
      </c>
      <c r="J423" s="1369">
        <f t="shared" si="376"/>
        <v>0.21199173000155513</v>
      </c>
      <c r="K423" s="1368">
        <f t="shared" si="376"/>
        <v>0.16007046110100967</v>
      </c>
      <c r="L423" s="759"/>
      <c r="M423" s="1373"/>
      <c r="N423" s="1372"/>
      <c r="O423" s="1371">
        <f t="shared" si="371"/>
        <v>0.15104685924315395</v>
      </c>
      <c r="P423" s="1370">
        <f t="shared" si="371"/>
        <v>0.23807816278774019</v>
      </c>
      <c r="Q423" s="1369">
        <f t="shared" si="371"/>
        <v>0.21118971862755434</v>
      </c>
      <c r="R423" s="1368">
        <f t="shared" si="371"/>
        <v>0.15872260859658993</v>
      </c>
    </row>
    <row r="424" spans="1:18">
      <c r="A424" s="1373" t="s">
        <v>1321</v>
      </c>
      <c r="B424" s="1372"/>
      <c r="C424" s="1371">
        <f t="shared" ref="C424:K424" si="377">C216/C$172*100</f>
        <v>0.17230676710859427</v>
      </c>
      <c r="D424" s="1370">
        <f t="shared" si="377"/>
        <v>0.11870590555929414</v>
      </c>
      <c r="E424" s="1369">
        <f t="shared" si="377"/>
        <v>0.10748386449585935</v>
      </c>
      <c r="F424" s="1369">
        <f t="shared" si="377"/>
        <v>0.16631443054519837</v>
      </c>
      <c r="G424" s="1368">
        <f t="shared" si="377"/>
        <v>0.17586665975081145</v>
      </c>
      <c r="H424" s="1369">
        <f t="shared" si="377"/>
        <v>0.1100918205899509</v>
      </c>
      <c r="I424" s="1369">
        <f t="shared" si="377"/>
        <v>8.9952547528991442E-2</v>
      </c>
      <c r="J424" s="1369">
        <f t="shared" si="377"/>
        <v>8.4894402151516474E-2</v>
      </c>
      <c r="K424" s="1368">
        <f t="shared" si="377"/>
        <v>0.1280636458339843</v>
      </c>
      <c r="L424" s="759"/>
      <c r="M424" s="1373"/>
      <c r="N424" s="1372"/>
      <c r="O424" s="1371">
        <f t="shared" si="371"/>
        <v>0.1100918205899509</v>
      </c>
      <c r="P424" s="1370">
        <f t="shared" si="371"/>
        <v>8.9698687897062382E-2</v>
      </c>
      <c r="Q424" s="1369">
        <f t="shared" si="371"/>
        <v>8.4573227942909321E-2</v>
      </c>
      <c r="R424" s="1368">
        <f t="shared" si="371"/>
        <v>0.12698530255581045</v>
      </c>
    </row>
    <row r="425" spans="1:18">
      <c r="A425" s="1367" t="s">
        <v>1320</v>
      </c>
      <c r="B425" s="1366"/>
      <c r="C425" s="1365">
        <f t="shared" ref="C425:K425" si="378">C217/C$172*100</f>
        <v>1.6694175694154968E-2</v>
      </c>
      <c r="D425" s="1364">
        <f t="shared" si="378"/>
        <v>3.8438043633543958E-2</v>
      </c>
      <c r="E425" s="1363">
        <f t="shared" si="378"/>
        <v>9.090736571103622E-2</v>
      </c>
      <c r="F425" s="1363">
        <f t="shared" si="378"/>
        <v>9.4860744873468739E-2</v>
      </c>
      <c r="G425" s="1362">
        <f t="shared" si="378"/>
        <v>9.1044424620390918E-2</v>
      </c>
      <c r="H425" s="1364">
        <f t="shared" si="378"/>
        <v>1.4814503296214742E-2</v>
      </c>
      <c r="I425" s="1363">
        <f t="shared" si="378"/>
        <v>1.1427149841591632E-2</v>
      </c>
      <c r="J425" s="1363">
        <f t="shared" si="378"/>
        <v>8.1217565482479773E-3</v>
      </c>
      <c r="K425" s="1362">
        <f t="shared" si="378"/>
        <v>5.2099857364927074E-3</v>
      </c>
      <c r="L425" s="759"/>
      <c r="M425" s="1367"/>
      <c r="N425" s="1366"/>
      <c r="O425" s="1365">
        <f t="shared" si="371"/>
        <v>1.4814503296214742E-2</v>
      </c>
      <c r="P425" s="1364">
        <f t="shared" si="371"/>
        <v>1.1394900704324567E-2</v>
      </c>
      <c r="Q425" s="1363">
        <f t="shared" si="371"/>
        <v>8.0910301556263772E-3</v>
      </c>
      <c r="R425" s="1362">
        <f t="shared" si="371"/>
        <v>5.166115729030858E-3</v>
      </c>
    </row>
  </sheetData>
  <mergeCells count="139">
    <mergeCell ref="P406:P407"/>
    <mergeCell ref="Q406:Q407"/>
    <mergeCell ref="R406:R407"/>
    <mergeCell ref="T221:T222"/>
    <mergeCell ref="U221:U222"/>
    <mergeCell ref="S221:S222"/>
    <mergeCell ref="C406:C407"/>
    <mergeCell ref="D406:D407"/>
    <mergeCell ref="E406:E407"/>
    <mergeCell ref="F406:F407"/>
    <mergeCell ref="G406:G407"/>
    <mergeCell ref="M406:N406"/>
    <mergeCell ref="K221:K222"/>
    <mergeCell ref="M221:N221"/>
    <mergeCell ref="O221:O222"/>
    <mergeCell ref="G393:G394"/>
    <mergeCell ref="O406:O407"/>
    <mergeCell ref="D221:D222"/>
    <mergeCell ref="E221:E222"/>
    <mergeCell ref="F221:F222"/>
    <mergeCell ref="G221:G222"/>
    <mergeCell ref="H221:H222"/>
    <mergeCell ref="I221:I222"/>
    <mergeCell ref="J221:J222"/>
    <mergeCell ref="S220:U220"/>
    <mergeCell ref="M189:N189"/>
    <mergeCell ref="O189:O190"/>
    <mergeCell ref="P189:P190"/>
    <mergeCell ref="Q189:Q190"/>
    <mergeCell ref="R189:R190"/>
    <mergeCell ref="E189:E190"/>
    <mergeCell ref="F189:F190"/>
    <mergeCell ref="G189:G190"/>
    <mergeCell ref="U176:U177"/>
    <mergeCell ref="G176:G177"/>
    <mergeCell ref="B406:B407"/>
    <mergeCell ref="H406:H407"/>
    <mergeCell ref="I406:I407"/>
    <mergeCell ref="J406:J407"/>
    <mergeCell ref="K406:K407"/>
    <mergeCell ref="A392:B392"/>
    <mergeCell ref="D392:G392"/>
    <mergeCell ref="H392:K392"/>
    <mergeCell ref="M392:R392"/>
    <mergeCell ref="A405:B405"/>
    <mergeCell ref="D405:G405"/>
    <mergeCell ref="H405:K405"/>
    <mergeCell ref="M405:R405"/>
    <mergeCell ref="B393:B394"/>
    <mergeCell ref="C393:C394"/>
    <mergeCell ref="D393:D394"/>
    <mergeCell ref="E393:E394"/>
    <mergeCell ref="F393:F394"/>
    <mergeCell ref="A220:B220"/>
    <mergeCell ref="D220:G220"/>
    <mergeCell ref="H220:K220"/>
    <mergeCell ref="M220:R220"/>
    <mergeCell ref="S2:U2"/>
    <mergeCell ref="B3:B4"/>
    <mergeCell ref="C3:C4"/>
    <mergeCell ref="D3:D4"/>
    <mergeCell ref="E3:E4"/>
    <mergeCell ref="J3:J4"/>
    <mergeCell ref="K3:K4"/>
    <mergeCell ref="M3:N3"/>
    <mergeCell ref="O3:O4"/>
    <mergeCell ref="P3:P4"/>
    <mergeCell ref="Q3:Q4"/>
    <mergeCell ref="R3:R4"/>
    <mergeCell ref="S3:S4"/>
    <mergeCell ref="T3:T4"/>
    <mergeCell ref="H3:H4"/>
    <mergeCell ref="I3:I4"/>
    <mergeCell ref="B221:B222"/>
    <mergeCell ref="C221:C222"/>
    <mergeCell ref="H176:H177"/>
    <mergeCell ref="I176:I177"/>
    <mergeCell ref="J176:J177"/>
    <mergeCell ref="O176:O177"/>
    <mergeCell ref="B176:B177"/>
    <mergeCell ref="C176:C177"/>
    <mergeCell ref="D176:D177"/>
    <mergeCell ref="E176:E177"/>
    <mergeCell ref="F176:F177"/>
    <mergeCell ref="J189:J190"/>
    <mergeCell ref="K189:K190"/>
    <mergeCell ref="B189:B190"/>
    <mergeCell ref="C189:C190"/>
    <mergeCell ref="D189:D190"/>
    <mergeCell ref="H189:H190"/>
    <mergeCell ref="I189:I190"/>
    <mergeCell ref="X2:AA2"/>
    <mergeCell ref="A188:B188"/>
    <mergeCell ref="D188:G188"/>
    <mergeCell ref="H188:K188"/>
    <mergeCell ref="M188:R188"/>
    <mergeCell ref="G3:G4"/>
    <mergeCell ref="A2:B2"/>
    <mergeCell ref="D2:G2"/>
    <mergeCell ref="H2:K2"/>
    <mergeCell ref="M2:R2"/>
    <mergeCell ref="X3:X4"/>
    <mergeCell ref="Y3:Y4"/>
    <mergeCell ref="Z3:Z4"/>
    <mergeCell ref="V3:V4"/>
    <mergeCell ref="F3:F4"/>
    <mergeCell ref="U3:U4"/>
    <mergeCell ref="V176:V177"/>
    <mergeCell ref="P176:P177"/>
    <mergeCell ref="S175:U175"/>
    <mergeCell ref="AA3:AA4"/>
    <mergeCell ref="A175:B175"/>
    <mergeCell ref="D175:G175"/>
    <mergeCell ref="H175:K175"/>
    <mergeCell ref="M175:R175"/>
    <mergeCell ref="V393:V394"/>
    <mergeCell ref="H393:H394"/>
    <mergeCell ref="I393:I394"/>
    <mergeCell ref="J393:J394"/>
    <mergeCell ref="K393:K394"/>
    <mergeCell ref="M393:N393"/>
    <mergeCell ref="K176:K177"/>
    <mergeCell ref="M176:N176"/>
    <mergeCell ref="V221:V222"/>
    <mergeCell ref="S392:U392"/>
    <mergeCell ref="T393:T394"/>
    <mergeCell ref="U393:U394"/>
    <mergeCell ref="O393:O394"/>
    <mergeCell ref="P393:P394"/>
    <mergeCell ref="Q393:Q394"/>
    <mergeCell ref="R393:R394"/>
    <mergeCell ref="S393:S394"/>
    <mergeCell ref="P221:P222"/>
    <mergeCell ref="Q221:Q222"/>
    <mergeCell ref="R221:R222"/>
    <mergeCell ref="Q176:Q177"/>
    <mergeCell ref="R176:R177"/>
    <mergeCell ref="S176:S177"/>
    <mergeCell ref="T176:T177"/>
  </mergeCells>
  <pageMargins left="0.7" right="0.7" top="0.75" bottom="0.75" header="0.3" footer="0.3"/>
  <pageSetup paperSize="9" scale="14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4"/>
  <dimension ref="A1:K33"/>
  <sheetViews>
    <sheetView showGridLines="0" workbookViewId="0">
      <selection activeCell="B19" sqref="B19"/>
    </sheetView>
  </sheetViews>
  <sheetFormatPr defaultRowHeight="12.75"/>
  <cols>
    <col min="1" max="1" width="54.42578125" customWidth="1"/>
  </cols>
  <sheetData>
    <row r="1" spans="1:11" ht="15" customHeight="1">
      <c r="A1" s="1705" t="s">
        <v>228</v>
      </c>
      <c r="B1" s="1705"/>
      <c r="C1" s="1705"/>
      <c r="D1" s="1705"/>
    </row>
    <row r="2" spans="1:11">
      <c r="A2" s="32"/>
      <c r="B2" s="33">
        <v>2015</v>
      </c>
      <c r="C2" s="120" t="s">
        <v>114</v>
      </c>
      <c r="D2" s="120" t="s">
        <v>221</v>
      </c>
      <c r="E2" s="120" t="s">
        <v>222</v>
      </c>
      <c r="F2" s="120" t="s">
        <v>223</v>
      </c>
      <c r="G2" s="51"/>
    </row>
    <row r="3" spans="1:11">
      <c r="A3" s="22" t="s">
        <v>10</v>
      </c>
      <c r="B3" s="29">
        <v>-2.7073322035670961</v>
      </c>
      <c r="C3" s="233">
        <v>-2.5472177835214533</v>
      </c>
      <c r="D3" s="233">
        <v>-1.5545633992716255</v>
      </c>
      <c r="E3" s="233">
        <v>-0.80175295330137464</v>
      </c>
      <c r="F3" s="233">
        <v>4.0534908410381158E-3</v>
      </c>
    </row>
    <row r="4" spans="1:11">
      <c r="A4" s="23" t="s">
        <v>0</v>
      </c>
      <c r="B4" s="30">
        <v>-7.1366606200137489E-2</v>
      </c>
      <c r="C4" s="30">
        <v>-5.7457816654561081E-2</v>
      </c>
      <c r="D4" s="30">
        <v>-2.8444259591968619E-3</v>
      </c>
      <c r="E4" s="30">
        <v>-1.4785061908260927E-2</v>
      </c>
      <c r="F4" s="30">
        <v>0.12682192324560107</v>
      </c>
      <c r="G4" s="3"/>
    </row>
    <row r="5" spans="1:11">
      <c r="A5" s="23" t="s">
        <v>4</v>
      </c>
      <c r="B5" s="30">
        <v>-0.2282367810978321</v>
      </c>
      <c r="C5" s="30">
        <v>-6.6255987838002031E-2</v>
      </c>
      <c r="D5" s="30">
        <v>-6.8373406553401284E-3</v>
      </c>
      <c r="E5" s="30">
        <v>-6.4874533106828091E-3</v>
      </c>
      <c r="F5" s="30">
        <v>-6.0954205716943731E-3</v>
      </c>
      <c r="G5" s="3"/>
    </row>
    <row r="6" spans="1:11">
      <c r="A6" s="44" t="s">
        <v>11</v>
      </c>
      <c r="B6" s="49">
        <v>-2.4077288162691266</v>
      </c>
      <c r="C6" s="49">
        <v>-2.4235039790288901</v>
      </c>
      <c r="D6" s="49">
        <v>-1.5448816326570884</v>
      </c>
      <c r="E6" s="49">
        <v>-0.78048043808243095</v>
      </c>
      <c r="F6" s="49">
        <v>-0.11667301183286857</v>
      </c>
      <c r="G6" s="3"/>
      <c r="H6" s="176"/>
      <c r="I6" s="176"/>
      <c r="J6" s="176"/>
      <c r="K6" s="176"/>
    </row>
    <row r="7" spans="1:11" ht="18" customHeight="1">
      <c r="A7" s="25" t="s">
        <v>8</v>
      </c>
      <c r="B7" s="31">
        <v>0.11173444943061517</v>
      </c>
      <c r="C7" s="31">
        <v>-1.5775162759763539E-2</v>
      </c>
      <c r="D7" s="31">
        <v>0.8786223463718017</v>
      </c>
      <c r="E7" s="31">
        <v>0.76440119457465749</v>
      </c>
      <c r="F7" s="31">
        <v>0.66380742624956235</v>
      </c>
      <c r="G7" s="3"/>
    </row>
    <row r="8" spans="1:11" ht="13.5" customHeight="1">
      <c r="A8" s="27" t="s">
        <v>16</v>
      </c>
      <c r="B8" s="94">
        <v>-2.7073322035670961</v>
      </c>
      <c r="C8" s="94">
        <v>-2.5324364536682773</v>
      </c>
      <c r="D8" s="94">
        <v>-1.778322665899863</v>
      </c>
      <c r="E8" s="94">
        <v>-1.0033949859160498</v>
      </c>
      <c r="F8" s="94">
        <v>-0.47411636765172394</v>
      </c>
      <c r="G8" s="3"/>
    </row>
    <row r="9" spans="1:11" ht="13.5" customHeight="1">
      <c r="A9" s="23" t="s">
        <v>259</v>
      </c>
      <c r="B9" s="30">
        <v>-2.4077288162691266</v>
      </c>
      <c r="C9" s="30">
        <v>-2.4087226491757141</v>
      </c>
      <c r="D9" s="30">
        <v>-1.7686682226883501</v>
      </c>
      <c r="E9" s="30">
        <v>-0.98220294930426244</v>
      </c>
      <c r="F9" s="30">
        <v>-0.59382630850741858</v>
      </c>
      <c r="G9" s="3"/>
    </row>
    <row r="10" spans="1:11">
      <c r="A10" s="44" t="s">
        <v>260</v>
      </c>
      <c r="B10" s="82" t="s">
        <v>18</v>
      </c>
      <c r="C10" s="82">
        <v>-9.9383290658749956E-4</v>
      </c>
      <c r="D10" s="82">
        <v>0.64005442648736399</v>
      </c>
      <c r="E10" s="82">
        <v>0.78646527338408767</v>
      </c>
      <c r="F10" s="82">
        <v>0.38837664079684386</v>
      </c>
      <c r="G10" s="3"/>
    </row>
    <row r="11" spans="1:11">
      <c r="A11" s="24" t="s">
        <v>261</v>
      </c>
      <c r="B11" s="178"/>
      <c r="C11" s="230">
        <v>2.5440458362169238E-7</v>
      </c>
      <c r="D11" s="230">
        <v>0.20958371585696689</v>
      </c>
      <c r="E11" s="230">
        <v>0.20164203261467517</v>
      </c>
      <c r="F11" s="230">
        <v>0.47816985849276206</v>
      </c>
      <c r="G11" s="3"/>
    </row>
    <row r="12" spans="1:11">
      <c r="A12" s="26" t="s">
        <v>262</v>
      </c>
      <c r="B12" s="145"/>
      <c r="C12" s="145"/>
      <c r="D12" s="145">
        <v>0.20958346145238327</v>
      </c>
      <c r="E12" s="145">
        <v>-7.9416832422917194E-3</v>
      </c>
      <c r="F12" s="145">
        <v>0.27652782587808689</v>
      </c>
      <c r="G12" s="3"/>
    </row>
    <row r="13" spans="1:11">
      <c r="A13" s="28" t="s">
        <v>263</v>
      </c>
      <c r="B13" s="231"/>
      <c r="C13" s="231"/>
      <c r="D13" s="232">
        <v>0.23856791988443771</v>
      </c>
      <c r="E13" s="232">
        <v>-2.2064078809430177E-2</v>
      </c>
      <c r="F13" s="232">
        <v>0.27543078545271849</v>
      </c>
      <c r="G13" s="3"/>
    </row>
    <row r="14" spans="1:11" s="109" customFormat="1">
      <c r="A14" s="421" t="s">
        <v>425</v>
      </c>
      <c r="B14" s="134">
        <v>8.9912392546979567E-2</v>
      </c>
      <c r="C14" s="134">
        <v>0.24280766280482285</v>
      </c>
      <c r="D14" s="134">
        <v>0.4542329316430459</v>
      </c>
      <c r="E14" s="134">
        <v>-8.2503155512040766E-3</v>
      </c>
      <c r="F14" s="134">
        <v>0.10016325670834404</v>
      </c>
      <c r="G14" s="3"/>
    </row>
    <row r="15" spans="1:11" s="109" customFormat="1">
      <c r="A15" s="421" t="s">
        <v>426</v>
      </c>
      <c r="B15" s="30">
        <v>-6.0644130692229417E-2</v>
      </c>
      <c r="C15" s="30">
        <v>-5.8209507471851107E-3</v>
      </c>
      <c r="D15" s="30">
        <v>-3.1226229103268749E-2</v>
      </c>
      <c r="E15" s="30">
        <v>-5.1887219618402952E-3</v>
      </c>
      <c r="F15" s="30">
        <v>-1.1251949445226769E-2</v>
      </c>
      <c r="G15" s="3"/>
    </row>
    <row r="16" spans="1:11" s="109" customFormat="1" ht="15">
      <c r="A16" s="421" t="s">
        <v>427</v>
      </c>
      <c r="B16" s="30">
        <v>2.7949198858598923E-3</v>
      </c>
      <c r="C16" s="30">
        <v>3.3068895212946786E-2</v>
      </c>
      <c r="D16" s="30">
        <v>0.27894058086499551</v>
      </c>
      <c r="E16" s="30">
        <v>-7.4314416588667248E-2</v>
      </c>
      <c r="F16" s="30">
        <v>1.1838382367107547E-3</v>
      </c>
      <c r="G16" s="3"/>
    </row>
    <row r="17" spans="1:7" s="109" customFormat="1" ht="15">
      <c r="A17" s="423" t="s">
        <v>428</v>
      </c>
      <c r="B17" s="467">
        <v>0.14776160335334909</v>
      </c>
      <c r="C17" s="467">
        <v>0.21555971833906118</v>
      </c>
      <c r="D17" s="467">
        <v>0.20651857988131916</v>
      </c>
      <c r="E17" s="467">
        <v>7.1252822999303467E-2</v>
      </c>
      <c r="F17" s="467">
        <v>0.11023136791686006</v>
      </c>
      <c r="G17" s="3"/>
    </row>
    <row r="18" spans="1:7" s="109" customFormat="1">
      <c r="A18" s="468" t="s">
        <v>429</v>
      </c>
      <c r="B18" s="469"/>
      <c r="C18" s="469"/>
      <c r="D18" s="475">
        <v>3.6031541851181237E-2</v>
      </c>
      <c r="E18" s="475">
        <v>4.5402171178531112E-2</v>
      </c>
      <c r="F18" s="475">
        <v>8.388492368447599E-2</v>
      </c>
      <c r="G18" s="3"/>
    </row>
    <row r="19" spans="1:7" s="109" customFormat="1">
      <c r="A19" s="470" t="s">
        <v>430</v>
      </c>
      <c r="B19" s="471"/>
      <c r="C19" s="476">
        <v>-0.25858282556458639</v>
      </c>
      <c r="D19" s="476">
        <v>0.4243894147287558</v>
      </c>
      <c r="E19" s="476">
        <v>0.77265151012586153</v>
      </c>
      <c r="F19" s="476">
        <v>0.56364416954121832</v>
      </c>
      <c r="G19" s="3"/>
    </row>
    <row r="20" spans="1:7" s="109" customFormat="1">
      <c r="A20" s="472" t="s">
        <v>431</v>
      </c>
      <c r="B20" s="473"/>
      <c r="C20" s="474"/>
      <c r="D20" s="477">
        <v>0.17355822417266314</v>
      </c>
      <c r="E20" s="477">
        <v>-5.3293057711857481E-2</v>
      </c>
      <c r="F20" s="477">
        <v>0.19153452096026824</v>
      </c>
      <c r="G20" s="3"/>
    </row>
    <row r="21" spans="1:7" ht="27.75" customHeight="1">
      <c r="A21" s="1706" t="s">
        <v>466</v>
      </c>
      <c r="B21" s="1706"/>
      <c r="C21" s="1706"/>
      <c r="D21" s="1706"/>
      <c r="E21" s="1706"/>
      <c r="F21" s="1706"/>
    </row>
    <row r="22" spans="1:7">
      <c r="A22" s="466"/>
      <c r="F22" s="50" t="s">
        <v>19</v>
      </c>
    </row>
    <row r="23" spans="1:7">
      <c r="A23" s="466"/>
      <c r="G23" s="48"/>
    </row>
    <row r="26" spans="1:7">
      <c r="A26" s="3"/>
      <c r="B26" s="3"/>
      <c r="C26" s="3"/>
      <c r="D26" s="3"/>
      <c r="E26" s="3"/>
      <c r="F26" s="3"/>
      <c r="G26" s="3"/>
    </row>
    <row r="27" spans="1:7">
      <c r="A27" s="3"/>
      <c r="B27" s="3"/>
      <c r="C27" s="3"/>
      <c r="D27" s="3"/>
      <c r="E27" s="3"/>
      <c r="F27" s="3"/>
      <c r="G27" s="3"/>
    </row>
    <row r="28" spans="1:7">
      <c r="A28" s="3"/>
      <c r="B28" s="3"/>
      <c r="C28" s="3"/>
      <c r="D28" s="3"/>
      <c r="E28" s="3"/>
      <c r="F28" s="3"/>
      <c r="G28" s="3"/>
    </row>
    <row r="29" spans="1:7">
      <c r="A29" s="3"/>
      <c r="B29" s="3"/>
      <c r="C29" s="3"/>
      <c r="D29" s="3"/>
      <c r="E29" s="3"/>
      <c r="F29" s="3"/>
      <c r="G29" s="3"/>
    </row>
    <row r="30" spans="1:7">
      <c r="A30" s="3"/>
      <c r="B30" s="3"/>
      <c r="C30" s="3"/>
      <c r="D30" s="3"/>
      <c r="E30" s="3"/>
      <c r="F30" s="3"/>
      <c r="G30" s="3"/>
    </row>
    <row r="31" spans="1:7">
      <c r="A31" s="3"/>
      <c r="B31" s="3"/>
      <c r="C31" s="3"/>
      <c r="D31" s="3"/>
      <c r="E31" s="3"/>
      <c r="F31" s="3"/>
      <c r="G31" s="3"/>
    </row>
    <row r="32" spans="1:7">
      <c r="A32" s="3"/>
      <c r="B32" s="3"/>
      <c r="C32" s="3"/>
      <c r="D32" s="3"/>
      <c r="E32" s="3"/>
      <c r="F32" s="3"/>
      <c r="G32" s="3"/>
    </row>
    <row r="33" spans="1:7">
      <c r="A33" s="3"/>
      <c r="B33" s="3"/>
      <c r="C33" s="3"/>
      <c r="D33" s="3"/>
      <c r="E33" s="3"/>
      <c r="F33" s="3"/>
      <c r="G33" s="3"/>
    </row>
  </sheetData>
  <mergeCells count="2">
    <mergeCell ref="A1:D1"/>
    <mergeCell ref="A21:F21"/>
  </mergeCells>
  <pageMargins left="0.7" right="0.7" top="0.75" bottom="0.75" header="0.3" footer="0.3"/>
  <pageSetup paperSize="9" orientation="landscape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"/>
  <sheetViews>
    <sheetView showGridLines="0" workbookViewId="0">
      <selection activeCell="A4" sqref="A4"/>
    </sheetView>
  </sheetViews>
  <sheetFormatPr defaultRowHeight="12.75"/>
  <cols>
    <col min="1" max="1" width="26.28515625" bestFit="1" customWidth="1"/>
  </cols>
  <sheetData>
    <row r="1" spans="1:12">
      <c r="A1" s="1707" t="s">
        <v>309</v>
      </c>
      <c r="B1" s="1707"/>
      <c r="C1" s="1707"/>
      <c r="D1" s="1707"/>
      <c r="E1" s="1707"/>
      <c r="F1" s="1707"/>
      <c r="G1" s="1707"/>
    </row>
    <row r="2" spans="1:12">
      <c r="A2" s="1667"/>
      <c r="B2" s="1668">
        <v>2014</v>
      </c>
      <c r="C2" s="1668">
        <v>2015</v>
      </c>
      <c r="D2" s="1668">
        <v>2016</v>
      </c>
      <c r="E2" s="1668">
        <v>2017</v>
      </c>
      <c r="F2" s="1668">
        <v>2018</v>
      </c>
      <c r="G2" s="1668">
        <v>2019</v>
      </c>
      <c r="J2" s="109"/>
      <c r="K2" s="109"/>
      <c r="L2" s="109"/>
    </row>
    <row r="3" spans="1:12" ht="15.75" customHeight="1">
      <c r="A3" s="1669" t="s">
        <v>1481</v>
      </c>
      <c r="B3" s="1670">
        <v>-0.61864900722271066</v>
      </c>
      <c r="C3" s="1670">
        <v>-0.65467616114544458</v>
      </c>
      <c r="D3" s="1670">
        <v>-0.8860110422442693</v>
      </c>
      <c r="E3" s="1670">
        <v>-0.21390727575378676</v>
      </c>
      <c r="F3" s="1670">
        <v>0.46377342897854335</v>
      </c>
      <c r="G3" s="1670">
        <v>1.0219700857561265</v>
      </c>
      <c r="J3" s="109"/>
      <c r="K3" s="109"/>
      <c r="L3" s="109"/>
    </row>
    <row r="4" spans="1:12" ht="18.75" customHeight="1">
      <c r="A4" s="1680" t="s">
        <v>1473</v>
      </c>
      <c r="B4" s="1681">
        <v>0</v>
      </c>
      <c r="C4" s="1681">
        <v>52.478465947673691</v>
      </c>
      <c r="D4" s="1681">
        <v>53.477096209579827</v>
      </c>
      <c r="E4" s="1681">
        <v>52.817849164448354</v>
      </c>
      <c r="F4" s="1681">
        <v>51.696085911075528</v>
      </c>
      <c r="G4" s="1681">
        <v>49.338079205655802</v>
      </c>
      <c r="J4" s="109"/>
      <c r="K4" s="109"/>
      <c r="L4" s="109"/>
    </row>
    <row r="5" spans="1:12">
      <c r="A5" s="1708"/>
      <c r="B5" s="1708"/>
      <c r="C5" s="1708"/>
      <c r="D5" s="1708"/>
      <c r="E5" s="1708"/>
      <c r="F5" s="1709" t="s">
        <v>1474</v>
      </c>
      <c r="G5" s="1709"/>
    </row>
  </sheetData>
  <mergeCells count="3">
    <mergeCell ref="A1:G1"/>
    <mergeCell ref="A5:E5"/>
    <mergeCell ref="F5:G5"/>
  </mergeCells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8"/>
  <sheetViews>
    <sheetView showGridLines="0" workbookViewId="0">
      <selection sqref="A1:E1"/>
    </sheetView>
  </sheetViews>
  <sheetFormatPr defaultRowHeight="12.75"/>
  <cols>
    <col min="1" max="1" width="24.42578125" bestFit="1" customWidth="1"/>
    <col min="2" max="2" width="18.42578125" customWidth="1"/>
    <col min="3" max="3" width="11.85546875" customWidth="1"/>
    <col min="4" max="4" width="10.7109375" customWidth="1"/>
  </cols>
  <sheetData>
    <row r="1" spans="1:5" ht="17.25" customHeight="1">
      <c r="A1" s="1710" t="s">
        <v>310</v>
      </c>
      <c r="B1" s="1710"/>
      <c r="C1" s="1710"/>
      <c r="D1" s="1710"/>
      <c r="E1" s="1710"/>
    </row>
    <row r="2" spans="1:5">
      <c r="A2" s="424"/>
      <c r="B2" s="424"/>
      <c r="C2" s="425" t="s">
        <v>432</v>
      </c>
      <c r="D2" s="425" t="s">
        <v>433</v>
      </c>
      <c r="E2" s="425" t="s">
        <v>434</v>
      </c>
    </row>
    <row r="3" spans="1:5">
      <c r="A3" s="424"/>
      <c r="B3" s="424"/>
      <c r="C3" s="425" t="s">
        <v>435</v>
      </c>
      <c r="D3" s="425" t="s">
        <v>436</v>
      </c>
      <c r="E3" s="425"/>
    </row>
    <row r="4" spans="1:5" ht="34.5" customHeight="1">
      <c r="A4" s="1711" t="s">
        <v>437</v>
      </c>
      <c r="B4" s="275" t="s">
        <v>438</v>
      </c>
      <c r="C4" s="426">
        <v>42403</v>
      </c>
      <c r="D4" s="426">
        <v>42536</v>
      </c>
      <c r="E4" s="426">
        <v>42627</v>
      </c>
    </row>
    <row r="5" spans="1:5" ht="10.5" customHeight="1" thickBot="1">
      <c r="A5" s="1712"/>
      <c r="B5" s="427" t="s">
        <v>439</v>
      </c>
      <c r="C5" s="428">
        <v>42404</v>
      </c>
      <c r="D5" s="428">
        <v>42542</v>
      </c>
      <c r="E5" s="429">
        <v>42632</v>
      </c>
    </row>
    <row r="6" spans="1:5" ht="22.5" customHeight="1">
      <c r="A6" s="1713" t="s">
        <v>440</v>
      </c>
      <c r="B6" s="275" t="s">
        <v>441</v>
      </c>
      <c r="C6" s="426">
        <v>42411</v>
      </c>
      <c r="D6" s="426">
        <v>42544</v>
      </c>
      <c r="E6" s="426">
        <v>42635</v>
      </c>
    </row>
    <row r="7" spans="1:5" ht="13.5" thickBot="1">
      <c r="A7" s="1712"/>
      <c r="B7" s="427" t="s">
        <v>439</v>
      </c>
      <c r="C7" s="428">
        <v>42415</v>
      </c>
      <c r="D7" s="428">
        <v>42551</v>
      </c>
      <c r="E7" s="429">
        <v>42642</v>
      </c>
    </row>
    <row r="8" spans="1:5">
      <c r="A8" s="430"/>
      <c r="B8" s="275"/>
      <c r="C8" s="422"/>
      <c r="D8" s="422"/>
      <c r="E8" s="431" t="s">
        <v>442</v>
      </c>
    </row>
  </sheetData>
  <mergeCells count="3">
    <mergeCell ref="A1:E1"/>
    <mergeCell ref="A4:A5"/>
    <mergeCell ref="A6:A7"/>
  </mergeCells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14"/>
  <sheetViews>
    <sheetView showGridLines="0" workbookViewId="0"/>
  </sheetViews>
  <sheetFormatPr defaultRowHeight="12.75"/>
  <cols>
    <col min="1" max="1" width="31.42578125" style="628" bestFit="1" customWidth="1"/>
    <col min="2" max="16384" width="9.140625" style="628"/>
  </cols>
  <sheetData>
    <row r="1" spans="1:14" ht="14.25" customHeight="1">
      <c r="A1" s="627" t="s">
        <v>311</v>
      </c>
      <c r="B1" s="627"/>
      <c r="C1" s="627"/>
      <c r="D1" s="627"/>
      <c r="E1" s="627"/>
      <c r="F1" s="627"/>
      <c r="G1" s="627"/>
      <c r="H1" s="627"/>
      <c r="I1" s="627"/>
    </row>
    <row r="2" spans="1:14" ht="14.25" customHeight="1">
      <c r="A2" s="629" t="s">
        <v>621</v>
      </c>
      <c r="B2" s="630" t="s">
        <v>622</v>
      </c>
      <c r="C2" s="1714" t="s">
        <v>623</v>
      </c>
      <c r="D2" s="1715"/>
      <c r="E2" s="1715"/>
      <c r="F2" s="1716"/>
      <c r="G2" s="1715" t="s">
        <v>624</v>
      </c>
      <c r="H2" s="1717"/>
      <c r="I2" s="1717"/>
      <c r="L2" s="109"/>
      <c r="M2" s="109"/>
      <c r="N2" s="109"/>
    </row>
    <row r="3" spans="1:14" ht="14.25" customHeight="1">
      <c r="A3" s="631"/>
      <c r="B3" s="630">
        <v>2015</v>
      </c>
      <c r="C3" s="632">
        <v>2016</v>
      </c>
      <c r="D3" s="633">
        <v>2017</v>
      </c>
      <c r="E3" s="633">
        <v>2018</v>
      </c>
      <c r="F3" s="634">
        <v>2019</v>
      </c>
      <c r="G3" s="635">
        <v>2016</v>
      </c>
      <c r="H3" s="635">
        <v>2017</v>
      </c>
      <c r="I3" s="635">
        <v>2018</v>
      </c>
      <c r="L3" s="109"/>
      <c r="M3" s="109"/>
      <c r="N3" s="109"/>
    </row>
    <row r="4" spans="1:14" ht="14.25" customHeight="1">
      <c r="A4" s="636" t="s">
        <v>625</v>
      </c>
      <c r="B4" s="637">
        <v>3.8</v>
      </c>
      <c r="C4" s="638">
        <v>3.5760395496688746</v>
      </c>
      <c r="D4" s="638">
        <v>3.5318382740930909</v>
      </c>
      <c r="E4" s="638">
        <v>3.8734044569005643</v>
      </c>
      <c r="F4" s="639">
        <v>4.390490525435653</v>
      </c>
      <c r="G4" s="638">
        <v>0.47603954966887452</v>
      </c>
      <c r="H4" s="638">
        <v>-6.8161725906909165E-2</v>
      </c>
      <c r="I4" s="638">
        <v>0.27340445690056425</v>
      </c>
      <c r="L4" s="109"/>
      <c r="M4" s="109"/>
      <c r="N4" s="109"/>
    </row>
    <row r="5" spans="1:14" ht="14.25" customHeight="1">
      <c r="A5" s="636" t="s">
        <v>626</v>
      </c>
      <c r="B5" s="637">
        <v>-0.3</v>
      </c>
      <c r="C5" s="638">
        <v>-0.50862600720449347</v>
      </c>
      <c r="D5" s="638">
        <v>0.90713346619577528</v>
      </c>
      <c r="E5" s="638">
        <v>1.5829005431995391</v>
      </c>
      <c r="F5" s="639">
        <v>1.8884114671045893</v>
      </c>
      <c r="G5" s="638">
        <v>-1.4086260072044934</v>
      </c>
      <c r="H5" s="638">
        <v>-0.89286653380422476</v>
      </c>
      <c r="I5" s="638">
        <v>-0.4170994568004609</v>
      </c>
    </row>
    <row r="6" spans="1:14" ht="14.25" customHeight="1">
      <c r="A6" s="636" t="s">
        <v>627</v>
      </c>
      <c r="B6" s="637">
        <v>2.9</v>
      </c>
      <c r="C6" s="638">
        <v>2.8312570781426905</v>
      </c>
      <c r="D6" s="638">
        <v>3.524229074889873</v>
      </c>
      <c r="E6" s="638">
        <v>4.2553191489361764</v>
      </c>
      <c r="F6" s="639">
        <v>4.7959183673469408</v>
      </c>
      <c r="G6" s="638">
        <v>-0.26874292185730964</v>
      </c>
      <c r="H6" s="638">
        <v>-1.0757709251101266</v>
      </c>
      <c r="I6" s="638">
        <v>-0.44468085106382382</v>
      </c>
    </row>
    <row r="7" spans="1:14" ht="14.25" customHeight="1">
      <c r="A7" s="636" t="s">
        <v>628</v>
      </c>
      <c r="B7" s="637">
        <v>3.3</v>
      </c>
      <c r="C7" s="638">
        <v>3.3224996459621403</v>
      </c>
      <c r="D7" s="638">
        <v>2.5731046966093851</v>
      </c>
      <c r="E7" s="638">
        <v>2.6784931883669483</v>
      </c>
      <c r="F7" s="639">
        <v>2.8087681963701705</v>
      </c>
      <c r="G7" s="638">
        <v>1.1224996459621401</v>
      </c>
      <c r="H7" s="638">
        <v>-0.12689530339061506</v>
      </c>
      <c r="I7" s="638">
        <v>-2.1506811633051903E-2</v>
      </c>
    </row>
    <row r="8" spans="1:14" ht="14.25" customHeight="1">
      <c r="A8" s="636" t="s">
        <v>629</v>
      </c>
      <c r="B8" s="637">
        <v>2</v>
      </c>
      <c r="C8" s="638">
        <v>2.1096661642125758</v>
      </c>
      <c r="D8" s="638">
        <v>1.4609320855854868</v>
      </c>
      <c r="E8" s="638">
        <v>1.0481656970948494</v>
      </c>
      <c r="F8" s="639">
        <v>0.89575307671518889</v>
      </c>
      <c r="G8" s="638">
        <v>1.1096661642125758</v>
      </c>
      <c r="H8" s="638">
        <v>0.76093208558548686</v>
      </c>
      <c r="I8" s="638">
        <v>0.24816569709484937</v>
      </c>
    </row>
    <row r="9" spans="1:14" ht="14.25" customHeight="1">
      <c r="A9" s="636" t="s">
        <v>630</v>
      </c>
      <c r="B9" s="637">
        <v>11.5</v>
      </c>
      <c r="C9" s="638">
        <v>9.7877133512913463</v>
      </c>
      <c r="D9" s="638">
        <v>8.512869027249284</v>
      </c>
      <c r="E9" s="638">
        <v>7.4111142714427887</v>
      </c>
      <c r="F9" s="639">
        <v>6.4163652931505304</v>
      </c>
      <c r="G9" s="638">
        <v>-0.8122866487086533</v>
      </c>
      <c r="H9" s="638">
        <v>-1.2871309727507168</v>
      </c>
      <c r="I9" s="638">
        <v>-1.5888857285572113</v>
      </c>
    </row>
    <row r="10" spans="1:14" ht="14.25" customHeight="1">
      <c r="A10" s="636" t="s">
        <v>631</v>
      </c>
      <c r="B10" s="637">
        <v>2.2000000000000002</v>
      </c>
      <c r="C10" s="638">
        <v>2.9400362500733301</v>
      </c>
      <c r="D10" s="638">
        <v>2.4957418365670447</v>
      </c>
      <c r="E10" s="638">
        <v>2.7380522356259318</v>
      </c>
      <c r="F10" s="639">
        <v>2.9384409043826665</v>
      </c>
      <c r="G10" s="638">
        <v>0.24003625007332996</v>
      </c>
      <c r="H10" s="638">
        <v>-0.20425816343295544</v>
      </c>
      <c r="I10" s="638">
        <v>-6.1947764374068015E-2</v>
      </c>
    </row>
    <row r="11" spans="1:14" ht="14.25" customHeight="1">
      <c r="A11" s="636" t="s">
        <v>632</v>
      </c>
      <c r="B11" s="637">
        <v>16.899999999999999</v>
      </c>
      <c r="C11" s="638">
        <v>-0.13997643646731506</v>
      </c>
      <c r="D11" s="638">
        <v>4.003029787268364</v>
      </c>
      <c r="E11" s="638">
        <v>0.50777098688790101</v>
      </c>
      <c r="F11" s="639">
        <v>2.0062372380064142</v>
      </c>
      <c r="G11" s="638">
        <v>0.5600235635326849</v>
      </c>
      <c r="H11" s="638">
        <v>2.003029787268364</v>
      </c>
      <c r="I11" s="638">
        <v>-2.6922290131120992</v>
      </c>
    </row>
    <row r="12" spans="1:14" ht="14.25" customHeight="1">
      <c r="A12" s="636" t="s">
        <v>633</v>
      </c>
      <c r="B12" s="637">
        <v>7</v>
      </c>
      <c r="C12" s="638">
        <v>5.4742446457604954</v>
      </c>
      <c r="D12" s="638">
        <v>5.7716042543500601</v>
      </c>
      <c r="E12" s="638">
        <v>7.3399330855661749</v>
      </c>
      <c r="F12" s="639">
        <v>7.741276744865222</v>
      </c>
      <c r="G12" s="638">
        <v>-0.12575535423950424</v>
      </c>
      <c r="H12" s="638">
        <v>-0.52839574564993974</v>
      </c>
      <c r="I12" s="638">
        <v>1.7399330855661752</v>
      </c>
    </row>
    <row r="13" spans="1:14">
      <c r="A13" s="640" t="s">
        <v>634</v>
      </c>
      <c r="B13" s="641">
        <v>3.9</v>
      </c>
      <c r="C13" s="642">
        <v>3.8359054503355523</v>
      </c>
      <c r="D13" s="642">
        <v>4.2543631534727373</v>
      </c>
      <c r="E13" s="642">
        <v>4.8265367183008943</v>
      </c>
      <c r="F13" s="643">
        <v>5.3010494241676787</v>
      </c>
      <c r="G13" s="642">
        <v>3.590545033555248E-2</v>
      </c>
      <c r="H13" s="642">
        <v>-0.64563684652726305</v>
      </c>
      <c r="I13" s="642">
        <v>-0.17346328169910574</v>
      </c>
    </row>
    <row r="14" spans="1:14">
      <c r="A14" s="644" t="s">
        <v>635</v>
      </c>
      <c r="B14" s="645"/>
      <c r="C14" s="645"/>
      <c r="D14" s="645"/>
      <c r="E14" s="645"/>
      <c r="F14" s="645"/>
      <c r="G14" s="645"/>
      <c r="H14" s="1718" t="s">
        <v>636</v>
      </c>
      <c r="I14" s="1718"/>
    </row>
  </sheetData>
  <mergeCells count="3">
    <mergeCell ref="C2:F2"/>
    <mergeCell ref="G2:I2"/>
    <mergeCell ref="H14:I14"/>
  </mergeCells>
  <pageMargins left="0.25" right="0.25" top="0.75" bottom="0.75" header="0.3" footer="0.3"/>
  <pageSetup paperSize="9" scale="96" fitToHeight="0" orientation="portrait" verticalDpi="0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0"/>
  <sheetViews>
    <sheetView showGridLines="0" workbookViewId="0">
      <selection sqref="A1:D1"/>
    </sheetView>
  </sheetViews>
  <sheetFormatPr defaultRowHeight="12"/>
  <cols>
    <col min="1" max="1" width="41.7109375" style="647" customWidth="1"/>
    <col min="2" max="4" width="7.85546875" style="647" customWidth="1"/>
    <col min="5" max="16384" width="9.140625" style="647"/>
  </cols>
  <sheetData>
    <row r="1" spans="1:9" s="646" customFormat="1" ht="12.75">
      <c r="A1" s="1719" t="s">
        <v>312</v>
      </c>
      <c r="B1" s="1719"/>
      <c r="C1" s="1719"/>
      <c r="D1" s="1719"/>
    </row>
    <row r="2" spans="1:9" ht="24" customHeight="1">
      <c r="A2" s="1720" t="s">
        <v>637</v>
      </c>
      <c r="B2" s="1720"/>
      <c r="C2" s="1720"/>
      <c r="D2" s="1720"/>
      <c r="G2" s="109"/>
      <c r="H2" s="109"/>
      <c r="I2" s="109"/>
    </row>
    <row r="3" spans="1:9" ht="12" customHeight="1">
      <c r="A3" s="648"/>
      <c r="B3" s="649">
        <v>2016</v>
      </c>
      <c r="C3" s="649">
        <v>2017</v>
      </c>
      <c r="D3" s="649">
        <v>2018</v>
      </c>
      <c r="G3" s="109"/>
      <c r="H3" s="109"/>
      <c r="I3" s="109"/>
    </row>
    <row r="4" spans="1:9" ht="12.75">
      <c r="A4" s="650" t="s">
        <v>135</v>
      </c>
      <c r="B4" s="651">
        <f>B5</f>
        <v>9.0861149066601712E-2</v>
      </c>
      <c r="C4" s="651">
        <f t="shared" ref="C4:D4" si="0">C5</f>
        <v>0.14221349372438871</v>
      </c>
      <c r="D4" s="651">
        <f t="shared" si="0"/>
        <v>5.916251221823246E-2</v>
      </c>
      <c r="G4" s="109"/>
      <c r="H4" s="109"/>
      <c r="I4" s="109"/>
    </row>
    <row r="5" spans="1:9">
      <c r="A5" s="652" t="s">
        <v>638</v>
      </c>
      <c r="B5" s="653">
        <v>9.0861149066601712E-2</v>
      </c>
      <c r="C5" s="653">
        <v>0.14221349372438871</v>
      </c>
      <c r="D5" s="653">
        <v>5.916251221823246E-2</v>
      </c>
    </row>
    <row r="6" spans="1:9">
      <c r="A6" s="650" t="s">
        <v>639</v>
      </c>
      <c r="B6" s="651">
        <v>-0.10017747498739785</v>
      </c>
      <c r="C6" s="651">
        <v>-0.11559736776698272</v>
      </c>
      <c r="D6" s="651">
        <v>-0.10640702028404507</v>
      </c>
    </row>
    <row r="7" spans="1:9">
      <c r="A7" s="654" t="s">
        <v>640</v>
      </c>
      <c r="B7" s="655">
        <v>3.4926194508601627E-2</v>
      </c>
      <c r="C7" s="655">
        <v>3.6399455125159692E-2</v>
      </c>
      <c r="D7" s="655">
        <v>7.1973984718707723E-2</v>
      </c>
    </row>
    <row r="8" spans="1:9">
      <c r="A8" s="656" t="s">
        <v>641</v>
      </c>
      <c r="B8" s="655">
        <f>B7+B6+B4</f>
        <v>2.5609868587805493E-2</v>
      </c>
      <c r="C8" s="655">
        <f>C7+C6+C4</f>
        <v>6.3015581082565691E-2</v>
      </c>
      <c r="D8" s="655">
        <f>D7+D6+D4</f>
        <v>2.4729476652895113E-2</v>
      </c>
    </row>
    <row r="9" spans="1:9">
      <c r="A9" s="657"/>
      <c r="B9" s="657"/>
      <c r="C9" s="657"/>
      <c r="D9" s="658" t="s">
        <v>642</v>
      </c>
    </row>
    <row r="10" spans="1:9">
      <c r="A10" s="657"/>
      <c r="B10" s="657"/>
      <c r="C10" s="657"/>
      <c r="D10" s="657"/>
    </row>
  </sheetData>
  <mergeCells count="2">
    <mergeCell ref="A1:D1"/>
    <mergeCell ref="A2:D2"/>
  </mergeCells>
  <pageMargins left="0.7" right="0.7" top="0.75" bottom="0.75" header="0.3" footer="0.3"/>
  <pageSetup paperSize="9" orientation="portrait" verticalDpi="4294967293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6"/>
  <sheetViews>
    <sheetView showGridLines="0" workbookViewId="0"/>
  </sheetViews>
  <sheetFormatPr defaultRowHeight="12"/>
  <cols>
    <col min="1" max="1" width="34" style="647" customWidth="1"/>
    <col min="2" max="7" width="9.140625" style="647" customWidth="1"/>
    <col min="8" max="16384" width="9.140625" style="647"/>
  </cols>
  <sheetData>
    <row r="1" spans="1:12" ht="14.25" customHeight="1">
      <c r="A1" s="1675" t="s">
        <v>313</v>
      </c>
      <c r="B1" s="659"/>
      <c r="C1" s="659"/>
      <c r="D1" s="659"/>
    </row>
    <row r="2" spans="1:12" ht="30.75" customHeight="1">
      <c r="A2" s="660" t="s">
        <v>643</v>
      </c>
      <c r="B2" s="1721" t="s">
        <v>644</v>
      </c>
      <c r="C2" s="1722"/>
      <c r="D2" s="1723"/>
      <c r="E2" s="661" t="s">
        <v>645</v>
      </c>
      <c r="F2" s="662"/>
      <c r="G2" s="662"/>
      <c r="J2" s="109"/>
      <c r="K2" s="109"/>
      <c r="L2" s="109"/>
    </row>
    <row r="3" spans="1:12" ht="12" customHeight="1">
      <c r="A3" s="660"/>
      <c r="B3" s="663">
        <v>2017</v>
      </c>
      <c r="C3" s="663">
        <v>2018</v>
      </c>
      <c r="D3" s="660">
        <v>2019</v>
      </c>
      <c r="E3" s="663">
        <v>2017</v>
      </c>
      <c r="F3" s="663">
        <v>2018</v>
      </c>
      <c r="G3" s="663">
        <v>2019</v>
      </c>
      <c r="J3" s="109"/>
      <c r="K3" s="109"/>
      <c r="L3" s="109"/>
    </row>
    <row r="4" spans="1:12" ht="12.75">
      <c r="A4" s="664" t="s">
        <v>646</v>
      </c>
      <c r="B4" s="665">
        <v>0.8622059383604801</v>
      </c>
      <c r="C4" s="665">
        <v>1.6263486787643313</v>
      </c>
      <c r="D4" s="666">
        <v>2.0998751701801552</v>
      </c>
      <c r="E4" s="667">
        <v>-4.4927527835295189E-2</v>
      </c>
      <c r="F4" s="667">
        <v>4.3448135564792212E-2</v>
      </c>
      <c r="G4" s="668">
        <v>0.21146370307556595</v>
      </c>
      <c r="J4" s="109"/>
      <c r="K4" s="109"/>
      <c r="L4" s="109"/>
    </row>
    <row r="5" spans="1:12">
      <c r="A5" s="664" t="s">
        <v>647</v>
      </c>
      <c r="B5" s="665">
        <v>1.5326281584371486</v>
      </c>
      <c r="C5" s="665">
        <v>1.1943684191911643</v>
      </c>
      <c r="D5" s="666">
        <v>1.1792700210428819</v>
      </c>
      <c r="E5" s="667">
        <v>7.1696072851661796E-2</v>
      </c>
      <c r="F5" s="667">
        <v>0.14620272209631491</v>
      </c>
      <c r="G5" s="668">
        <v>0.28351694432769303</v>
      </c>
    </row>
    <row r="6" spans="1:12">
      <c r="A6" s="664" t="s">
        <v>648</v>
      </c>
      <c r="B6" s="665">
        <v>3.6284533482211589</v>
      </c>
      <c r="C6" s="665">
        <v>4.4665198940365087</v>
      </c>
      <c r="D6" s="666">
        <v>5.0780029127055686</v>
      </c>
      <c r="E6" s="667">
        <v>0.10422427333128592</v>
      </c>
      <c r="F6" s="667">
        <v>0.21120074510033238</v>
      </c>
      <c r="G6" s="668">
        <v>0.28208454535862781</v>
      </c>
    </row>
    <row r="7" spans="1:12">
      <c r="A7" s="664" t="s">
        <v>649</v>
      </c>
      <c r="B7" s="665">
        <v>2.4433815164528694</v>
      </c>
      <c r="C7" s="665">
        <v>2.7845990647079226</v>
      </c>
      <c r="D7" s="666">
        <v>2.7818152257015032</v>
      </c>
      <c r="E7" s="667">
        <v>-5.2360320114175352E-2</v>
      </c>
      <c r="F7" s="667">
        <v>4.6546829081990815E-2</v>
      </c>
      <c r="G7" s="668">
        <v>-0.15662567868116328</v>
      </c>
    </row>
    <row r="8" spans="1:12">
      <c r="A8" s="664" t="s">
        <v>650</v>
      </c>
      <c r="B8" s="665">
        <v>0.13795574899148244</v>
      </c>
      <c r="C8" s="665">
        <v>2.4445027414204281</v>
      </c>
      <c r="D8" s="666">
        <v>2.5404478622756597</v>
      </c>
      <c r="E8" s="667">
        <v>-1.5642429644982285</v>
      </c>
      <c r="F8" s="667">
        <v>1.1368077494508624</v>
      </c>
      <c r="G8" s="668">
        <v>1.3960868014813186</v>
      </c>
    </row>
    <row r="9" spans="1:12">
      <c r="A9" s="664" t="s">
        <v>651</v>
      </c>
      <c r="B9" s="665">
        <v>6.3460419920450333</v>
      </c>
      <c r="C9" s="665">
        <v>-0.13541163714057802</v>
      </c>
      <c r="D9" s="666">
        <v>3.8878210897230332</v>
      </c>
      <c r="E9" s="667">
        <v>2.3430122047766693</v>
      </c>
      <c r="F9" s="667">
        <v>-0.64318262402847903</v>
      </c>
      <c r="G9" s="668">
        <v>1.881583851716619</v>
      </c>
    </row>
    <row r="10" spans="1:12">
      <c r="A10" s="669" t="s">
        <v>652</v>
      </c>
      <c r="B10" s="670">
        <v>5.588726900314624</v>
      </c>
      <c r="C10" s="670">
        <v>5.7601045978759187</v>
      </c>
      <c r="D10" s="671">
        <v>6.4854759428079767</v>
      </c>
      <c r="E10" s="672">
        <v>0.69162698926486144</v>
      </c>
      <c r="F10" s="672">
        <v>-7.5598838657427336E-2</v>
      </c>
      <c r="G10" s="672">
        <v>0.22809459085351591</v>
      </c>
    </row>
    <row r="11" spans="1:12">
      <c r="A11" s="673" t="s">
        <v>653</v>
      </c>
      <c r="B11" s="674">
        <v>3.8331900042395404</v>
      </c>
      <c r="C11" s="674">
        <v>3.966712344102902</v>
      </c>
      <c r="D11" s="675">
        <v>4.7066411663867882</v>
      </c>
      <c r="E11" s="676">
        <v>0.30135173014644945</v>
      </c>
      <c r="F11" s="676">
        <v>9.3307887202337625E-2</v>
      </c>
      <c r="G11" s="677">
        <v>0.31615064095113521</v>
      </c>
    </row>
    <row r="12" spans="1:12">
      <c r="A12" s="656" t="s">
        <v>184</v>
      </c>
      <c r="B12" s="678">
        <v>4.5703155720205615</v>
      </c>
      <c r="C12" s="678">
        <v>5.4949676246100978</v>
      </c>
      <c r="D12" s="679">
        <v>6.9293249068035578</v>
      </c>
      <c r="E12" s="680">
        <v>0.25642420231115426</v>
      </c>
      <c r="F12" s="680">
        <v>0.13675602276712984</v>
      </c>
      <c r="G12" s="680">
        <v>0.52761434402670115</v>
      </c>
    </row>
    <row r="13" spans="1:12">
      <c r="A13" s="657"/>
      <c r="B13" s="657"/>
      <c r="C13" s="657"/>
      <c r="D13" s="657"/>
      <c r="E13" s="657"/>
      <c r="F13" s="657"/>
      <c r="G13" s="681" t="s">
        <v>642</v>
      </c>
    </row>
    <row r="14" spans="1:12">
      <c r="A14" s="657"/>
      <c r="B14" s="657"/>
      <c r="C14" s="657"/>
      <c r="D14" s="657"/>
      <c r="E14" s="657"/>
      <c r="F14" s="657"/>
    </row>
    <row r="16" spans="1:12">
      <c r="A16" s="659"/>
    </row>
  </sheetData>
  <mergeCells count="1">
    <mergeCell ref="B2:D2"/>
  </mergeCells>
  <pageMargins left="0.7" right="0.7" top="0.75" bottom="0.75" header="0.3" footer="0.3"/>
  <pageSetup paperSize="9" orientation="portrait" verticalDpi="4294967293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6"/>
  <sheetViews>
    <sheetView showGridLines="0" workbookViewId="0"/>
  </sheetViews>
  <sheetFormatPr defaultRowHeight="12"/>
  <cols>
    <col min="1" max="1" width="34" style="647" customWidth="1"/>
    <col min="2" max="7" width="8.5703125" style="647" customWidth="1"/>
    <col min="8" max="16384" width="9.140625" style="647"/>
  </cols>
  <sheetData>
    <row r="1" spans="1:12" s="1673" customFormat="1" ht="17.25" customHeight="1">
      <c r="A1" s="1676" t="s">
        <v>654</v>
      </c>
      <c r="B1" s="1672"/>
      <c r="C1" s="1672"/>
      <c r="D1" s="1672"/>
    </row>
    <row r="2" spans="1:12" ht="30.75" customHeight="1">
      <c r="A2" s="660" t="s">
        <v>643</v>
      </c>
      <c r="B2" s="1724" t="s">
        <v>655</v>
      </c>
      <c r="C2" s="1725"/>
      <c r="D2" s="1726"/>
      <c r="E2" s="1721" t="s">
        <v>645</v>
      </c>
      <c r="F2" s="1722"/>
      <c r="G2" s="1722"/>
      <c r="J2" s="109"/>
      <c r="K2" s="109"/>
      <c r="L2" s="109"/>
    </row>
    <row r="3" spans="1:12" ht="12" customHeight="1">
      <c r="A3" s="660"/>
      <c r="B3" s="663">
        <v>2017</v>
      </c>
      <c r="C3" s="663">
        <v>2018</v>
      </c>
      <c r="D3" s="660">
        <v>2019</v>
      </c>
      <c r="E3" s="663">
        <v>2017</v>
      </c>
      <c r="F3" s="663">
        <v>2018</v>
      </c>
      <c r="G3" s="663">
        <v>2019</v>
      </c>
      <c r="J3" s="109"/>
      <c r="K3" s="109"/>
      <c r="L3" s="109"/>
    </row>
    <row r="4" spans="1:12" ht="12.75">
      <c r="A4" s="664" t="s">
        <v>646</v>
      </c>
      <c r="B4" s="665">
        <v>0.93832989027715097</v>
      </c>
      <c r="C4" s="665">
        <v>1.5850117085943145</v>
      </c>
      <c r="D4" s="666">
        <v>2.0177112549099228</v>
      </c>
      <c r="E4" s="667">
        <v>3.1196424081375684E-2</v>
      </c>
      <c r="F4" s="667">
        <v>2.111165394775405E-3</v>
      </c>
      <c r="G4" s="668">
        <v>0.12929978780533347</v>
      </c>
      <c r="J4" s="109"/>
      <c r="K4" s="109"/>
      <c r="L4" s="109"/>
    </row>
    <row r="5" spans="1:12">
      <c r="A5" s="664" t="s">
        <v>647</v>
      </c>
      <c r="B5" s="665">
        <v>1.466027684102869</v>
      </c>
      <c r="C5" s="665">
        <v>1.1090147688015008</v>
      </c>
      <c r="D5" s="666">
        <v>1.0805436932578232</v>
      </c>
      <c r="E5" s="667">
        <v>5.0955985173821716E-3</v>
      </c>
      <c r="F5" s="667">
        <v>6.0849071706651436E-2</v>
      </c>
      <c r="G5" s="668">
        <v>0.18479061654263429</v>
      </c>
    </row>
    <row r="6" spans="1:12">
      <c r="A6" s="664" t="s">
        <v>648</v>
      </c>
      <c r="B6" s="665">
        <v>4.008810633629361</v>
      </c>
      <c r="C6" s="665">
        <v>4.2012772498218398</v>
      </c>
      <c r="D6" s="666">
        <v>4.7941704860686869</v>
      </c>
      <c r="E6" s="667">
        <v>0.48458155873948794</v>
      </c>
      <c r="F6" s="667">
        <v>-5.4041899114336545E-2</v>
      </c>
      <c r="G6" s="668">
        <v>-1.7478812782538711E-3</v>
      </c>
    </row>
    <row r="7" spans="1:12">
      <c r="A7" s="664" t="s">
        <v>649</v>
      </c>
      <c r="B7" s="665">
        <v>2.8617286179720947</v>
      </c>
      <c r="C7" s="665">
        <v>2.6157987247929881</v>
      </c>
      <c r="D7" s="666">
        <v>2.7415277727540595</v>
      </c>
      <c r="E7" s="667">
        <v>0.36598678140504992</v>
      </c>
      <c r="F7" s="667">
        <v>-0.12225351083294367</v>
      </c>
      <c r="G7" s="668">
        <v>-0.19691313162860702</v>
      </c>
    </row>
    <row r="8" spans="1:12">
      <c r="A8" s="664" t="s">
        <v>650</v>
      </c>
      <c r="B8" s="665">
        <v>-1.2303026842487501</v>
      </c>
      <c r="C8" s="665">
        <v>2.094336290124958</v>
      </c>
      <c r="D8" s="666">
        <v>1.3486590335133171</v>
      </c>
      <c r="E8" s="667">
        <v>-2.9325013977384611</v>
      </c>
      <c r="F8" s="667">
        <v>0.7866412981553923</v>
      </c>
      <c r="G8" s="668">
        <v>0.20429797271897598</v>
      </c>
    </row>
    <row r="9" spans="1:12">
      <c r="A9" s="664" t="s">
        <v>651</v>
      </c>
      <c r="B9" s="665">
        <v>8.1353765515424783</v>
      </c>
      <c r="C9" s="665">
        <v>-1.4741448452500947</v>
      </c>
      <c r="D9" s="666">
        <v>3.3580555010120037</v>
      </c>
      <c r="E9" s="667">
        <v>4.1323467642741143</v>
      </c>
      <c r="F9" s="667">
        <v>-1.9819158321379957</v>
      </c>
      <c r="G9" s="668">
        <v>1.3518182630055895</v>
      </c>
    </row>
    <row r="10" spans="1:12">
      <c r="A10" s="669" t="s">
        <v>652</v>
      </c>
      <c r="B10" s="670">
        <v>5.4330807389324445</v>
      </c>
      <c r="C10" s="670">
        <v>5.5342387414514844</v>
      </c>
      <c r="D10" s="671">
        <v>6.380957215063642</v>
      </c>
      <c r="E10" s="672">
        <v>0.53598082788268187</v>
      </c>
      <c r="F10" s="672">
        <v>-0.30146469508186158</v>
      </c>
      <c r="G10" s="672">
        <v>0.12357586310918123</v>
      </c>
    </row>
    <row r="11" spans="1:12">
      <c r="A11" s="673" t="s">
        <v>653</v>
      </c>
      <c r="B11" s="674">
        <v>3.6057931670834193</v>
      </c>
      <c r="C11" s="674">
        <v>3.7390103328589674</v>
      </c>
      <c r="D11" s="675">
        <v>4.4883463920065907</v>
      </c>
      <c r="E11" s="676">
        <v>7.3954892990328425E-2</v>
      </c>
      <c r="F11" s="676">
        <v>-0.1343941240415969</v>
      </c>
      <c r="G11" s="677">
        <v>9.78558665709377E-2</v>
      </c>
    </row>
    <row r="12" spans="1:12">
      <c r="A12" s="656" t="s">
        <v>184</v>
      </c>
      <c r="B12" s="678">
        <v>4.4889621812037319</v>
      </c>
      <c r="C12" s="678">
        <v>5.3128191861004268</v>
      </c>
      <c r="D12" s="679">
        <v>6.6153892707903879</v>
      </c>
      <c r="E12" s="680">
        <v>0.10515131707170411</v>
      </c>
      <c r="F12" s="680">
        <v>-0.13228295864682149</v>
      </c>
      <c r="G12" s="680">
        <v>0.22715565437627117</v>
      </c>
    </row>
    <row r="13" spans="1:12">
      <c r="A13" s="657"/>
      <c r="B13" s="657"/>
      <c r="C13" s="657"/>
      <c r="D13" s="657"/>
      <c r="E13" s="657"/>
      <c r="F13" s="657"/>
      <c r="G13" s="681" t="s">
        <v>642</v>
      </c>
    </row>
    <row r="14" spans="1:12">
      <c r="A14" s="657"/>
      <c r="B14" s="657"/>
      <c r="C14" s="657"/>
      <c r="D14" s="657"/>
      <c r="E14" s="657"/>
      <c r="F14" s="657"/>
    </row>
    <row r="16" spans="1:12">
      <c r="A16" s="659"/>
    </row>
  </sheetData>
  <mergeCells count="2">
    <mergeCell ref="B2:D2"/>
    <mergeCell ref="E2:G2"/>
  </mergeCells>
  <pageMargins left="0.7" right="0.7" top="0.75" bottom="0.75" header="0.3" footer="0.3"/>
  <pageSetup paperSize="9" orientation="portrait" verticalDpi="4294967293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8"/>
  <sheetViews>
    <sheetView showGridLines="0" zoomScaleNormal="100" workbookViewId="0">
      <selection sqref="A1:F1"/>
    </sheetView>
  </sheetViews>
  <sheetFormatPr defaultRowHeight="15"/>
  <cols>
    <col min="1" max="1" width="40" style="683" bestFit="1" customWidth="1"/>
    <col min="2" max="4" width="9.140625" style="683"/>
    <col min="5" max="5" width="9.140625" style="683" customWidth="1"/>
    <col min="6" max="17" width="9.140625" style="683"/>
    <col min="18" max="18" width="11.85546875" style="683" bestFit="1" customWidth="1"/>
    <col min="19" max="30" width="9.140625" style="683"/>
    <col min="31" max="31" width="41.7109375" style="683" bestFit="1" customWidth="1"/>
    <col min="32" max="32" width="9" style="683" customWidth="1"/>
    <col min="33" max="37" width="8.140625" style="683" customWidth="1"/>
    <col min="38" max="16384" width="9.140625" style="683"/>
  </cols>
  <sheetData>
    <row r="1" spans="1:10">
      <c r="A1" s="1727" t="s">
        <v>656</v>
      </c>
      <c r="B1" s="1727"/>
      <c r="C1" s="1727"/>
      <c r="D1" s="1727"/>
      <c r="E1" s="1727"/>
      <c r="F1" s="1727"/>
      <c r="G1" s="682"/>
    </row>
    <row r="2" spans="1:10" ht="22.5" customHeight="1">
      <c r="A2" s="684" t="s">
        <v>621</v>
      </c>
      <c r="B2" s="685" t="s">
        <v>622</v>
      </c>
      <c r="C2" s="1728" t="s">
        <v>657</v>
      </c>
      <c r="D2" s="1728"/>
      <c r="E2" s="1728"/>
      <c r="F2" s="1728"/>
      <c r="G2" s="686"/>
      <c r="I2" s="109"/>
      <c r="J2" s="109"/>
    </row>
    <row r="3" spans="1:10">
      <c r="A3" s="687"/>
      <c r="B3" s="688">
        <v>2015</v>
      </c>
      <c r="C3" s="689">
        <v>2016</v>
      </c>
      <c r="D3" s="689">
        <v>2017</v>
      </c>
      <c r="E3" s="689">
        <v>2018</v>
      </c>
      <c r="F3" s="689">
        <v>2019</v>
      </c>
      <c r="G3" s="686"/>
      <c r="I3" s="109"/>
      <c r="J3" s="109"/>
    </row>
    <row r="4" spans="1:10">
      <c r="A4" s="690" t="s">
        <v>658</v>
      </c>
      <c r="B4" s="691">
        <v>3.8710964061687818</v>
      </c>
      <c r="C4" s="692">
        <v>3.9156223211795025</v>
      </c>
      <c r="D4" s="692">
        <v>4.2543631534727373</v>
      </c>
      <c r="E4" s="692">
        <v>4.8265367183008943</v>
      </c>
      <c r="F4" s="692">
        <v>5.3010494241676787</v>
      </c>
      <c r="G4" s="686"/>
      <c r="I4" s="109"/>
      <c r="J4" s="109"/>
    </row>
    <row r="5" spans="1:10">
      <c r="A5" s="693" t="s">
        <v>659</v>
      </c>
      <c r="B5" s="694" t="s">
        <v>574</v>
      </c>
      <c r="C5" s="695" t="s">
        <v>660</v>
      </c>
      <c r="D5" s="695" t="s">
        <v>661</v>
      </c>
      <c r="E5" s="695" t="s">
        <v>662</v>
      </c>
      <c r="F5" s="695" t="s">
        <v>663</v>
      </c>
      <c r="G5" s="686"/>
    </row>
    <row r="6" spans="1:10">
      <c r="A6" s="693" t="s">
        <v>664</v>
      </c>
      <c r="B6" s="694" t="s">
        <v>574</v>
      </c>
      <c r="C6" s="695" t="s">
        <v>665</v>
      </c>
      <c r="D6" s="695" t="s">
        <v>666</v>
      </c>
      <c r="E6" s="695" t="s">
        <v>667</v>
      </c>
      <c r="F6" s="695" t="s">
        <v>668</v>
      </c>
      <c r="G6" s="686"/>
    </row>
    <row r="7" spans="1:10">
      <c r="A7" s="696" t="s">
        <v>669</v>
      </c>
      <c r="B7" s="697" t="s">
        <v>574</v>
      </c>
      <c r="C7" s="698" t="s">
        <v>670</v>
      </c>
      <c r="D7" s="698" t="s">
        <v>671</v>
      </c>
      <c r="E7" s="698" t="s">
        <v>672</v>
      </c>
      <c r="F7" s="698" t="s">
        <v>673</v>
      </c>
      <c r="G7" s="686"/>
    </row>
    <row r="8" spans="1:10">
      <c r="A8" s="699"/>
      <c r="B8" s="1729" t="s">
        <v>71</v>
      </c>
      <c r="C8" s="1729"/>
      <c r="D8" s="1729"/>
      <c r="E8" s="1729"/>
      <c r="F8" s="1729"/>
      <c r="G8" s="686"/>
    </row>
  </sheetData>
  <mergeCells count="3">
    <mergeCell ref="A1:F1"/>
    <mergeCell ref="C2:F2"/>
    <mergeCell ref="B8:F8"/>
  </mergeCells>
  <pageMargins left="0.7" right="0.7" top="0.75" bottom="0.75" header="0.3" footer="0.3"/>
  <pageSetup paperSize="9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2"/>
  <dimension ref="A1:Q16"/>
  <sheetViews>
    <sheetView showGridLines="0" workbookViewId="0">
      <selection sqref="A1:E1"/>
    </sheetView>
  </sheetViews>
  <sheetFormatPr defaultRowHeight="12.75"/>
  <cols>
    <col min="1" max="1" width="50.28515625" customWidth="1"/>
    <col min="2" max="2" width="10.7109375" customWidth="1"/>
    <col min="3" max="3" width="8.28515625" customWidth="1"/>
    <col min="4" max="4" width="7.42578125" customWidth="1"/>
    <col min="6" max="6" width="8.140625" customWidth="1"/>
    <col min="9" max="9" width="26.42578125" customWidth="1"/>
  </cols>
  <sheetData>
    <row r="1" spans="1:17" s="109" customFormat="1" ht="15">
      <c r="A1" s="1684" t="s">
        <v>156</v>
      </c>
      <c r="B1" s="1684"/>
      <c r="C1" s="1684"/>
      <c r="D1" s="1684"/>
      <c r="E1" s="1684"/>
      <c r="J1" s="1685"/>
      <c r="K1" s="1685"/>
      <c r="L1" s="1685"/>
      <c r="M1" s="1685"/>
      <c r="N1" s="1685"/>
      <c r="O1" s="182"/>
      <c r="P1" s="3"/>
      <c r="Q1" s="3"/>
    </row>
    <row r="2" spans="1:17" s="109" customFormat="1">
      <c r="A2" s="20"/>
      <c r="B2" s="33">
        <v>2015</v>
      </c>
      <c r="C2" s="33" t="s">
        <v>114</v>
      </c>
      <c r="D2" s="33" t="s">
        <v>221</v>
      </c>
      <c r="E2" s="33" t="s">
        <v>222</v>
      </c>
      <c r="F2" s="33" t="s">
        <v>223</v>
      </c>
      <c r="J2" s="183"/>
      <c r="K2" s="55"/>
      <c r="L2" s="55"/>
      <c r="M2" s="55"/>
      <c r="N2" s="55"/>
      <c r="O2" s="55"/>
      <c r="P2" s="3"/>
      <c r="Q2" s="3"/>
    </row>
    <row r="3" spans="1:17" s="109" customFormat="1" ht="15">
      <c r="A3" s="21" t="s">
        <v>125</v>
      </c>
      <c r="B3" s="127">
        <v>-2.4900000000000002</v>
      </c>
      <c r="C3" s="127">
        <v>-1.9300012643870841</v>
      </c>
      <c r="D3" s="127">
        <v>-0.42</v>
      </c>
      <c r="E3" s="127">
        <v>0</v>
      </c>
      <c r="F3" s="6"/>
      <c r="I3" s="21"/>
      <c r="J3" s="59"/>
      <c r="K3" s="83"/>
      <c r="L3" s="83"/>
      <c r="M3" s="83"/>
      <c r="N3" s="83"/>
      <c r="O3" s="182"/>
      <c r="P3" s="3"/>
      <c r="Q3" s="3"/>
    </row>
    <row r="4" spans="1:17" s="109" customFormat="1">
      <c r="A4" s="21" t="s">
        <v>126</v>
      </c>
      <c r="B4" s="127">
        <v>-2.97</v>
      </c>
      <c r="C4" s="127">
        <v>-2.13</v>
      </c>
      <c r="D4" s="127">
        <v>-1.29</v>
      </c>
      <c r="E4" s="127">
        <v>-0.44</v>
      </c>
      <c r="F4" s="127">
        <v>0.15512676216840304</v>
      </c>
      <c r="H4" s="93"/>
      <c r="I4" s="21"/>
      <c r="J4" s="59"/>
      <c r="K4" s="83"/>
      <c r="L4" s="83"/>
      <c r="M4" s="83"/>
      <c r="N4" s="83"/>
      <c r="O4" s="83"/>
      <c r="P4" s="3"/>
      <c r="Q4" s="3"/>
    </row>
    <row r="5" spans="1:17" s="109" customFormat="1">
      <c r="A5" s="143" t="s">
        <v>127</v>
      </c>
      <c r="B5" s="174">
        <v>-2.7286855588400063</v>
      </c>
      <c r="C5" s="174">
        <v>-1.970000324279477</v>
      </c>
      <c r="D5" s="174">
        <v>-1.2900001435861632</v>
      </c>
      <c r="E5" s="174">
        <v>-0.44000038092532345</v>
      </c>
      <c r="F5" s="174">
        <v>0.15999958902343381</v>
      </c>
      <c r="H5" s="93"/>
      <c r="I5" s="143"/>
      <c r="J5" s="61"/>
      <c r="K5" s="81"/>
      <c r="L5" s="81"/>
      <c r="M5" s="81"/>
      <c r="N5" s="81"/>
      <c r="O5" s="81"/>
      <c r="P5" s="3"/>
      <c r="Q5" s="3"/>
    </row>
    <row r="6" spans="1:17" s="109" customFormat="1" ht="15">
      <c r="A6" s="157" t="s">
        <v>121</v>
      </c>
      <c r="B6" s="180">
        <v>0.23868555884000608</v>
      </c>
      <c r="C6" s="180">
        <v>3.9999059892392941E-2</v>
      </c>
      <c r="D6" s="180">
        <v>0.87000014358616329</v>
      </c>
      <c r="E6" s="180">
        <v>0.44000038092532345</v>
      </c>
      <c r="F6" s="180"/>
      <c r="H6" s="93"/>
      <c r="I6" s="93"/>
      <c r="J6" s="179"/>
      <c r="K6" s="184"/>
      <c r="L6" s="184"/>
      <c r="M6" s="184"/>
      <c r="N6" s="184"/>
      <c r="O6" s="185"/>
      <c r="P6" s="3"/>
      <c r="Q6" s="3"/>
    </row>
    <row r="7" spans="1:17" s="109" customFormat="1">
      <c r="A7" s="157" t="s">
        <v>122</v>
      </c>
      <c r="B7" s="180">
        <v>-0.2413144411599939</v>
      </c>
      <c r="C7" s="180">
        <v>-0.15999967572052287</v>
      </c>
      <c r="D7" s="180">
        <v>1.4358616318155271E-7</v>
      </c>
      <c r="E7" s="180">
        <v>3.8092532345102015E-7</v>
      </c>
      <c r="F7" s="180">
        <v>-4.8728268550307652E-3</v>
      </c>
      <c r="J7" s="179"/>
      <c r="K7" s="184"/>
      <c r="L7" s="184"/>
      <c r="M7" s="184"/>
      <c r="N7" s="184"/>
      <c r="O7" s="184"/>
      <c r="P7" s="3"/>
      <c r="Q7" s="3"/>
    </row>
    <row r="8" spans="1:17" s="109" customFormat="1" ht="12.75" customHeight="1">
      <c r="A8" s="21" t="s">
        <v>128</v>
      </c>
      <c r="B8" s="145">
        <v>52.772981719922264</v>
      </c>
      <c r="C8" s="145">
        <v>52.109294983868125</v>
      </c>
      <c r="D8" s="145">
        <v>51.312991270223598</v>
      </c>
      <c r="E8" s="145">
        <v>48.940700344112564</v>
      </c>
      <c r="F8" s="99"/>
      <c r="J8" s="183"/>
      <c r="K8" s="80"/>
      <c r="L8" s="80"/>
      <c r="M8" s="80"/>
      <c r="N8" s="80"/>
      <c r="O8" s="80"/>
      <c r="P8" s="3"/>
      <c r="Q8" s="3"/>
    </row>
    <row r="9" spans="1:17" s="109" customFormat="1" ht="15">
      <c r="A9" s="21" t="s">
        <v>129</v>
      </c>
      <c r="B9" s="145">
        <v>52.908033633516801</v>
      </c>
      <c r="C9" s="145">
        <v>52.855504574834846</v>
      </c>
      <c r="D9" s="145">
        <v>52.158595623047269</v>
      </c>
      <c r="E9" s="145">
        <v>49.806663580416469</v>
      </c>
      <c r="F9" s="145">
        <v>47.27079432620657</v>
      </c>
      <c r="J9" s="59"/>
      <c r="K9" s="83"/>
      <c r="L9" s="83"/>
      <c r="M9" s="83"/>
      <c r="N9" s="83"/>
      <c r="O9" s="182"/>
      <c r="P9" s="3"/>
      <c r="Q9" s="3"/>
    </row>
    <row r="10" spans="1:17" s="109" customFormat="1">
      <c r="A10" s="143" t="s">
        <v>130</v>
      </c>
      <c r="B10" s="178">
        <v>52.892128842055236</v>
      </c>
      <c r="C10" s="178">
        <v>53.494981921392004</v>
      </c>
      <c r="D10" s="178">
        <v>52.723970708888864</v>
      </c>
      <c r="E10" s="178">
        <v>51.402602458171891</v>
      </c>
      <c r="F10" s="178">
        <v>49.061408450492536</v>
      </c>
      <c r="J10" s="59"/>
      <c r="K10" s="83"/>
      <c r="L10" s="83"/>
      <c r="M10" s="83"/>
      <c r="N10" s="83"/>
      <c r="O10" s="83"/>
      <c r="P10" s="3"/>
      <c r="Q10" s="3"/>
    </row>
    <row r="11" spans="1:17" s="109" customFormat="1">
      <c r="A11" s="157" t="s">
        <v>123</v>
      </c>
      <c r="B11" s="181">
        <v>-0.11914712213297207</v>
      </c>
      <c r="C11" s="181">
        <v>-1.3856869375238787</v>
      </c>
      <c r="D11" s="181">
        <v>-1.4109794386652652</v>
      </c>
      <c r="E11" s="181">
        <v>-2.4619021140593276</v>
      </c>
      <c r="F11" s="181"/>
      <c r="J11" s="61"/>
      <c r="K11" s="81"/>
      <c r="L11" s="81"/>
      <c r="M11" s="81"/>
      <c r="N11" s="81"/>
      <c r="O11" s="81"/>
      <c r="P11" s="3"/>
      <c r="Q11" s="3"/>
    </row>
    <row r="12" spans="1:17" s="109" customFormat="1" ht="15">
      <c r="A12" s="157" t="s">
        <v>124</v>
      </c>
      <c r="B12" s="181">
        <v>1.5904791461565537E-2</v>
      </c>
      <c r="C12" s="181">
        <v>-0.63947734655715749</v>
      </c>
      <c r="D12" s="181">
        <v>-0.56537508584159468</v>
      </c>
      <c r="E12" s="181">
        <v>-1.5959388777554224</v>
      </c>
      <c r="F12" s="181">
        <v>-1.7906141242859661</v>
      </c>
      <c r="J12" s="179"/>
      <c r="K12" s="184"/>
      <c r="L12" s="184"/>
      <c r="M12" s="184"/>
      <c r="N12" s="184"/>
      <c r="O12" s="185"/>
      <c r="P12" s="3"/>
      <c r="Q12" s="3"/>
    </row>
    <row r="13" spans="1:17" s="109" customFormat="1" ht="27" customHeight="1">
      <c r="A13" s="1686" t="s">
        <v>182</v>
      </c>
      <c r="B13" s="1686"/>
      <c r="C13" s="1686"/>
      <c r="D13" s="1686"/>
      <c r="E13" s="1686"/>
      <c r="F13" s="186" t="s">
        <v>9</v>
      </c>
      <c r="J13" s="179"/>
      <c r="K13" s="184"/>
      <c r="L13" s="184"/>
      <c r="M13" s="184"/>
      <c r="N13" s="184"/>
      <c r="O13" s="184"/>
      <c r="P13" s="3"/>
      <c r="Q13" s="3"/>
    </row>
    <row r="14" spans="1:17" ht="29.25" customHeight="1">
      <c r="A14" s="1683" t="s">
        <v>224</v>
      </c>
      <c r="B14" s="1683"/>
      <c r="C14" s="1683"/>
      <c r="D14" s="1683"/>
      <c r="E14" s="1683"/>
    </row>
    <row r="15" spans="1:17">
      <c r="A15" s="281" t="s">
        <v>181</v>
      </c>
      <c r="B15" s="109"/>
      <c r="C15" s="109"/>
      <c r="D15" s="109"/>
      <c r="E15" s="109"/>
    </row>
    <row r="16" spans="1:17">
      <c r="A16" s="282"/>
    </row>
  </sheetData>
  <mergeCells count="4">
    <mergeCell ref="A14:E14"/>
    <mergeCell ref="A1:E1"/>
    <mergeCell ref="J1:N1"/>
    <mergeCell ref="A13:E13"/>
  </mergeCells>
  <pageMargins left="0.7" right="0.7" top="0.75" bottom="0.75" header="0.3" footer="0.3"/>
  <pageSetup paperSize="9" orientation="portrait" verticalDpi="0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38"/>
  <sheetViews>
    <sheetView showGridLines="0" workbookViewId="0">
      <selection activeCell="D11" sqref="D11"/>
    </sheetView>
  </sheetViews>
  <sheetFormatPr defaultRowHeight="15"/>
  <cols>
    <col min="1" max="1" width="50.5703125" style="758" customWidth="1"/>
    <col min="2" max="2" width="14.28515625" style="758" customWidth="1"/>
    <col min="3" max="3" width="14" style="758" customWidth="1"/>
    <col min="4" max="4" width="14.140625" style="758" customWidth="1"/>
    <col min="5" max="7" width="9.140625" style="758"/>
    <col min="8" max="8" width="11.7109375" style="758" customWidth="1"/>
    <col min="9" max="16384" width="9.140625" style="758"/>
  </cols>
  <sheetData>
    <row r="1" spans="1:9">
      <c r="A1" s="1730" t="s">
        <v>316</v>
      </c>
      <c r="B1" s="1730"/>
      <c r="C1" s="1730"/>
      <c r="D1" s="1730"/>
    </row>
    <row r="2" spans="1:9">
      <c r="A2" s="1054" t="s">
        <v>969</v>
      </c>
      <c r="B2" s="1053" t="s">
        <v>968</v>
      </c>
      <c r="C2" s="1053" t="s">
        <v>967</v>
      </c>
      <c r="D2" s="1052" t="s">
        <v>966</v>
      </c>
      <c r="E2" s="942"/>
      <c r="G2" s="109"/>
      <c r="H2" s="109"/>
      <c r="I2" s="683"/>
    </row>
    <row r="3" spans="1:9" ht="15.75" customHeight="1">
      <c r="A3" s="1051" t="s">
        <v>788</v>
      </c>
      <c r="B3" s="1050">
        <f>SUM(B4:B5)</f>
        <v>171</v>
      </c>
      <c r="C3" s="1049">
        <v>171</v>
      </c>
      <c r="D3" s="822">
        <f>SUM(D4:D5)</f>
        <v>202.12100000000001</v>
      </c>
      <c r="E3" s="942"/>
      <c r="G3" s="109"/>
      <c r="H3" s="109"/>
      <c r="I3" s="683"/>
    </row>
    <row r="4" spans="1:9">
      <c r="A4" s="1048" t="s">
        <v>965</v>
      </c>
      <c r="B4" s="1047">
        <v>119</v>
      </c>
      <c r="C4" s="1049">
        <v>119</v>
      </c>
      <c r="D4" s="822">
        <v>150</v>
      </c>
      <c r="E4" s="942"/>
      <c r="G4" s="109"/>
      <c r="H4" s="109"/>
      <c r="I4" s="683"/>
    </row>
    <row r="5" spans="1:9">
      <c r="A5" s="1048" t="s">
        <v>786</v>
      </c>
      <c r="B5" s="1047">
        <v>52</v>
      </c>
      <c r="C5" s="1046">
        <v>52</v>
      </c>
      <c r="D5" s="817">
        <v>52.121000000000002</v>
      </c>
      <c r="E5" s="942"/>
    </row>
    <row r="6" spans="1:9">
      <c r="A6" s="1027" t="s">
        <v>784</v>
      </c>
      <c r="B6" s="1045" t="s">
        <v>772</v>
      </c>
      <c r="C6" s="817" t="s">
        <v>964</v>
      </c>
      <c r="D6" s="822" t="s">
        <v>963</v>
      </c>
      <c r="E6" s="942"/>
    </row>
    <row r="7" spans="1:9" ht="15" customHeight="1">
      <c r="A7" s="1044" t="s">
        <v>962</v>
      </c>
      <c r="B7" s="1043">
        <f>SUM(B8:B9)</f>
        <v>145</v>
      </c>
      <c r="C7" s="1042">
        <v>92.138766388069342</v>
      </c>
      <c r="D7" s="827">
        <f>SUM(D8:D9)</f>
        <v>208</v>
      </c>
      <c r="E7" s="942"/>
    </row>
    <row r="8" spans="1:9" ht="24">
      <c r="A8" s="1024" t="s">
        <v>961</v>
      </c>
      <c r="B8" s="1041">
        <v>120</v>
      </c>
      <c r="C8" s="1040">
        <v>67.138766388069342</v>
      </c>
      <c r="D8" s="841">
        <v>184</v>
      </c>
      <c r="E8" s="942"/>
    </row>
    <row r="9" spans="1:9" ht="24">
      <c r="A9" s="1039" t="s">
        <v>777</v>
      </c>
      <c r="B9" s="1038">
        <v>25</v>
      </c>
      <c r="C9" s="1038">
        <v>25</v>
      </c>
      <c r="D9" s="1037">
        <v>24</v>
      </c>
      <c r="E9" s="942"/>
    </row>
    <row r="10" spans="1:9">
      <c r="A10" s="814" t="s">
        <v>960</v>
      </c>
      <c r="B10" s="1036" t="s">
        <v>959</v>
      </c>
      <c r="C10" s="1028">
        <v>96.757312430315082</v>
      </c>
      <c r="D10" s="856">
        <v>40</v>
      </c>
      <c r="E10" s="942"/>
    </row>
    <row r="11" spans="1:9" ht="24">
      <c r="A11" s="1035" t="s">
        <v>958</v>
      </c>
      <c r="B11" s="1020" t="s">
        <v>772</v>
      </c>
      <c r="C11" s="1022" t="s">
        <v>772</v>
      </c>
      <c r="D11" s="1021" t="s">
        <v>772</v>
      </c>
      <c r="E11" s="942"/>
    </row>
    <row r="12" spans="1:9" ht="24" customHeight="1">
      <c r="A12" s="1034" t="s">
        <v>957</v>
      </c>
      <c r="B12" s="1033" t="s">
        <v>956</v>
      </c>
      <c r="C12" s="1032">
        <v>173.21497500000001</v>
      </c>
      <c r="D12" s="1032" t="s">
        <v>955</v>
      </c>
      <c r="E12" s="942"/>
    </row>
    <row r="13" spans="1:9">
      <c r="A13" s="1030" t="s">
        <v>954</v>
      </c>
      <c r="B13" s="1031">
        <f>(68-15.2)/2</f>
        <v>26.4</v>
      </c>
      <c r="C13" s="1018">
        <v>17</v>
      </c>
      <c r="D13" s="1018">
        <v>0</v>
      </c>
      <c r="E13" s="942"/>
    </row>
    <row r="14" spans="1:9">
      <c r="A14" s="1030" t="s">
        <v>953</v>
      </c>
      <c r="B14" s="1020" t="s">
        <v>772</v>
      </c>
      <c r="C14" s="1022" t="s">
        <v>772</v>
      </c>
      <c r="D14" s="1021" t="s">
        <v>772</v>
      </c>
      <c r="E14" s="942"/>
    </row>
    <row r="15" spans="1:9" ht="24">
      <c r="A15" s="1030" t="s">
        <v>952</v>
      </c>
      <c r="B15" s="1020" t="s">
        <v>772</v>
      </c>
      <c r="C15" s="1022" t="s">
        <v>772</v>
      </c>
      <c r="D15" s="1021" t="s">
        <v>951</v>
      </c>
      <c r="E15" s="942"/>
    </row>
    <row r="16" spans="1:9">
      <c r="A16" s="1030" t="s">
        <v>950</v>
      </c>
      <c r="B16" s="1020" t="s">
        <v>772</v>
      </c>
      <c r="C16" s="1022" t="s">
        <v>772</v>
      </c>
      <c r="D16" s="1021" t="s">
        <v>772</v>
      </c>
      <c r="E16" s="942"/>
    </row>
    <row r="17" spans="1:9">
      <c r="A17" s="814" t="s">
        <v>949</v>
      </c>
      <c r="B17" s="1029">
        <v>250</v>
      </c>
      <c r="C17" s="1028">
        <v>0</v>
      </c>
      <c r="D17" s="856">
        <v>0</v>
      </c>
      <c r="E17" s="942"/>
    </row>
    <row r="18" spans="1:9">
      <c r="A18" s="814" t="s">
        <v>948</v>
      </c>
      <c r="B18" s="1020" t="s">
        <v>772</v>
      </c>
      <c r="C18" s="1019">
        <v>66</v>
      </c>
      <c r="D18" s="1018" t="s">
        <v>947</v>
      </c>
      <c r="E18" s="942"/>
    </row>
    <row r="19" spans="1:9">
      <c r="A19" s="814" t="s">
        <v>946</v>
      </c>
      <c r="B19" s="1023" t="s">
        <v>1</v>
      </c>
      <c r="C19" s="1026">
        <v>42</v>
      </c>
      <c r="D19" s="1025">
        <v>42</v>
      </c>
      <c r="E19" s="942"/>
    </row>
    <row r="20" spans="1:9">
      <c r="A20" s="814" t="s">
        <v>945</v>
      </c>
      <c r="B20" s="1023" t="s">
        <v>1</v>
      </c>
      <c r="C20" s="1026">
        <v>35</v>
      </c>
      <c r="D20" s="1025" t="s">
        <v>944</v>
      </c>
      <c r="E20" s="942"/>
    </row>
    <row r="21" spans="1:9">
      <c r="A21" s="814" t="s">
        <v>943</v>
      </c>
      <c r="B21" s="1023" t="s">
        <v>1</v>
      </c>
      <c r="C21" s="1026">
        <v>32.5</v>
      </c>
      <c r="D21" s="1025">
        <v>32.5</v>
      </c>
      <c r="E21" s="942"/>
    </row>
    <row r="22" spans="1:9">
      <c r="A22" s="1027" t="s">
        <v>942</v>
      </c>
      <c r="B22" s="1023" t="s">
        <v>1</v>
      </c>
      <c r="C22" s="1026">
        <v>49</v>
      </c>
      <c r="D22" s="1025">
        <v>185</v>
      </c>
      <c r="E22" s="942"/>
    </row>
    <row r="23" spans="1:9">
      <c r="A23" s="1027" t="s">
        <v>941</v>
      </c>
      <c r="B23" s="1023" t="s">
        <v>1</v>
      </c>
      <c r="C23" s="1026" t="s">
        <v>1</v>
      </c>
      <c r="D23" s="1025">
        <f>108-42</f>
        <v>66</v>
      </c>
      <c r="E23" s="942"/>
    </row>
    <row r="24" spans="1:9">
      <c r="A24" s="1024" t="s">
        <v>940</v>
      </c>
      <c r="B24" s="1023" t="s">
        <v>1</v>
      </c>
      <c r="C24" s="1022">
        <v>20</v>
      </c>
      <c r="D24" s="1021">
        <v>20</v>
      </c>
      <c r="E24" s="942"/>
    </row>
    <row r="25" spans="1:9">
      <c r="A25" s="814" t="s">
        <v>939</v>
      </c>
      <c r="B25" s="1020" t="s">
        <v>1</v>
      </c>
      <c r="C25" s="1022">
        <v>34</v>
      </c>
      <c r="D25" s="1021">
        <v>0</v>
      </c>
      <c r="E25" s="942"/>
    </row>
    <row r="26" spans="1:9">
      <c r="A26" s="814" t="s">
        <v>938</v>
      </c>
      <c r="B26" s="1020" t="s">
        <v>1</v>
      </c>
      <c r="C26" s="1019">
        <v>56.241</v>
      </c>
      <c r="D26" s="1018" t="s">
        <v>937</v>
      </c>
      <c r="E26" s="942"/>
    </row>
    <row r="27" spans="1:9">
      <c r="A27" s="1017" t="s">
        <v>936</v>
      </c>
      <c r="B27" s="1017"/>
      <c r="C27" s="1017"/>
      <c r="D27" s="1017"/>
      <c r="E27" s="942"/>
    </row>
    <row r="28" spans="1:9">
      <c r="A28" s="1013" t="s">
        <v>770</v>
      </c>
      <c r="B28" s="1012" t="s">
        <v>935</v>
      </c>
      <c r="C28" s="1011">
        <v>36</v>
      </c>
      <c r="D28" s="1007">
        <f>50-28</f>
        <v>22</v>
      </c>
      <c r="E28" s="942"/>
      <c r="G28" s="1016"/>
      <c r="H28" s="1016"/>
    </row>
    <row r="29" spans="1:9">
      <c r="A29" s="1010" t="s">
        <v>934</v>
      </c>
      <c r="B29" s="1012" t="s">
        <v>933</v>
      </c>
      <c r="C29" s="1011">
        <v>244</v>
      </c>
      <c r="D29" s="1007">
        <f>773+150</f>
        <v>923</v>
      </c>
      <c r="E29" s="942"/>
      <c r="F29" s="1015"/>
      <c r="G29" s="1014"/>
      <c r="H29" s="1014"/>
      <c r="I29" s="1014"/>
    </row>
    <row r="30" spans="1:9">
      <c r="A30" s="1010" t="s">
        <v>932</v>
      </c>
      <c r="B30" s="1012">
        <v>11</v>
      </c>
      <c r="C30" s="1011" t="s">
        <v>1</v>
      </c>
      <c r="D30" s="1007" t="s">
        <v>1</v>
      </c>
      <c r="E30" s="942"/>
    </row>
    <row r="31" spans="1:9">
      <c r="A31" s="1013" t="s">
        <v>931</v>
      </c>
      <c r="B31" s="1012" t="s">
        <v>1</v>
      </c>
      <c r="C31" s="1011">
        <v>87</v>
      </c>
      <c r="D31" s="1007">
        <v>87</v>
      </c>
      <c r="E31" s="942"/>
    </row>
    <row r="32" spans="1:9" ht="14.25" customHeight="1">
      <c r="A32" s="1010" t="s">
        <v>930</v>
      </c>
      <c r="B32" s="1012" t="s">
        <v>1</v>
      </c>
      <c r="C32" s="1011">
        <v>52</v>
      </c>
      <c r="D32" s="1007" t="s">
        <v>929</v>
      </c>
      <c r="E32" s="942"/>
    </row>
    <row r="33" spans="1:5" ht="16.5" customHeight="1">
      <c r="A33" s="1010" t="s">
        <v>928</v>
      </c>
      <c r="B33" s="1009" t="s">
        <v>1</v>
      </c>
      <c r="C33" s="1008">
        <v>20</v>
      </c>
      <c r="D33" s="1007" t="s">
        <v>927</v>
      </c>
      <c r="E33" s="942"/>
    </row>
    <row r="34" spans="1:5">
      <c r="A34" s="1006" t="s">
        <v>926</v>
      </c>
      <c r="B34" s="1005" t="s">
        <v>1</v>
      </c>
      <c r="C34" s="1004" t="s">
        <v>925</v>
      </c>
      <c r="D34" s="1003" t="s">
        <v>924</v>
      </c>
      <c r="E34" s="942"/>
    </row>
    <row r="35" spans="1:5" ht="20.25" customHeight="1">
      <c r="A35" s="1731" t="s">
        <v>923</v>
      </c>
      <c r="B35" s="1731"/>
      <c r="C35" s="1731"/>
      <c r="D35" s="1002" t="s">
        <v>875</v>
      </c>
    </row>
    <row r="36" spans="1:5">
      <c r="A36" s="1732" t="s">
        <v>922</v>
      </c>
      <c r="B36" s="1733"/>
      <c r="C36" s="1733"/>
      <c r="D36" s="1001"/>
    </row>
    <row r="37" spans="1:5">
      <c r="A37" s="1001"/>
      <c r="B37" s="1001"/>
      <c r="C37" s="1001"/>
      <c r="D37" s="1001"/>
    </row>
    <row r="38" spans="1:5">
      <c r="A38" s="1001"/>
      <c r="B38" s="1001"/>
      <c r="C38" s="1001"/>
      <c r="D38" s="1001"/>
    </row>
  </sheetData>
  <mergeCells count="3">
    <mergeCell ref="A1:D1"/>
    <mergeCell ref="A35:C35"/>
    <mergeCell ref="A36:C36"/>
  </mergeCells>
  <pageMargins left="0.7" right="0.7" top="0.75" bottom="0.75" header="0.3" footer="0.3"/>
  <pageSetup paperSize="9" scale="84" orientation="landscape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9"/>
  <sheetViews>
    <sheetView showGridLines="0" workbookViewId="0">
      <selection sqref="A1:I1"/>
    </sheetView>
  </sheetViews>
  <sheetFormatPr defaultRowHeight="15"/>
  <cols>
    <col min="1" max="1" width="41.140625" style="758" customWidth="1"/>
    <col min="2" max="16384" width="9.140625" style="758"/>
  </cols>
  <sheetData>
    <row r="1" spans="1:13">
      <c r="A1" s="1734" t="s">
        <v>984</v>
      </c>
      <c r="B1" s="1734"/>
      <c r="C1" s="1734"/>
      <c r="D1" s="1734"/>
      <c r="E1" s="1734"/>
      <c r="F1" s="1734"/>
      <c r="G1" s="1734"/>
      <c r="H1" s="1734"/>
      <c r="I1" s="1734"/>
    </row>
    <row r="2" spans="1:13">
      <c r="A2" s="1073"/>
      <c r="B2" s="1736" t="s">
        <v>541</v>
      </c>
      <c r="C2" s="1736"/>
      <c r="D2" s="1736" t="s">
        <v>983</v>
      </c>
      <c r="E2" s="1736"/>
      <c r="F2" s="1736" t="s">
        <v>982</v>
      </c>
      <c r="G2" s="1736"/>
      <c r="H2" s="1736" t="s">
        <v>981</v>
      </c>
      <c r="I2" s="1736"/>
      <c r="L2" s="109"/>
      <c r="M2" s="109"/>
    </row>
    <row r="3" spans="1:13">
      <c r="A3" s="1056"/>
      <c r="B3" s="1072" t="s">
        <v>980</v>
      </c>
      <c r="C3" s="1072" t="s">
        <v>979</v>
      </c>
      <c r="D3" s="1072" t="s">
        <v>980</v>
      </c>
      <c r="E3" s="1072" t="s">
        <v>979</v>
      </c>
      <c r="F3" s="1072" t="s">
        <v>980</v>
      </c>
      <c r="G3" s="1072" t="s">
        <v>979</v>
      </c>
      <c r="H3" s="1072" t="s">
        <v>980</v>
      </c>
      <c r="I3" s="1072" t="s">
        <v>979</v>
      </c>
      <c r="L3" s="109"/>
      <c r="M3" s="109"/>
    </row>
    <row r="4" spans="1:13">
      <c r="A4" s="1069" t="s">
        <v>978</v>
      </c>
      <c r="B4" s="1068"/>
      <c r="C4" s="1057"/>
      <c r="D4" s="1067"/>
      <c r="E4" s="1057"/>
      <c r="F4" s="1057"/>
      <c r="G4" s="1057"/>
      <c r="H4" s="1067"/>
      <c r="I4" s="1057"/>
      <c r="L4" s="109"/>
      <c r="M4" s="109"/>
    </row>
    <row r="5" spans="1:13">
      <c r="A5" s="1066" t="s">
        <v>975</v>
      </c>
      <c r="B5" s="1065">
        <v>303</v>
      </c>
      <c r="C5" s="1065">
        <v>303</v>
      </c>
      <c r="D5" s="1065">
        <v>300</v>
      </c>
      <c r="E5" s="1065">
        <v>300</v>
      </c>
      <c r="F5" s="1065">
        <v>300</v>
      </c>
      <c r="G5" s="1065">
        <v>300</v>
      </c>
      <c r="H5" s="1065">
        <v>300</v>
      </c>
      <c r="I5" s="1065">
        <v>300</v>
      </c>
    </row>
    <row r="6" spans="1:13">
      <c r="A6" s="1066" t="s">
        <v>974</v>
      </c>
      <c r="B6" s="1065">
        <v>303</v>
      </c>
      <c r="C6" s="1065">
        <v>140</v>
      </c>
      <c r="D6" s="1065">
        <v>300</v>
      </c>
      <c r="E6" s="1065">
        <v>200</v>
      </c>
      <c r="F6" s="1065">
        <v>300</v>
      </c>
      <c r="G6" s="1065">
        <v>200</v>
      </c>
      <c r="H6" s="1065">
        <v>300</v>
      </c>
      <c r="I6" s="1065">
        <v>200</v>
      </c>
    </row>
    <row r="7" spans="1:13">
      <c r="A7" s="1063" t="s">
        <v>973</v>
      </c>
      <c r="B7" s="1062" t="s">
        <v>1</v>
      </c>
      <c r="C7" s="1062">
        <f>C5-C6</f>
        <v>163</v>
      </c>
      <c r="D7" s="1062" t="s">
        <v>1</v>
      </c>
      <c r="E7" s="1062">
        <v>100</v>
      </c>
      <c r="F7" s="1062" t="s">
        <v>1</v>
      </c>
      <c r="G7" s="1062">
        <f>G5-G6</f>
        <v>100</v>
      </c>
      <c r="H7" s="1062" t="s">
        <v>1</v>
      </c>
      <c r="I7" s="1062">
        <f>I5-I6</f>
        <v>100</v>
      </c>
    </row>
    <row r="8" spans="1:13">
      <c r="A8" s="1069" t="s">
        <v>977</v>
      </c>
      <c r="B8" s="1068"/>
      <c r="C8" s="1057"/>
      <c r="D8" s="1067"/>
      <c r="E8" s="1057"/>
      <c r="F8" s="1057"/>
      <c r="G8" s="1057"/>
      <c r="H8" s="1067"/>
      <c r="I8" s="1057"/>
    </row>
    <row r="9" spans="1:13">
      <c r="A9" s="1066" t="s">
        <v>975</v>
      </c>
      <c r="B9" s="1065">
        <v>36</v>
      </c>
      <c r="C9" s="1065">
        <v>36</v>
      </c>
      <c r="D9" s="1071">
        <v>30</v>
      </c>
      <c r="E9" s="1071">
        <v>30</v>
      </c>
      <c r="F9" s="1071">
        <v>32</v>
      </c>
      <c r="G9" s="1071">
        <v>32</v>
      </c>
      <c r="H9" s="1071">
        <v>38</v>
      </c>
      <c r="I9" s="1071">
        <v>38</v>
      </c>
    </row>
    <row r="10" spans="1:13">
      <c r="A10" s="1066" t="s">
        <v>974</v>
      </c>
      <c r="B10" s="1065">
        <v>36</v>
      </c>
      <c r="C10" s="1065">
        <v>12</v>
      </c>
      <c r="D10" s="1071">
        <v>30</v>
      </c>
      <c r="E10" s="1071">
        <v>15</v>
      </c>
      <c r="F10" s="1071">
        <v>32</v>
      </c>
      <c r="G10" s="1071">
        <v>15</v>
      </c>
      <c r="H10" s="1071">
        <v>38</v>
      </c>
      <c r="I10" s="1071">
        <v>15</v>
      </c>
    </row>
    <row r="11" spans="1:13">
      <c r="A11" s="1063" t="s">
        <v>973</v>
      </c>
      <c r="B11" s="1062" t="s">
        <v>1</v>
      </c>
      <c r="C11" s="1062">
        <f>C9-C10</f>
        <v>24</v>
      </c>
      <c r="D11" s="1070" t="s">
        <v>1</v>
      </c>
      <c r="E11" s="1062">
        <f>E9-E10</f>
        <v>15</v>
      </c>
      <c r="F11" s="1070" t="s">
        <v>1</v>
      </c>
      <c r="G11" s="1062">
        <f>G9-G10</f>
        <v>17</v>
      </c>
      <c r="H11" s="1070" t="s">
        <v>1</v>
      </c>
      <c r="I11" s="1062">
        <f>I9-I10</f>
        <v>23</v>
      </c>
    </row>
    <row r="12" spans="1:13">
      <c r="A12" s="1069" t="s">
        <v>976</v>
      </c>
      <c r="B12" s="1068"/>
      <c r="C12" s="1067"/>
      <c r="D12" s="1067"/>
      <c r="E12" s="1067"/>
      <c r="F12" s="1067"/>
      <c r="G12" s="1067"/>
      <c r="H12" s="1067"/>
      <c r="I12" s="1067"/>
    </row>
    <row r="13" spans="1:13">
      <c r="A13" s="1066" t="s">
        <v>975</v>
      </c>
      <c r="B13" s="1065">
        <v>34</v>
      </c>
      <c r="C13" s="1065">
        <v>53</v>
      </c>
      <c r="D13" s="1065">
        <v>17</v>
      </c>
      <c r="E13" s="1065">
        <v>17</v>
      </c>
      <c r="F13" s="1065">
        <v>15</v>
      </c>
      <c r="G13" s="1065">
        <v>15</v>
      </c>
      <c r="H13" s="1065">
        <v>15</v>
      </c>
      <c r="I13" s="1065">
        <v>15</v>
      </c>
    </row>
    <row r="14" spans="1:13">
      <c r="A14" s="1066" t="s">
        <v>974</v>
      </c>
      <c r="B14" s="1065">
        <v>34</v>
      </c>
      <c r="C14" s="1065">
        <v>53</v>
      </c>
      <c r="D14" s="1064">
        <v>17</v>
      </c>
      <c r="E14" s="1064">
        <v>17</v>
      </c>
      <c r="F14" s="1064">
        <v>15</v>
      </c>
      <c r="G14" s="1064">
        <v>15</v>
      </c>
      <c r="H14" s="1064">
        <v>15</v>
      </c>
      <c r="I14" s="1064">
        <v>15</v>
      </c>
    </row>
    <row r="15" spans="1:13">
      <c r="A15" s="1063" t="s">
        <v>973</v>
      </c>
      <c r="B15" s="1062" t="s">
        <v>1</v>
      </c>
      <c r="C15" s="1061" t="s">
        <v>1</v>
      </c>
      <c r="D15" s="1060" t="s">
        <v>1</v>
      </c>
      <c r="E15" s="1059" t="s">
        <v>1</v>
      </c>
      <c r="F15" s="1060" t="s">
        <v>1</v>
      </c>
      <c r="G15" s="1059" t="s">
        <v>1</v>
      </c>
      <c r="H15" s="1060" t="s">
        <v>1</v>
      </c>
      <c r="I15" s="1059" t="s">
        <v>1</v>
      </c>
    </row>
    <row r="16" spans="1:13">
      <c r="A16" s="1058" t="s">
        <v>972</v>
      </c>
      <c r="B16" s="1057">
        <f t="shared" ref="B16:I16" si="0">B6+B10+B14</f>
        <v>373</v>
      </c>
      <c r="C16" s="1057">
        <f t="shared" si="0"/>
        <v>205</v>
      </c>
      <c r="D16" s="1057">
        <f t="shared" si="0"/>
        <v>347</v>
      </c>
      <c r="E16" s="1057">
        <f t="shared" si="0"/>
        <v>232</v>
      </c>
      <c r="F16" s="1057">
        <f t="shared" si="0"/>
        <v>347</v>
      </c>
      <c r="G16" s="1057">
        <f t="shared" si="0"/>
        <v>230</v>
      </c>
      <c r="H16" s="1057">
        <f t="shared" si="0"/>
        <v>353</v>
      </c>
      <c r="I16" s="1057">
        <f t="shared" si="0"/>
        <v>230</v>
      </c>
    </row>
    <row r="17" spans="1:9">
      <c r="A17" s="1056" t="s">
        <v>971</v>
      </c>
      <c r="B17" s="1055" t="s">
        <v>1</v>
      </c>
      <c r="C17" s="1055">
        <f>C16-B16</f>
        <v>-168</v>
      </c>
      <c r="D17" s="1055" t="s">
        <v>1</v>
      </c>
      <c r="E17" s="1055">
        <f>E16-D16</f>
        <v>-115</v>
      </c>
      <c r="F17" s="1055" t="s">
        <v>1</v>
      </c>
      <c r="G17" s="1055">
        <f>G16-F16</f>
        <v>-117</v>
      </c>
      <c r="H17" s="1055" t="s">
        <v>1</v>
      </c>
      <c r="I17" s="1055">
        <f>I16-H16</f>
        <v>-123</v>
      </c>
    </row>
    <row r="18" spans="1:9">
      <c r="A18" s="941" t="s">
        <v>970</v>
      </c>
      <c r="B18" s="941"/>
      <c r="C18" s="941"/>
      <c r="D18" s="941"/>
      <c r="E18" s="941"/>
      <c r="F18" s="941"/>
      <c r="G18" s="941"/>
      <c r="H18" s="1737" t="s">
        <v>875</v>
      </c>
      <c r="I18" s="1737"/>
    </row>
    <row r="19" spans="1:9" ht="22.5" customHeight="1">
      <c r="A19" s="1735"/>
      <c r="B19" s="1735"/>
      <c r="C19" s="1735"/>
      <c r="D19" s="1735"/>
      <c r="E19" s="1735"/>
      <c r="F19" s="1735"/>
      <c r="G19" s="1735"/>
      <c r="H19" s="1735"/>
      <c r="I19" s="1735"/>
    </row>
  </sheetData>
  <mergeCells count="7">
    <mergeCell ref="A1:I1"/>
    <mergeCell ref="A19:I19"/>
    <mergeCell ref="B2:C2"/>
    <mergeCell ref="D2:E2"/>
    <mergeCell ref="F2:G2"/>
    <mergeCell ref="H2:I2"/>
    <mergeCell ref="H18:I18"/>
  </mergeCells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14"/>
  <sheetViews>
    <sheetView showGridLines="0" zoomScaleNormal="100" workbookViewId="0">
      <selection sqref="A1:N1"/>
    </sheetView>
  </sheetViews>
  <sheetFormatPr defaultRowHeight="15"/>
  <cols>
    <col min="1" max="1" width="5" style="758" customWidth="1"/>
    <col min="2" max="7" width="6.85546875" style="758" customWidth="1"/>
    <col min="8" max="10" width="7.85546875" style="758" customWidth="1"/>
    <col min="11" max="12" width="6.85546875" style="758" customWidth="1"/>
    <col min="13" max="13" width="6.85546875" style="794" customWidth="1"/>
    <col min="14" max="14" width="6.85546875" style="758" customWidth="1"/>
    <col min="15" max="15" width="8.42578125" style="758" bestFit="1" customWidth="1"/>
    <col min="16" max="16384" width="9.140625" style="758"/>
  </cols>
  <sheetData>
    <row r="1" spans="1:18">
      <c r="A1" s="1741" t="s">
        <v>318</v>
      </c>
      <c r="B1" s="1741"/>
      <c r="C1" s="1741"/>
      <c r="D1" s="1741"/>
      <c r="E1" s="1741"/>
      <c r="F1" s="1741"/>
      <c r="G1" s="1741"/>
      <c r="H1" s="1741"/>
      <c r="I1" s="1741"/>
      <c r="J1" s="1741"/>
      <c r="K1" s="1741"/>
      <c r="L1" s="1741"/>
      <c r="M1" s="1741"/>
      <c r="N1" s="1741"/>
    </row>
    <row r="2" spans="1:18" ht="46.5" customHeight="1">
      <c r="A2" s="1742" t="s">
        <v>1005</v>
      </c>
      <c r="B2" s="1738" t="s">
        <v>1004</v>
      </c>
      <c r="C2" s="1744"/>
      <c r="D2" s="1738" t="s">
        <v>1003</v>
      </c>
      <c r="E2" s="1744"/>
      <c r="F2" s="1738" t="s">
        <v>1002</v>
      </c>
      <c r="G2" s="1744"/>
      <c r="H2" s="1747" t="s">
        <v>1001</v>
      </c>
      <c r="I2" s="1747" t="s">
        <v>1000</v>
      </c>
      <c r="J2" s="1747" t="s">
        <v>999</v>
      </c>
      <c r="K2" s="1738" t="s">
        <v>998</v>
      </c>
      <c r="L2" s="1744"/>
      <c r="M2" s="1738" t="s">
        <v>997</v>
      </c>
      <c r="N2" s="1739"/>
      <c r="Q2" s="109"/>
      <c r="R2" s="109"/>
    </row>
    <row r="3" spans="1:18">
      <c r="A3" s="1743"/>
      <c r="B3" s="1745"/>
      <c r="C3" s="1746"/>
      <c r="D3" s="1745"/>
      <c r="E3" s="1746"/>
      <c r="F3" s="1745"/>
      <c r="G3" s="1746"/>
      <c r="H3" s="1748"/>
      <c r="I3" s="1748"/>
      <c r="J3" s="1748"/>
      <c r="K3" s="1105" t="s">
        <v>996</v>
      </c>
      <c r="L3" s="1106" t="s">
        <v>995</v>
      </c>
      <c r="M3" s="1105" t="s">
        <v>996</v>
      </c>
      <c r="N3" s="1104" t="s">
        <v>995</v>
      </c>
      <c r="Q3" s="109"/>
      <c r="R3" s="109"/>
    </row>
    <row r="4" spans="1:18" s="1099" customFormat="1">
      <c r="A4" s="1103"/>
      <c r="B4" s="1100" t="s">
        <v>993</v>
      </c>
      <c r="C4" s="1101" t="s">
        <v>238</v>
      </c>
      <c r="D4" s="1100" t="s">
        <v>993</v>
      </c>
      <c r="E4" s="1101" t="s">
        <v>238</v>
      </c>
      <c r="F4" s="1100" t="s">
        <v>993</v>
      </c>
      <c r="G4" s="1101" t="s">
        <v>238</v>
      </c>
      <c r="H4" s="1102" t="s">
        <v>994</v>
      </c>
      <c r="I4" s="1102" t="s">
        <v>994</v>
      </c>
      <c r="J4" s="1102" t="s">
        <v>238</v>
      </c>
      <c r="K4" s="1100" t="s">
        <v>238</v>
      </c>
      <c r="L4" s="1101" t="s">
        <v>238</v>
      </c>
      <c r="M4" s="1100" t="s">
        <v>993</v>
      </c>
      <c r="N4" s="1100" t="s">
        <v>993</v>
      </c>
      <c r="Q4" s="109"/>
      <c r="R4" s="109"/>
    </row>
    <row r="5" spans="1:18" ht="22.5">
      <c r="A5" s="1098">
        <v>1</v>
      </c>
      <c r="B5" s="1096">
        <v>2</v>
      </c>
      <c r="C5" s="1095" t="s">
        <v>992</v>
      </c>
      <c r="D5" s="1092">
        <v>4</v>
      </c>
      <c r="E5" s="1097" t="s">
        <v>991</v>
      </c>
      <c r="F5" s="1096">
        <v>6</v>
      </c>
      <c r="G5" s="1095" t="s">
        <v>990</v>
      </c>
      <c r="H5" s="1094">
        <v>8</v>
      </c>
      <c r="I5" s="1094" t="s">
        <v>989</v>
      </c>
      <c r="J5" s="1094" t="s">
        <v>988</v>
      </c>
      <c r="K5" s="1092">
        <v>11</v>
      </c>
      <c r="L5" s="1093" t="s">
        <v>987</v>
      </c>
      <c r="M5" s="1092">
        <v>13</v>
      </c>
      <c r="N5" s="1091" t="s">
        <v>986</v>
      </c>
    </row>
    <row r="6" spans="1:18">
      <c r="A6" s="1090">
        <v>2014</v>
      </c>
      <c r="B6" s="1088">
        <v>15.776586999999999</v>
      </c>
      <c r="C6" s="1087">
        <v>90.715375249999994</v>
      </c>
      <c r="D6" s="1088">
        <v>9.7490000000000006</v>
      </c>
      <c r="E6" s="1087">
        <v>57.577579759999999</v>
      </c>
      <c r="F6" s="1088">
        <v>20.918068999999999</v>
      </c>
      <c r="G6" s="1087">
        <v>120.27889675</v>
      </c>
      <c r="H6" s="1086">
        <v>5.75</v>
      </c>
      <c r="I6" s="1086">
        <v>2.5647110132965194</v>
      </c>
      <c r="J6" s="1085">
        <v>53.64880194119651</v>
      </c>
      <c r="K6" s="1084">
        <v>59.084004203060843</v>
      </c>
      <c r="L6" s="1083">
        <v>63.012782021864332</v>
      </c>
      <c r="M6" s="1084">
        <v>23.037295</v>
      </c>
      <c r="N6" s="1083">
        <v>27.644812999999999</v>
      </c>
    </row>
    <row r="7" spans="1:18">
      <c r="A7" s="1089">
        <v>2015</v>
      </c>
      <c r="B7" s="1088">
        <v>14.99</v>
      </c>
      <c r="C7" s="1087">
        <v>114.3227299321574</v>
      </c>
      <c r="D7" s="1088">
        <v>11.055</v>
      </c>
      <c r="E7" s="1087">
        <v>84.312060000000002</v>
      </c>
      <c r="F7" s="1088">
        <v>21.181215999999999</v>
      </c>
      <c r="G7" s="1087">
        <v>161.54065619764449</v>
      </c>
      <c r="H7" s="1086">
        <v>7.6265997286295795</v>
      </c>
      <c r="I7" s="1086">
        <v>2.2793708903679084</v>
      </c>
      <c r="J7" s="1085">
        <v>48.279847172994984</v>
      </c>
      <c r="K7" s="1084">
        <v>63.012782021864332</v>
      </c>
      <c r="L7" s="1083">
        <v>99.044994848869337</v>
      </c>
      <c r="M7" s="1084">
        <v>27.644812999999999</v>
      </c>
      <c r="N7" s="1083">
        <v>32.508597000000002</v>
      </c>
    </row>
    <row r="8" spans="1:18">
      <c r="A8" s="1089">
        <v>2016</v>
      </c>
      <c r="B8" s="1088">
        <v>14.484497769310197</v>
      </c>
      <c r="C8" s="1087">
        <v>76.57940313839191</v>
      </c>
      <c r="D8" s="1088">
        <v>12.310289266327089</v>
      </c>
      <c r="E8" s="1087">
        <v>65.084383282774766</v>
      </c>
      <c r="F8" s="1088">
        <v>21.182648499999999</v>
      </c>
      <c r="G8" s="1087">
        <v>111.99246289763525</v>
      </c>
      <c r="H8" s="1086">
        <v>5.2869905714403584</v>
      </c>
      <c r="I8" s="1086">
        <v>3.0467323720205255</v>
      </c>
      <c r="J8" s="1085">
        <v>64.537860910082031</v>
      </c>
      <c r="K8" s="1084">
        <v>99.044994848869337</v>
      </c>
      <c r="L8" s="1083">
        <v>99.591517221562071</v>
      </c>
      <c r="M8" s="1084">
        <v>32.508597000000002</v>
      </c>
      <c r="N8" s="1083">
        <v>38.120735535637287</v>
      </c>
    </row>
    <row r="9" spans="1:18">
      <c r="A9" s="1089">
        <v>2017</v>
      </c>
      <c r="B9" s="1088">
        <v>14.088526672977434</v>
      </c>
      <c r="C9" s="1087">
        <v>76.500699834267465</v>
      </c>
      <c r="D9" s="1088">
        <v>16.393277232178399</v>
      </c>
      <c r="E9" s="1087">
        <v>89.015495370728701</v>
      </c>
      <c r="F9" s="1088">
        <v>21.182648499999999</v>
      </c>
      <c r="G9" s="1087">
        <v>115.02178135499999</v>
      </c>
      <c r="H9" s="1086">
        <v>5.43</v>
      </c>
      <c r="I9" s="1086">
        <v>2.6125287411744358</v>
      </c>
      <c r="J9" s="1085">
        <v>55.340278020445545</v>
      </c>
      <c r="K9" s="1084">
        <v>99.591517221562071</v>
      </c>
      <c r="L9" s="1083">
        <v>133.26673457184521</v>
      </c>
      <c r="M9" s="1084">
        <v>38.120735535637287</v>
      </c>
      <c r="N9" s="1083">
        <v>47.419890940793124</v>
      </c>
    </row>
    <row r="10" spans="1:18">
      <c r="A10" s="1089">
        <v>2018</v>
      </c>
      <c r="B10" s="1088">
        <v>13.703620979587528</v>
      </c>
      <c r="C10" s="1087">
        <v>74.410661919160276</v>
      </c>
      <c r="D10" s="1088">
        <v>16.466603776582687</v>
      </c>
      <c r="E10" s="1087">
        <v>89.413658506843987</v>
      </c>
      <c r="F10" s="1088">
        <v>21.182648499999999</v>
      </c>
      <c r="G10" s="1087">
        <v>115.02178135499999</v>
      </c>
      <c r="H10" s="1086">
        <v>5.43</v>
      </c>
      <c r="I10" s="1086">
        <v>2.8103551469200454</v>
      </c>
      <c r="J10" s="1085">
        <v>59.530765237373181</v>
      </c>
      <c r="K10" s="1084">
        <v>133.26673457184521</v>
      </c>
      <c r="L10" s="1083">
        <v>163.149627841316</v>
      </c>
      <c r="M10" s="1084">
        <v>47.419890940793124</v>
      </c>
      <c r="N10" s="1083">
        <v>56.407467196963339</v>
      </c>
    </row>
    <row r="11" spans="1:18">
      <c r="A11" s="1082">
        <v>2019</v>
      </c>
      <c r="B11" s="1081">
        <v>13.331954677822477</v>
      </c>
      <c r="C11" s="1080">
        <v>72.392513900576034</v>
      </c>
      <c r="D11" s="1081">
        <v>16.567905752243512</v>
      </c>
      <c r="E11" s="1080">
        <v>89.963728234682279</v>
      </c>
      <c r="F11" s="1081">
        <v>21.182648499999999</v>
      </c>
      <c r="G11" s="1080">
        <v>115.02178135499999</v>
      </c>
      <c r="H11" s="1079">
        <v>5.43</v>
      </c>
      <c r="I11" s="1079">
        <v>2.8923409603134789</v>
      </c>
      <c r="J11" s="1078">
        <v>61.267441904472875</v>
      </c>
      <c r="K11" s="1077">
        <v>163.149627841316</v>
      </c>
      <c r="L11" s="1076">
        <v>191.84591417152541</v>
      </c>
      <c r="M11" s="1077">
        <v>56.407467196963339</v>
      </c>
      <c r="N11" s="1076">
        <v>65.124679127029324</v>
      </c>
    </row>
    <row r="12" spans="1:18">
      <c r="A12" s="857"/>
      <c r="J12" s="1740" t="s">
        <v>985</v>
      </c>
      <c r="K12" s="1740"/>
      <c r="L12" s="1740"/>
      <c r="M12" s="1740"/>
      <c r="N12" s="1740"/>
    </row>
    <row r="14" spans="1:18">
      <c r="A14" s="1075"/>
      <c r="B14" s="1074"/>
    </row>
  </sheetData>
  <mergeCells count="11">
    <mergeCell ref="M2:N2"/>
    <mergeCell ref="J12:N12"/>
    <mergeCell ref="A1:N1"/>
    <mergeCell ref="A2:A3"/>
    <mergeCell ref="B2:C3"/>
    <mergeCell ref="D2:E3"/>
    <mergeCell ref="F2:G3"/>
    <mergeCell ref="H2:H3"/>
    <mergeCell ref="I2:I3"/>
    <mergeCell ref="J2:J3"/>
    <mergeCell ref="K2:L2"/>
  </mergeCells>
  <pageMargins left="0.25" right="0.25" top="0.75" bottom="0.75" header="0.3" footer="0.3"/>
  <pageSetup paperSize="9" orientation="landscape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"/>
  <sheetViews>
    <sheetView showGridLines="0" workbookViewId="0">
      <selection sqref="A1:E1"/>
    </sheetView>
  </sheetViews>
  <sheetFormatPr defaultRowHeight="15"/>
  <cols>
    <col min="1" max="1" width="43.28515625" style="758" customWidth="1"/>
    <col min="2" max="16384" width="9.140625" style="758"/>
  </cols>
  <sheetData>
    <row r="1" spans="1:9">
      <c r="A1" s="1749" t="s">
        <v>1009</v>
      </c>
      <c r="B1" s="1749"/>
      <c r="C1" s="1749"/>
      <c r="D1" s="1749"/>
      <c r="E1" s="1749"/>
    </row>
    <row r="2" spans="1:9">
      <c r="A2" s="1110"/>
      <c r="B2" s="1110">
        <v>2016</v>
      </c>
      <c r="C2" s="1110">
        <v>2017</v>
      </c>
      <c r="D2" s="1110">
        <v>2018</v>
      </c>
      <c r="E2" s="1110">
        <v>2019</v>
      </c>
      <c r="H2" s="109"/>
      <c r="I2" s="109"/>
    </row>
    <row r="3" spans="1:9">
      <c r="A3" s="898" t="s">
        <v>1008</v>
      </c>
      <c r="B3" s="1109">
        <v>94.364999999999995</v>
      </c>
      <c r="C3" s="1109">
        <v>116.65900000000001</v>
      </c>
      <c r="D3" s="1109">
        <v>116.65900000000001</v>
      </c>
      <c r="E3" s="1109">
        <v>116.65900000000001</v>
      </c>
      <c r="H3" s="109"/>
      <c r="I3" s="109"/>
    </row>
    <row r="4" spans="1:9">
      <c r="A4" s="898" t="s">
        <v>1007</v>
      </c>
      <c r="B4" s="1108">
        <v>64.537860910082031</v>
      </c>
      <c r="C4" s="1108">
        <v>55.340278020445545</v>
      </c>
      <c r="D4" s="1108">
        <v>59.530765237373181</v>
      </c>
      <c r="E4" s="1108">
        <v>61.267441904472875</v>
      </c>
      <c r="H4" s="109"/>
      <c r="I4" s="109"/>
    </row>
    <row r="5" spans="1:9">
      <c r="A5" s="921" t="s">
        <v>1006</v>
      </c>
      <c r="B5" s="1107">
        <f>B4-B3</f>
        <v>-29.827139089917964</v>
      </c>
      <c r="C5" s="1107">
        <f>C4-C3</f>
        <v>-61.318721979554461</v>
      </c>
      <c r="D5" s="1107">
        <f>D4-D3</f>
        <v>-57.128234762626825</v>
      </c>
      <c r="E5" s="1107">
        <f>E4-E3</f>
        <v>-55.391558095527131</v>
      </c>
    </row>
    <row r="6" spans="1:9">
      <c r="A6" s="898"/>
      <c r="B6" s="898"/>
      <c r="C6" s="898"/>
      <c r="D6" s="1750" t="s">
        <v>875</v>
      </c>
      <c r="E6" s="1750"/>
    </row>
  </sheetData>
  <mergeCells count="2">
    <mergeCell ref="A1:E1"/>
    <mergeCell ref="D6:E6"/>
  </mergeCells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9"/>
  <sheetViews>
    <sheetView showGridLines="0" workbookViewId="0">
      <selection sqref="A1:I1"/>
    </sheetView>
  </sheetViews>
  <sheetFormatPr defaultColWidth="9.140625" defaultRowHeight="15"/>
  <cols>
    <col min="1" max="1" width="35" style="1111" customWidth="1"/>
    <col min="2" max="9" width="8" style="1111" customWidth="1"/>
    <col min="10" max="16384" width="9.140625" style="1111"/>
  </cols>
  <sheetData>
    <row r="1" spans="1:12" ht="15" customHeight="1">
      <c r="A1" s="1751" t="s">
        <v>1014</v>
      </c>
      <c r="B1" s="1751"/>
      <c r="C1" s="1751"/>
      <c r="D1" s="1751"/>
      <c r="E1" s="1751"/>
      <c r="F1" s="1751"/>
      <c r="G1" s="1751"/>
      <c r="H1" s="1751"/>
      <c r="I1" s="1751"/>
    </row>
    <row r="2" spans="1:12" s="1112" customFormat="1" ht="15" customHeight="1">
      <c r="A2" s="1123"/>
      <c r="B2" s="1122">
        <v>2008</v>
      </c>
      <c r="C2" s="1122">
        <v>2009</v>
      </c>
      <c r="D2" s="1122">
        <v>2010</v>
      </c>
      <c r="E2" s="1122">
        <v>2011</v>
      </c>
      <c r="F2" s="1122">
        <v>2012</v>
      </c>
      <c r="G2" s="1122">
        <v>2013</v>
      </c>
      <c r="H2" s="1122">
        <v>2014</v>
      </c>
      <c r="I2" s="1122">
        <v>2015</v>
      </c>
      <c r="K2" s="109"/>
      <c r="L2" s="109"/>
    </row>
    <row r="3" spans="1:12" s="1112" customFormat="1" ht="15" customHeight="1">
      <c r="A3" s="1112" t="s">
        <v>1013</v>
      </c>
      <c r="B3" s="779">
        <v>3159.6959999999999</v>
      </c>
      <c r="C3" s="779">
        <v>3285.4580000000001</v>
      </c>
      <c r="D3" s="779">
        <v>3481.9090000000001</v>
      </c>
      <c r="E3" s="779">
        <v>3392.87</v>
      </c>
      <c r="F3" s="779">
        <v>3501.51</v>
      </c>
      <c r="G3" s="779">
        <v>3664.453</v>
      </c>
      <c r="H3" s="779">
        <v>3846.3739999999998</v>
      </c>
      <c r="I3" s="779">
        <v>3992.864</v>
      </c>
      <c r="K3" s="109"/>
      <c r="L3" s="109"/>
    </row>
    <row r="4" spans="1:12" s="1112" customFormat="1" ht="15" customHeight="1">
      <c r="A4" s="1112" t="s">
        <v>1012</v>
      </c>
      <c r="B4" s="1121" t="s">
        <v>1</v>
      </c>
      <c r="C4" s="1120">
        <f t="shared" ref="C4:I4" si="0">C3/B3-1</f>
        <v>3.9801930312283185E-2</v>
      </c>
      <c r="D4" s="1120">
        <f t="shared" si="0"/>
        <v>5.9794098722309119E-2</v>
      </c>
      <c r="E4" s="1120">
        <f t="shared" si="0"/>
        <v>-2.5571891740996167E-2</v>
      </c>
      <c r="F4" s="1120">
        <f t="shared" si="0"/>
        <v>3.2020089187030587E-2</v>
      </c>
      <c r="G4" s="1120">
        <f t="shared" si="0"/>
        <v>4.6535066299967731E-2</v>
      </c>
      <c r="H4" s="1120">
        <f t="shared" si="0"/>
        <v>4.9644790095547675E-2</v>
      </c>
      <c r="I4" s="1120">
        <f t="shared" si="0"/>
        <v>3.8085220002007203E-2</v>
      </c>
      <c r="J4" s="1119"/>
      <c r="K4" s="109"/>
      <c r="L4" s="109"/>
    </row>
    <row r="5" spans="1:12" s="1112" customFormat="1" ht="15" customHeight="1">
      <c r="A5" s="1112" t="s">
        <v>1011</v>
      </c>
      <c r="B5" s="779">
        <v>-48.136150000000001</v>
      </c>
      <c r="C5" s="779">
        <v>20.142578999999898</v>
      </c>
      <c r="D5" s="779">
        <v>-108.556588</v>
      </c>
      <c r="E5" s="779">
        <f>(244850.724-350000+1447)/1000</f>
        <v>-103.70227600000001</v>
      </c>
      <c r="F5" s="779">
        <f>(-73741.605+1374)/1000</f>
        <v>-72.367604999999998</v>
      </c>
      <c r="G5" s="779">
        <v>-30.198</v>
      </c>
      <c r="H5" s="779">
        <v>-61.935000000000002</v>
      </c>
      <c r="I5" s="779">
        <f>-72.517+3.144+1.64</f>
        <v>-67.73299999999999</v>
      </c>
      <c r="K5" s="758"/>
      <c r="L5" s="758"/>
    </row>
    <row r="6" spans="1:12" s="1112" customFormat="1" ht="15" customHeight="1">
      <c r="A6" s="1118" t="s">
        <v>185</v>
      </c>
      <c r="B6" s="1117">
        <f t="shared" ref="B6:I6" si="1">B5/B9*100</f>
        <v>-7.0280370147580137E-2</v>
      </c>
      <c r="C6" s="1117">
        <f t="shared" si="1"/>
        <v>3.1461424079746059E-2</v>
      </c>
      <c r="D6" s="1117">
        <f t="shared" si="1"/>
        <v>-0.16064061156630999</v>
      </c>
      <c r="E6" s="1117">
        <f t="shared" si="1"/>
        <v>-0.14683050722667756</v>
      </c>
      <c r="F6" s="1117">
        <f t="shared" si="1"/>
        <v>-9.9537993356578439E-2</v>
      </c>
      <c r="G6" s="1117">
        <f t="shared" si="1"/>
        <v>-4.0714629519522073E-2</v>
      </c>
      <c r="H6" s="1117">
        <f t="shared" si="1"/>
        <v>-8.1550935923230081E-2</v>
      </c>
      <c r="I6" s="1117">
        <f t="shared" si="1"/>
        <v>-8.6080553493904838E-2</v>
      </c>
    </row>
    <row r="7" spans="1:12" s="1112" customFormat="1" ht="15" customHeight="1">
      <c r="A7" s="1116" t="s">
        <v>1010</v>
      </c>
      <c r="H7" s="1115"/>
      <c r="I7" s="1114" t="s">
        <v>620</v>
      </c>
    </row>
    <row r="8" spans="1:12" s="1112" customFormat="1" ht="15" customHeight="1">
      <c r="B8" s="1113"/>
      <c r="C8" s="1113"/>
      <c r="D8" s="1113"/>
      <c r="E8" s="1113"/>
      <c r="F8" s="1113"/>
      <c r="G8" s="1113"/>
      <c r="H8" s="1113"/>
      <c r="I8" s="1113"/>
    </row>
    <row r="9" spans="1:12">
      <c r="A9" s="1112" t="s">
        <v>753</v>
      </c>
      <c r="B9" s="779">
        <v>68491.600000000006</v>
      </c>
      <c r="C9" s="779">
        <v>64023.1</v>
      </c>
      <c r="D9" s="779">
        <v>67577.3</v>
      </c>
      <c r="E9" s="779">
        <v>70627.199999999997</v>
      </c>
      <c r="F9" s="779">
        <v>72703.5</v>
      </c>
      <c r="G9" s="779">
        <v>74169.899999999994</v>
      </c>
      <c r="H9" s="779">
        <v>75946.399999999994</v>
      </c>
      <c r="I9" s="779">
        <v>78685.600000000006</v>
      </c>
    </row>
  </sheetData>
  <mergeCells count="1">
    <mergeCell ref="A1:I1"/>
  </mergeCells>
  <pageMargins left="0.7" right="0.7" top="0.75" bottom="0.75" header="0.3" footer="0.3"/>
  <pageSetup orientation="portrait" verticalDpi="300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5"/>
  <sheetViews>
    <sheetView showGridLines="0" workbookViewId="0">
      <selection sqref="A1:F1"/>
    </sheetView>
  </sheetViews>
  <sheetFormatPr defaultRowHeight="15"/>
  <cols>
    <col min="1" max="1" width="49.7109375" style="758" customWidth="1"/>
    <col min="2" max="8" width="7.85546875" style="758" customWidth="1"/>
    <col min="9" max="16384" width="9.140625" style="758"/>
  </cols>
  <sheetData>
    <row r="1" spans="1:12">
      <c r="A1" s="1752" t="s">
        <v>1034</v>
      </c>
      <c r="B1" s="1752"/>
      <c r="C1" s="1752"/>
      <c r="D1" s="1752"/>
      <c r="E1" s="1752"/>
      <c r="F1" s="1752"/>
      <c r="G1" s="1140"/>
      <c r="H1" s="1140"/>
    </row>
    <row r="2" spans="1:12">
      <c r="A2" s="1139"/>
      <c r="B2" s="1138" t="s">
        <v>172</v>
      </c>
      <c r="C2" s="1138" t="s">
        <v>173</v>
      </c>
      <c r="D2" s="1136" t="s">
        <v>174</v>
      </c>
      <c r="E2" s="1137" t="s">
        <v>175</v>
      </c>
      <c r="F2" s="1136" t="s">
        <v>176</v>
      </c>
      <c r="G2" s="1135" t="s">
        <v>177</v>
      </c>
      <c r="H2" s="1135" t="s">
        <v>178</v>
      </c>
      <c r="K2" s="109"/>
      <c r="L2" s="109"/>
    </row>
    <row r="3" spans="1:12">
      <c r="A3" s="1130" t="s">
        <v>1033</v>
      </c>
      <c r="B3" s="1112"/>
      <c r="C3" s="1112"/>
      <c r="D3" s="1112"/>
      <c r="E3" s="1112"/>
      <c r="F3" s="1112"/>
      <c r="G3" s="1112"/>
      <c r="H3" s="1112"/>
      <c r="K3" s="109"/>
      <c r="L3" s="109"/>
    </row>
    <row r="4" spans="1:12">
      <c r="A4" s="1129" t="s">
        <v>1032</v>
      </c>
      <c r="B4" s="1128">
        <v>29825</v>
      </c>
      <c r="C4" s="1128">
        <f t="shared" ref="C4:H4" si="0">B11</f>
        <v>469046</v>
      </c>
      <c r="D4" s="1128">
        <f t="shared" si="0"/>
        <v>478059.15899999999</v>
      </c>
      <c r="E4" s="1128">
        <f t="shared" si="0"/>
        <v>337837.54399999999</v>
      </c>
      <c r="F4" s="1128">
        <f t="shared" si="0"/>
        <v>335693.35399999999</v>
      </c>
      <c r="G4" s="1128">
        <f t="shared" si="0"/>
        <v>233786.54699999999</v>
      </c>
      <c r="H4" s="1128">
        <f t="shared" si="0"/>
        <v>220932.997</v>
      </c>
      <c r="K4" s="109"/>
      <c r="L4" s="109"/>
    </row>
    <row r="5" spans="1:12">
      <c r="A5" s="1112" t="s">
        <v>1031</v>
      </c>
      <c r="B5" s="1113">
        <v>-29825</v>
      </c>
      <c r="C5" s="1112">
        <v>0</v>
      </c>
      <c r="D5" s="1112">
        <v>0</v>
      </c>
      <c r="E5" s="1112">
        <v>0</v>
      </c>
      <c r="F5" s="1112">
        <v>0</v>
      </c>
      <c r="G5" s="1112">
        <v>0</v>
      </c>
      <c r="H5" s="1112">
        <v>0</v>
      </c>
    </row>
    <row r="6" spans="1:12">
      <c r="A6" s="1112" t="s">
        <v>1023</v>
      </c>
      <c r="B6" s="1113">
        <v>469046</v>
      </c>
      <c r="C6" s="1113">
        <v>16238</v>
      </c>
      <c r="D6" s="1113">
        <v>39278.385000000002</v>
      </c>
      <c r="E6" s="1113">
        <v>47855.81</v>
      </c>
      <c r="F6" s="1113">
        <v>46498.192999999999</v>
      </c>
      <c r="G6" s="1113">
        <v>2261.902</v>
      </c>
      <c r="H6" s="1113">
        <v>3510.136</v>
      </c>
    </row>
    <row r="7" spans="1:12">
      <c r="A7" s="1112" t="s">
        <v>1030</v>
      </c>
      <c r="B7" s="1113">
        <v>0</v>
      </c>
      <c r="C7" s="1113">
        <v>0</v>
      </c>
      <c r="D7" s="1113">
        <v>-179500</v>
      </c>
      <c r="E7" s="1113">
        <v>0</v>
      </c>
      <c r="F7" s="1113">
        <v>-87405</v>
      </c>
      <c r="G7" s="1113">
        <v>0</v>
      </c>
      <c r="H7" s="1113">
        <v>0</v>
      </c>
    </row>
    <row r="8" spans="1:12">
      <c r="A8" s="1112" t="s">
        <v>1029</v>
      </c>
      <c r="B8" s="1113">
        <v>0</v>
      </c>
      <c r="C8" s="1113">
        <v>0</v>
      </c>
      <c r="D8" s="1113">
        <v>0</v>
      </c>
      <c r="E8" s="1113">
        <v>-50000</v>
      </c>
      <c r="F8" s="1113">
        <v>-61000</v>
      </c>
      <c r="G8" s="1113">
        <v>0</v>
      </c>
      <c r="H8" s="1113">
        <v>0</v>
      </c>
    </row>
    <row r="9" spans="1:12">
      <c r="A9" s="1112" t="s">
        <v>1028</v>
      </c>
      <c r="B9" s="1113">
        <v>0</v>
      </c>
      <c r="C9" s="1113">
        <v>0</v>
      </c>
      <c r="D9" s="1113">
        <v>0</v>
      </c>
      <c r="E9" s="1113">
        <v>0</v>
      </c>
      <c r="F9" s="1113">
        <v>0</v>
      </c>
      <c r="G9" s="1113">
        <v>-15115.451999999999</v>
      </c>
      <c r="H9" s="1113">
        <v>0</v>
      </c>
    </row>
    <row r="10" spans="1:12">
      <c r="A10" s="1112" t="s">
        <v>1019</v>
      </c>
      <c r="B10" s="1112">
        <v>0</v>
      </c>
      <c r="C10" s="1113">
        <v>-7224.8410000000149</v>
      </c>
      <c r="D10" s="1112">
        <v>0</v>
      </c>
      <c r="E10" s="1112">
        <v>0</v>
      </c>
      <c r="F10" s="1112">
        <v>0</v>
      </c>
      <c r="G10" s="1112">
        <v>0</v>
      </c>
      <c r="H10" s="1112">
        <v>0</v>
      </c>
    </row>
    <row r="11" spans="1:12">
      <c r="A11" s="1127" t="s">
        <v>1027</v>
      </c>
      <c r="B11" s="1126">
        <f t="shared" ref="B11:H11" si="1">B4+SUM(B5:B10)</f>
        <v>469046</v>
      </c>
      <c r="C11" s="1126">
        <f t="shared" si="1"/>
        <v>478059.15899999999</v>
      </c>
      <c r="D11" s="1126">
        <f t="shared" si="1"/>
        <v>337837.54399999999</v>
      </c>
      <c r="E11" s="1126">
        <f t="shared" si="1"/>
        <v>335693.35399999999</v>
      </c>
      <c r="F11" s="1126">
        <f t="shared" si="1"/>
        <v>233786.54699999999</v>
      </c>
      <c r="G11" s="1126">
        <f t="shared" si="1"/>
        <v>220932.997</v>
      </c>
      <c r="H11" s="1126">
        <f t="shared" si="1"/>
        <v>224443.133</v>
      </c>
      <c r="J11" s="795"/>
    </row>
    <row r="12" spans="1:12">
      <c r="A12" s="1134" t="s">
        <v>1026</v>
      </c>
      <c r="B12" s="1134">
        <v>0</v>
      </c>
      <c r="C12" s="1134">
        <v>0</v>
      </c>
      <c r="D12" s="1133">
        <v>-11738</v>
      </c>
      <c r="E12" s="1133">
        <v>-25806.524000000001</v>
      </c>
      <c r="F12" s="1133">
        <v>-19357.143</v>
      </c>
      <c r="G12" s="1133">
        <v>-26250</v>
      </c>
      <c r="H12" s="1133">
        <f>139318-183750</f>
        <v>-44432</v>
      </c>
    </row>
    <row r="13" spans="1:12">
      <c r="A13" s="1112"/>
      <c r="B13" s="1112"/>
      <c r="C13" s="1132"/>
      <c r="D13" s="1132"/>
      <c r="E13" s="1132"/>
      <c r="F13" s="1131"/>
      <c r="G13" s="1131"/>
      <c r="H13" s="1131"/>
    </row>
    <row r="14" spans="1:12">
      <c r="A14" s="1130" t="s">
        <v>1025</v>
      </c>
      <c r="B14" s="1112"/>
      <c r="C14" s="1112"/>
      <c r="D14" s="1112"/>
      <c r="E14" s="1112"/>
      <c r="F14" s="1112"/>
      <c r="G14" s="1112"/>
      <c r="H14" s="1112"/>
    </row>
    <row r="15" spans="1:12">
      <c r="A15" s="1129" t="s">
        <v>1024</v>
      </c>
      <c r="B15" s="1128">
        <v>-39915.671000000002</v>
      </c>
      <c r="C15" s="1128">
        <f t="shared" ref="C15:H15" si="2">B21</f>
        <v>-56432.303000000007</v>
      </c>
      <c r="D15" s="1128">
        <f t="shared" si="2"/>
        <v>-58697.303000000007</v>
      </c>
      <c r="E15" s="1128">
        <f t="shared" si="2"/>
        <v>-49696.918000000005</v>
      </c>
      <c r="F15" s="1128">
        <f t="shared" si="2"/>
        <v>-35512.995000000003</v>
      </c>
      <c r="G15" s="1128">
        <f t="shared" si="2"/>
        <v>19391.635999999991</v>
      </c>
      <c r="H15" s="1128">
        <f t="shared" si="2"/>
        <v>-713.60400000001027</v>
      </c>
    </row>
    <row r="16" spans="1:12">
      <c r="A16" s="1112" t="s">
        <v>1023</v>
      </c>
      <c r="B16" s="1113">
        <v>-16513</v>
      </c>
      <c r="C16" s="1113">
        <v>-2265</v>
      </c>
      <c r="D16" s="1113">
        <v>9000.3850000000002</v>
      </c>
      <c r="E16" s="1113">
        <v>15984</v>
      </c>
      <c r="F16" s="1113">
        <v>6605.3289999999997</v>
      </c>
      <c r="G16" s="1113">
        <v>-8926.4590000000007</v>
      </c>
      <c r="H16" s="1113">
        <v>-1776.4359999999999</v>
      </c>
    </row>
    <row r="17" spans="1:8">
      <c r="A17" s="1112" t="s">
        <v>1022</v>
      </c>
      <c r="B17" s="1113">
        <v>0</v>
      </c>
      <c r="C17" s="1113">
        <v>0</v>
      </c>
      <c r="D17" s="1113">
        <v>0</v>
      </c>
      <c r="E17" s="1113">
        <v>0</v>
      </c>
      <c r="F17" s="1113">
        <v>68516</v>
      </c>
      <c r="G17" s="1113">
        <v>0</v>
      </c>
      <c r="H17" s="1113">
        <v>0</v>
      </c>
    </row>
    <row r="18" spans="1:8">
      <c r="A18" s="1112" t="s">
        <v>1021</v>
      </c>
      <c r="B18" s="1113">
        <v>0</v>
      </c>
      <c r="C18" s="1113">
        <v>0</v>
      </c>
      <c r="D18" s="1113">
        <v>0</v>
      </c>
      <c r="E18" s="1113">
        <v>0</v>
      </c>
      <c r="F18" s="1113">
        <v>-17019.842000000001</v>
      </c>
      <c r="G18" s="1113">
        <v>-11178.781000000001</v>
      </c>
      <c r="H18" s="1113">
        <v>0</v>
      </c>
    </row>
    <row r="19" spans="1:8">
      <c r="A19" s="1112" t="s">
        <v>1020</v>
      </c>
      <c r="B19" s="1113">
        <v>0</v>
      </c>
      <c r="C19" s="1113">
        <v>0</v>
      </c>
      <c r="D19" s="1113">
        <v>0</v>
      </c>
      <c r="E19" s="1113">
        <v>-1800.077</v>
      </c>
      <c r="F19" s="1113">
        <v>-3196.8560000000002</v>
      </c>
      <c r="G19" s="1113">
        <v>0</v>
      </c>
      <c r="H19" s="1113">
        <v>0</v>
      </c>
    </row>
    <row r="20" spans="1:8">
      <c r="A20" s="1112" t="s">
        <v>1019</v>
      </c>
      <c r="B20" s="1113">
        <v>-3.6320000000050072</v>
      </c>
      <c r="C20" s="1113">
        <v>0</v>
      </c>
      <c r="D20" s="1113">
        <v>0</v>
      </c>
      <c r="E20" s="1113">
        <v>0</v>
      </c>
      <c r="F20" s="1113">
        <v>0</v>
      </c>
      <c r="G20" s="1113">
        <v>0</v>
      </c>
      <c r="H20" s="1113">
        <v>0</v>
      </c>
    </row>
    <row r="21" spans="1:8">
      <c r="A21" s="1127" t="s">
        <v>1018</v>
      </c>
      <c r="B21" s="1126">
        <f t="shared" ref="B21:H21" si="3">B15+SUM(B16:B20)</f>
        <v>-56432.303000000007</v>
      </c>
      <c r="C21" s="1126">
        <f t="shared" si="3"/>
        <v>-58697.303000000007</v>
      </c>
      <c r="D21" s="1126">
        <f t="shared" si="3"/>
        <v>-49696.918000000005</v>
      </c>
      <c r="E21" s="1126">
        <f t="shared" si="3"/>
        <v>-35512.995000000003</v>
      </c>
      <c r="F21" s="1126">
        <f t="shared" si="3"/>
        <v>19391.635999999991</v>
      </c>
      <c r="G21" s="1126">
        <f t="shared" si="3"/>
        <v>-713.60400000001027</v>
      </c>
      <c r="H21" s="1126">
        <f t="shared" si="3"/>
        <v>-2490.04000000001</v>
      </c>
    </row>
    <row r="22" spans="1:8">
      <c r="A22" s="1125" t="s">
        <v>1017</v>
      </c>
      <c r="B22" s="1125"/>
      <c r="C22" s="1753" t="s">
        <v>1016</v>
      </c>
      <c r="D22" s="1753"/>
      <c r="E22" s="1753"/>
      <c r="F22" s="1753"/>
      <c r="G22" s="1753"/>
      <c r="H22" s="1753"/>
    </row>
    <row r="23" spans="1:8">
      <c r="A23" s="1125" t="s">
        <v>1015</v>
      </c>
      <c r="B23" s="1112"/>
      <c r="C23" s="1112"/>
      <c r="D23" s="1112"/>
      <c r="E23" s="1113"/>
      <c r="F23" s="1112"/>
      <c r="G23" s="1112"/>
      <c r="H23" s="1112"/>
    </row>
    <row r="25" spans="1:8">
      <c r="H25" s="1124"/>
    </row>
  </sheetData>
  <mergeCells count="2">
    <mergeCell ref="A1:F1"/>
    <mergeCell ref="C22:H22"/>
  </mergeCells>
  <pageMargins left="0.7" right="0.7" top="0.75" bottom="0.75" header="0.3" footer="0.3"/>
  <pageSetup paperSize="9" orientation="portrait" verticalDpi="0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24"/>
  <sheetViews>
    <sheetView showGridLines="0" workbookViewId="0">
      <selection sqref="A1:E1"/>
    </sheetView>
  </sheetViews>
  <sheetFormatPr defaultColWidth="9.140625" defaultRowHeight="15"/>
  <cols>
    <col min="1" max="1" width="46" style="1111" customWidth="1"/>
    <col min="2" max="5" width="7.7109375" style="1111" customWidth="1"/>
    <col min="6" max="16384" width="9.140625" style="1111"/>
  </cols>
  <sheetData>
    <row r="1" spans="1:9">
      <c r="A1" s="1754" t="s">
        <v>1045</v>
      </c>
      <c r="B1" s="1754"/>
      <c r="C1" s="1754"/>
      <c r="D1" s="1754"/>
      <c r="E1" s="1754"/>
    </row>
    <row r="2" spans="1:9">
      <c r="A2" s="1123"/>
      <c r="B2" s="1123">
        <v>2016</v>
      </c>
      <c r="C2" s="1123">
        <v>2017</v>
      </c>
      <c r="D2" s="1123">
        <v>2018</v>
      </c>
      <c r="E2" s="1123">
        <v>2019</v>
      </c>
      <c r="H2" s="109"/>
      <c r="I2" s="109"/>
    </row>
    <row r="3" spans="1:9">
      <c r="A3" s="1755" t="s">
        <v>1044</v>
      </c>
      <c r="B3" s="1755"/>
      <c r="C3" s="1755"/>
      <c r="D3" s="1755"/>
      <c r="E3" s="1755"/>
      <c r="H3" s="109"/>
      <c r="I3" s="109"/>
    </row>
    <row r="4" spans="1:9">
      <c r="A4" s="1147" t="s">
        <v>1013</v>
      </c>
      <c r="B4" s="779">
        <v>4168.277</v>
      </c>
      <c r="C4" s="779">
        <v>4221.8819999999996</v>
      </c>
      <c r="D4" s="779">
        <v>4436.5529999999999</v>
      </c>
      <c r="E4" s="779">
        <v>4677.2079999999996</v>
      </c>
      <c r="G4" s="1152"/>
      <c r="H4" s="109"/>
      <c r="I4" s="109"/>
    </row>
    <row r="5" spans="1:9">
      <c r="A5" s="1150" t="s">
        <v>1041</v>
      </c>
      <c r="B5" s="1146">
        <v>-19.722999999999999</v>
      </c>
      <c r="C5" s="1146">
        <f>-1.169</f>
        <v>-1.169</v>
      </c>
      <c r="D5" s="1146">
        <f>3.741</f>
        <v>3.7410000000000001</v>
      </c>
      <c r="E5" s="1146">
        <f>5.461</f>
        <v>5.4610000000000003</v>
      </c>
      <c r="H5" s="758"/>
      <c r="I5" s="758"/>
    </row>
    <row r="6" spans="1:9">
      <c r="A6" s="1150" t="s">
        <v>1043</v>
      </c>
      <c r="B6" s="1146">
        <v>-15.135</v>
      </c>
      <c r="C6" s="1146">
        <v>-24.257999999999999</v>
      </c>
      <c r="D6" s="1146">
        <v>-26.683</v>
      </c>
      <c r="E6" s="1146">
        <v>-26.683</v>
      </c>
    </row>
    <row r="7" spans="1:9">
      <c r="A7" s="1145" t="s">
        <v>1040</v>
      </c>
      <c r="B7" s="1151">
        <v>46.113999999999997</v>
      </c>
      <c r="C7" s="1151">
        <v>22.614000000000001</v>
      </c>
      <c r="D7" s="1151">
        <v>22.614000000000001</v>
      </c>
      <c r="E7" s="1151">
        <v>22.614000000000001</v>
      </c>
    </row>
    <row r="8" spans="1:9">
      <c r="A8" s="1755" t="s">
        <v>1042</v>
      </c>
      <c r="B8" s="1755"/>
      <c r="C8" s="1755"/>
      <c r="D8" s="1755"/>
      <c r="E8" s="1755"/>
    </row>
    <row r="9" spans="1:9">
      <c r="A9" s="1147" t="s">
        <v>1013</v>
      </c>
      <c r="B9" s="779">
        <v>4215.8075959166508</v>
      </c>
      <c r="C9" s="779">
        <v>4359.1385247150192</v>
      </c>
      <c r="D9" s="779">
        <v>4507.3424831009097</v>
      </c>
      <c r="E9" s="779">
        <v>4660.585146532927</v>
      </c>
    </row>
    <row r="10" spans="1:9">
      <c r="A10" s="1150" t="s">
        <v>1041</v>
      </c>
      <c r="B10" s="779">
        <v>-70.035817094808365</v>
      </c>
      <c r="C10" s="779">
        <v>-72.416926404226189</v>
      </c>
      <c r="D10" s="779">
        <v>-74.878989742290827</v>
      </c>
      <c r="E10" s="779">
        <v>-77.424759420594299</v>
      </c>
      <c r="G10" s="1149"/>
    </row>
    <row r="11" spans="1:9">
      <c r="A11" s="1145" t="s">
        <v>1040</v>
      </c>
      <c r="B11" s="1144">
        <v>50.1</v>
      </c>
      <c r="C11" s="1144">
        <v>50</v>
      </c>
      <c r="D11" s="1144">
        <v>50</v>
      </c>
      <c r="E11" s="1144">
        <v>50</v>
      </c>
    </row>
    <row r="12" spans="1:9">
      <c r="A12" s="1129" t="s">
        <v>1039</v>
      </c>
      <c r="B12" s="1148">
        <f>B13+B14</f>
        <v>101.82941301145915</v>
      </c>
      <c r="C12" s="1148">
        <f>C13+C14</f>
        <v>235.8904511192458</v>
      </c>
      <c r="D12" s="1148">
        <f>D13+D14</f>
        <v>176.79547284320066</v>
      </c>
      <c r="E12" s="1148">
        <f>E13+E14</f>
        <v>93.64890595352162</v>
      </c>
    </row>
    <row r="13" spans="1:9">
      <c r="A13" s="1147" t="s">
        <v>1038</v>
      </c>
      <c r="B13" s="1146">
        <f>B9-B4-B10+B5</f>
        <v>97.843413011459148</v>
      </c>
      <c r="C13" s="1146">
        <f>C9-C4-C10+C5</f>
        <v>208.5044511192458</v>
      </c>
      <c r="D13" s="1146">
        <f>D9-D4-D10+D5</f>
        <v>149.40947284320066</v>
      </c>
      <c r="E13" s="1146">
        <f>E9-E4-E10+E5</f>
        <v>66.262905953521624</v>
      </c>
    </row>
    <row r="14" spans="1:9">
      <c r="A14" s="1145" t="s">
        <v>1037</v>
      </c>
      <c r="B14" s="1144">
        <f>B11-B7</f>
        <v>3.9860000000000042</v>
      </c>
      <c r="C14" s="1144">
        <f>C11-C7</f>
        <v>27.385999999999999</v>
      </c>
      <c r="D14" s="1144">
        <f>D11-D7</f>
        <v>27.385999999999999</v>
      </c>
      <c r="E14" s="1144">
        <f>E11-E7</f>
        <v>27.385999999999999</v>
      </c>
    </row>
    <row r="15" spans="1:9">
      <c r="A15" s="1143" t="s">
        <v>1036</v>
      </c>
      <c r="B15" s="1142">
        <f>-B6</f>
        <v>15.135</v>
      </c>
      <c r="C15" s="1142">
        <f>-C6</f>
        <v>24.257999999999999</v>
      </c>
      <c r="D15" s="1142">
        <f>-D6</f>
        <v>26.683</v>
      </c>
      <c r="E15" s="1142">
        <f>-E6</f>
        <v>26.683</v>
      </c>
    </row>
    <row r="16" spans="1:9" ht="38.25" customHeight="1">
      <c r="A16" s="1756" t="s">
        <v>1035</v>
      </c>
      <c r="B16" s="1756"/>
      <c r="C16" s="1756"/>
      <c r="D16" s="1756"/>
      <c r="E16" s="1756"/>
    </row>
    <row r="17" spans="1:5">
      <c r="B17" s="779"/>
      <c r="C17" s="779"/>
      <c r="D17" s="1757" t="s">
        <v>875</v>
      </c>
      <c r="E17" s="1757"/>
    </row>
    <row r="18" spans="1:5">
      <c r="A18" s="1129"/>
      <c r="B18" s="779"/>
      <c r="C18" s="779"/>
      <c r="D18" s="779"/>
      <c r="E18" s="779"/>
    </row>
    <row r="20" spans="1:5">
      <c r="B20" s="779"/>
      <c r="C20" s="779"/>
      <c r="D20" s="779"/>
      <c r="E20" s="779"/>
    </row>
    <row r="21" spans="1:5">
      <c r="C21" s="1141"/>
      <c r="D21" s="1141"/>
      <c r="E21" s="1141"/>
    </row>
    <row r="23" spans="1:5">
      <c r="B23" s="779"/>
      <c r="C23" s="779"/>
      <c r="D23" s="779"/>
      <c r="E23" s="779"/>
    </row>
    <row r="24" spans="1:5">
      <c r="C24" s="1141"/>
      <c r="D24" s="1141"/>
      <c r="E24" s="1141"/>
    </row>
  </sheetData>
  <mergeCells count="5">
    <mergeCell ref="A1:E1"/>
    <mergeCell ref="A3:E3"/>
    <mergeCell ref="A8:E8"/>
    <mergeCell ref="A16:E16"/>
    <mergeCell ref="D17:E17"/>
  </mergeCells>
  <pageMargins left="0.7" right="0.7" top="0.75" bottom="0.75" header="0.3" footer="0.3"/>
  <pageSetup orientation="portrait" verticalDpi="300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3"/>
  <sheetViews>
    <sheetView showGridLines="0" workbookViewId="0">
      <selection activeCell="B6" sqref="B6"/>
    </sheetView>
  </sheetViews>
  <sheetFormatPr defaultRowHeight="12.75"/>
  <cols>
    <col min="1" max="1" width="44.28515625" customWidth="1"/>
  </cols>
  <sheetData>
    <row r="1" spans="1:8">
      <c r="A1" s="52" t="s">
        <v>264</v>
      </c>
      <c r="B1" s="52"/>
      <c r="C1" s="52"/>
      <c r="D1" s="52"/>
      <c r="E1" s="52"/>
    </row>
    <row r="2" spans="1:8">
      <c r="A2" s="213"/>
      <c r="B2" s="214">
        <v>2016</v>
      </c>
      <c r="C2" s="32">
        <v>2017</v>
      </c>
      <c r="D2" s="214">
        <v>2018</v>
      </c>
      <c r="E2" s="214">
        <v>2019</v>
      </c>
    </row>
    <row r="3" spans="1:8">
      <c r="A3" s="215" t="s">
        <v>152</v>
      </c>
      <c r="B3" s="160">
        <v>96.314999999999998</v>
      </c>
      <c r="C3" s="160">
        <v>130.41800000000001</v>
      </c>
      <c r="D3" s="160">
        <v>118.41500000000001</v>
      </c>
      <c r="E3" s="160">
        <v>116.962</v>
      </c>
    </row>
    <row r="4" spans="1:8">
      <c r="A4" s="218" t="s">
        <v>153</v>
      </c>
      <c r="B4" s="219">
        <v>89.405000000000001</v>
      </c>
      <c r="C4" s="219">
        <v>112.861</v>
      </c>
      <c r="D4" s="219">
        <v>95.518000000000001</v>
      </c>
      <c r="E4" s="219">
        <v>94.962999999999994</v>
      </c>
    </row>
    <row r="5" spans="1:8">
      <c r="A5" s="220" t="s">
        <v>148</v>
      </c>
      <c r="B5" s="221">
        <v>41.844616483079001</v>
      </c>
      <c r="C5" s="221">
        <v>29.793488084617884</v>
      </c>
      <c r="D5" s="221">
        <v>24.20166376978613</v>
      </c>
      <c r="E5" s="221">
        <v>49.814932639639245</v>
      </c>
    </row>
    <row r="6" spans="1:8">
      <c r="A6" s="222" t="s">
        <v>149</v>
      </c>
      <c r="B6" s="223">
        <v>131.59199999999998</v>
      </c>
      <c r="C6" s="223">
        <v>75.993712998993402</v>
      </c>
      <c r="D6" s="223">
        <v>87.607191103806784</v>
      </c>
      <c r="E6" s="223">
        <v>111.46800788622332</v>
      </c>
    </row>
    <row r="7" spans="1:8">
      <c r="A7" s="224" t="s">
        <v>150</v>
      </c>
      <c r="B7" s="225">
        <f>(B5+B6)-(B3+B4)</f>
        <v>-12.28338351692102</v>
      </c>
      <c r="C7" s="225">
        <f>(C5+C6)-(C3+C4)</f>
        <v>-137.49179891638872</v>
      </c>
      <c r="D7" s="225">
        <f>(D5+D6)-(D3+D4)</f>
        <v>-102.12414512640709</v>
      </c>
      <c r="E7" s="225">
        <f>(E5+E6)-(E3+E4)</f>
        <v>-50.642059474137454</v>
      </c>
    </row>
    <row r="8" spans="1:8" ht="28.5" customHeight="1">
      <c r="A8" s="1758" t="s">
        <v>151</v>
      </c>
      <c r="B8" s="1758"/>
      <c r="C8" s="1758"/>
      <c r="D8" s="1709" t="s">
        <v>71</v>
      </c>
      <c r="E8" s="1709"/>
    </row>
    <row r="10" spans="1:8" s="3" customFormat="1"/>
    <row r="11" spans="1:8" s="3" customFormat="1">
      <c r="B11" s="217"/>
      <c r="C11" s="217"/>
      <c r="D11" s="217"/>
      <c r="E11" s="217"/>
      <c r="F11" s="217"/>
      <c r="G11" s="217"/>
      <c r="H11" s="217"/>
    </row>
    <row r="12" spans="1:8" s="3" customFormat="1">
      <c r="B12" s="216"/>
      <c r="C12" s="216"/>
      <c r="D12" s="216"/>
      <c r="E12" s="216"/>
      <c r="F12" s="216"/>
      <c r="G12" s="216"/>
      <c r="H12" s="216"/>
    </row>
    <row r="13" spans="1:8" s="3" customFormat="1"/>
  </sheetData>
  <mergeCells count="2">
    <mergeCell ref="A8:C8"/>
    <mergeCell ref="D8:E8"/>
  </mergeCells>
  <pageMargins left="0.7" right="0.7" top="0.75" bottom="0.75" header="0.3" footer="0.3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4"/>
  <sheetViews>
    <sheetView showGridLines="0" workbookViewId="0">
      <selection sqref="A1:E1"/>
    </sheetView>
  </sheetViews>
  <sheetFormatPr defaultRowHeight="15"/>
  <cols>
    <col min="1" max="1" width="40.5703125" style="758" customWidth="1"/>
    <col min="2" max="16384" width="9.140625" style="758"/>
  </cols>
  <sheetData>
    <row r="1" spans="1:9">
      <c r="A1" s="1701" t="s">
        <v>1067</v>
      </c>
      <c r="B1" s="1701"/>
      <c r="C1" s="1701"/>
      <c r="D1" s="1701"/>
      <c r="E1" s="1701"/>
    </row>
    <row r="2" spans="1:9">
      <c r="A2" s="1176"/>
      <c r="B2" s="1157">
        <v>2016</v>
      </c>
      <c r="C2" s="1157">
        <v>2017</v>
      </c>
      <c r="D2" s="1157">
        <v>2018</v>
      </c>
      <c r="E2" s="1157">
        <v>2019</v>
      </c>
      <c r="H2" s="109"/>
      <c r="I2" s="109"/>
    </row>
    <row r="3" spans="1:9">
      <c r="A3" s="893" t="s">
        <v>1066</v>
      </c>
      <c r="B3" s="893">
        <v>2316.2710000000002</v>
      </c>
      <c r="C3" s="893">
        <v>2357.5700000000002</v>
      </c>
      <c r="D3" s="893">
        <v>2385.5030000000002</v>
      </c>
      <c r="E3" s="893">
        <v>2394.8580000000002</v>
      </c>
      <c r="H3" s="109"/>
      <c r="I3" s="109"/>
    </row>
    <row r="4" spans="1:9">
      <c r="A4" s="893" t="s">
        <v>1065</v>
      </c>
      <c r="B4" s="893">
        <v>2316.2710000000002</v>
      </c>
      <c r="C4" s="893">
        <v>2457.9171367917515</v>
      </c>
      <c r="D4" s="893">
        <v>2562.0663242478481</v>
      </c>
      <c r="E4" s="893">
        <v>2674.8180468862779</v>
      </c>
      <c r="H4" s="109"/>
      <c r="I4" s="109"/>
    </row>
    <row r="5" spans="1:9">
      <c r="A5" s="893" t="s">
        <v>1064</v>
      </c>
      <c r="B5" s="893">
        <v>0</v>
      </c>
      <c r="C5" s="893">
        <v>0</v>
      </c>
      <c r="D5" s="893">
        <v>-103.88000000000001</v>
      </c>
      <c r="E5" s="893">
        <v>-213.99279999999999</v>
      </c>
    </row>
    <row r="6" spans="1:9">
      <c r="A6" s="1178" t="s">
        <v>1063</v>
      </c>
      <c r="B6" s="1178">
        <f>-(B4-B3)+B5</f>
        <v>0</v>
      </c>
      <c r="C6" s="1178">
        <f>-(C4-C3)+C5</f>
        <v>-100.34713679175138</v>
      </c>
      <c r="D6" s="1178">
        <f>-(D4-D3)+D5</f>
        <v>-280.44332424784795</v>
      </c>
      <c r="E6" s="1178">
        <f>-(E4-E3)+E5</f>
        <v>-493.95284688627771</v>
      </c>
    </row>
    <row r="7" spans="1:9">
      <c r="A7" s="1177"/>
      <c r="B7" s="1759" t="s">
        <v>620</v>
      </c>
      <c r="C7" s="1759"/>
      <c r="D7" s="1759"/>
      <c r="E7" s="1759"/>
    </row>
    <row r="8" spans="1:9">
      <c r="A8" s="778"/>
      <c r="B8" s="778"/>
      <c r="C8" s="778"/>
      <c r="D8" s="778"/>
      <c r="E8" s="778"/>
    </row>
    <row r="9" spans="1:9">
      <c r="A9" s="778"/>
      <c r="B9" s="778"/>
      <c r="C9" s="778"/>
      <c r="D9" s="778"/>
      <c r="E9" s="778"/>
    </row>
    <row r="10" spans="1:9">
      <c r="A10" s="778"/>
      <c r="B10" s="778"/>
      <c r="C10" s="778"/>
      <c r="D10" s="778"/>
      <c r="E10" s="778"/>
    </row>
    <row r="11" spans="1:9">
      <c r="A11" s="778"/>
      <c r="B11" s="778"/>
      <c r="C11" s="778"/>
      <c r="D11" s="778"/>
      <c r="E11" s="778"/>
    </row>
    <row r="12" spans="1:9">
      <c r="A12" s="778"/>
      <c r="B12" s="778"/>
      <c r="C12" s="778"/>
      <c r="D12" s="778"/>
      <c r="E12" s="778"/>
    </row>
    <row r="13" spans="1:9">
      <c r="A13" s="778"/>
      <c r="B13" s="778"/>
      <c r="C13" s="778"/>
      <c r="D13" s="778"/>
      <c r="E13" s="778"/>
    </row>
    <row r="14" spans="1:9">
      <c r="A14" s="778"/>
      <c r="B14" s="778"/>
      <c r="C14" s="778"/>
      <c r="D14" s="778"/>
      <c r="E14" s="778"/>
    </row>
  </sheetData>
  <mergeCells count="2">
    <mergeCell ref="A1:E1"/>
    <mergeCell ref="B7:E7"/>
  </mergeCells>
  <pageMargins left="0.7" right="0.7" top="0.75" bottom="0.75" header="0.3" footer="0.3"/>
  <pageSetup paperSize="9" orientation="portrait" verticalDpi="0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6"/>
  <sheetViews>
    <sheetView showGridLines="0" workbookViewId="0"/>
  </sheetViews>
  <sheetFormatPr defaultRowHeight="15"/>
  <cols>
    <col min="1" max="1" width="45.7109375" style="335" customWidth="1"/>
    <col min="2" max="6" width="12.7109375" style="335" customWidth="1"/>
    <col min="7" max="16384" width="9.140625" style="335"/>
  </cols>
  <sheetData>
    <row r="1" spans="1:6">
      <c r="A1" s="478" t="s">
        <v>467</v>
      </c>
      <c r="B1" s="478"/>
      <c r="C1" s="478"/>
      <c r="D1" s="478"/>
      <c r="E1" s="478"/>
      <c r="F1" s="478"/>
    </row>
    <row r="2" spans="1:6">
      <c r="A2" s="479"/>
      <c r="B2" s="479" t="s">
        <v>468</v>
      </c>
      <c r="C2" s="479" t="s">
        <v>469</v>
      </c>
      <c r="D2" s="479" t="s">
        <v>17</v>
      </c>
      <c r="E2" s="479" t="s">
        <v>470</v>
      </c>
      <c r="F2" s="479" t="s">
        <v>471</v>
      </c>
    </row>
    <row r="3" spans="1:6" ht="15" customHeight="1">
      <c r="A3" s="480" t="s">
        <v>472</v>
      </c>
      <c r="B3" s="481">
        <v>-1464.3520000000001</v>
      </c>
      <c r="C3" s="481">
        <v>-1232.9000000000001</v>
      </c>
      <c r="D3" s="481">
        <v>-1407.66546606</v>
      </c>
      <c r="E3" s="481">
        <f>D3-B3</f>
        <v>56.686533940000118</v>
      </c>
      <c r="F3" s="481">
        <f>D3-C3</f>
        <v>-174.76546605999988</v>
      </c>
    </row>
    <row r="4" spans="1:6" ht="15" customHeight="1">
      <c r="A4" s="482" t="s">
        <v>473</v>
      </c>
      <c r="B4" s="483">
        <v>-300.26794200000001</v>
      </c>
      <c r="C4" s="483">
        <f>-57.00253326</f>
        <v>-57.00253326</v>
      </c>
      <c r="D4" s="483">
        <v>-57.00253326</v>
      </c>
      <c r="E4" s="483">
        <f>D4-B4</f>
        <v>243.26540874</v>
      </c>
      <c r="F4" s="483">
        <f>D4-C4</f>
        <v>0</v>
      </c>
    </row>
    <row r="5" spans="1:6" ht="15" customHeight="1">
      <c r="A5" s="484" t="s">
        <v>474</v>
      </c>
      <c r="B5" s="485">
        <f>B3-B4</f>
        <v>-1164.0840580000001</v>
      </c>
      <c r="C5" s="485">
        <f t="shared" ref="C5:D5" si="0">C3-C4</f>
        <v>-1175.89746674</v>
      </c>
      <c r="D5" s="485">
        <f t="shared" si="0"/>
        <v>-1350.6629327999999</v>
      </c>
      <c r="E5" s="485">
        <f>D5-B5</f>
        <v>-186.57887479999977</v>
      </c>
      <c r="F5" s="485">
        <f>D5-C5</f>
        <v>-174.76546605999988</v>
      </c>
    </row>
    <row r="6" spans="1:6">
      <c r="A6" s="486"/>
      <c r="B6" s="480"/>
      <c r="C6" s="480"/>
      <c r="D6" s="480"/>
      <c r="E6" s="481"/>
      <c r="F6" s="487" t="s">
        <v>71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fitToPage="1"/>
  </sheetPr>
  <dimension ref="A1:F9"/>
  <sheetViews>
    <sheetView showGridLines="0" workbookViewId="0">
      <selection sqref="A1:F1"/>
    </sheetView>
  </sheetViews>
  <sheetFormatPr defaultRowHeight="12.75"/>
  <cols>
    <col min="1" max="1" width="31.5703125" customWidth="1"/>
  </cols>
  <sheetData>
    <row r="1" spans="1:6" ht="16.5" customHeight="1">
      <c r="A1" s="1684" t="s">
        <v>230</v>
      </c>
      <c r="B1" s="1684"/>
      <c r="C1" s="1684"/>
      <c r="D1" s="1684"/>
      <c r="E1" s="1684"/>
      <c r="F1" s="1684"/>
    </row>
    <row r="2" spans="1:6">
      <c r="A2" s="20"/>
      <c r="B2" s="33">
        <v>2015</v>
      </c>
      <c r="C2" s="33" t="s">
        <v>114</v>
      </c>
      <c r="D2" s="33" t="s">
        <v>221</v>
      </c>
      <c r="E2" s="33" t="s">
        <v>222</v>
      </c>
      <c r="F2" s="33" t="s">
        <v>223</v>
      </c>
    </row>
    <row r="3" spans="1:6" ht="15" customHeight="1">
      <c r="A3" s="146" t="s">
        <v>77</v>
      </c>
      <c r="B3" s="79">
        <v>-2.7286855588400063</v>
      </c>
      <c r="C3" s="79">
        <v>-1.970000324279477</v>
      </c>
      <c r="D3" s="79">
        <v>-1.2900001435861632</v>
      </c>
      <c r="E3" s="79">
        <v>-0.44000038092532345</v>
      </c>
      <c r="F3" s="79">
        <v>0.15999958902343381</v>
      </c>
    </row>
    <row r="4" spans="1:6" ht="15" customHeight="1">
      <c r="A4" s="146" t="s">
        <v>78</v>
      </c>
      <c r="B4" s="79">
        <v>-0.48205267688263242</v>
      </c>
      <c r="C4" s="79">
        <v>-0.34017019605601784</v>
      </c>
      <c r="D4" s="79">
        <v>-0.33510292244885426</v>
      </c>
      <c r="E4" s="79">
        <v>-7.8520514301391786E-2</v>
      </c>
      <c r="F4" s="79">
        <v>0.36585078149780281</v>
      </c>
    </row>
    <row r="5" spans="1:6" ht="15" customHeight="1">
      <c r="A5" s="146" t="s">
        <v>79</v>
      </c>
      <c r="B5" s="79">
        <v>-0.35472942148047054</v>
      </c>
      <c r="C5" s="79">
        <v>9.1250160106762734E-2</v>
      </c>
      <c r="D5" s="79">
        <v>0</v>
      </c>
      <c r="E5" s="79">
        <v>0</v>
      </c>
      <c r="F5" s="79">
        <v>0</v>
      </c>
    </row>
    <row r="6" spans="1:6" ht="15" customHeight="1">
      <c r="A6" s="56" t="s">
        <v>11</v>
      </c>
      <c r="B6" s="131">
        <v>-1.8919034604769032</v>
      </c>
      <c r="C6" s="131">
        <v>-1.7210802883302219</v>
      </c>
      <c r="D6" s="131">
        <v>-0.95489722113730902</v>
      </c>
      <c r="E6" s="131">
        <v>-0.36147986662393167</v>
      </c>
      <c r="F6" s="131">
        <v>-0.205851192474369</v>
      </c>
    </row>
    <row r="7" spans="1:6" ht="15" customHeight="1">
      <c r="A7" s="148" t="s">
        <v>80</v>
      </c>
      <c r="B7" s="149">
        <v>0.14888266712911435</v>
      </c>
      <c r="C7" s="149">
        <v>0.1708231721466813</v>
      </c>
      <c r="D7" s="149">
        <v>0.76618306719291285</v>
      </c>
      <c r="E7" s="149">
        <v>0.5934173545133774</v>
      </c>
      <c r="F7" s="149">
        <v>0.15562867414956266</v>
      </c>
    </row>
    <row r="8" spans="1:6" ht="15" customHeight="1">
      <c r="A8" s="144" t="s">
        <v>81</v>
      </c>
      <c r="B8" s="106">
        <v>0</v>
      </c>
      <c r="C8" s="147">
        <v>0.25</v>
      </c>
      <c r="D8" s="106">
        <v>0.5</v>
      </c>
      <c r="E8" s="106">
        <v>0.5</v>
      </c>
      <c r="F8" s="92" t="s">
        <v>9</v>
      </c>
    </row>
    <row r="9" spans="1:6">
      <c r="A9" s="21"/>
      <c r="B9" s="145"/>
      <c r="C9" s="145"/>
      <c r="D9" s="145"/>
      <c r="E9" s="145"/>
    </row>
  </sheetData>
  <mergeCells count="1">
    <mergeCell ref="A1:F1"/>
  </mergeCells>
  <pageMargins left="0.7" right="0.7" top="0.75" bottom="0.75" header="0.3" footer="0.3"/>
  <pageSetup paperSize="9" scale="53" orientation="landscape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1"/>
  <sheetViews>
    <sheetView showGridLines="0" workbookViewId="0"/>
  </sheetViews>
  <sheetFormatPr defaultRowHeight="15"/>
  <cols>
    <col min="1" max="1" width="65.7109375" style="335" customWidth="1"/>
    <col min="2" max="2" width="12.7109375" style="335" customWidth="1"/>
    <col min="3" max="16384" width="9.140625" style="335"/>
  </cols>
  <sheetData>
    <row r="1" spans="1:2">
      <c r="A1" s="478" t="s">
        <v>475</v>
      </c>
      <c r="B1" s="478"/>
    </row>
    <row r="2" spans="1:2">
      <c r="A2" s="488"/>
      <c r="B2" s="479" t="s">
        <v>470</v>
      </c>
    </row>
    <row r="3" spans="1:2" ht="15" customHeight="1">
      <c r="A3" s="480" t="s">
        <v>476</v>
      </c>
      <c r="B3" s="481">
        <v>-186.57887480000011</v>
      </c>
    </row>
    <row r="4" spans="1:2" ht="15" customHeight="1">
      <c r="A4" s="489" t="s">
        <v>477</v>
      </c>
      <c r="B4" s="490">
        <v>-28.596444160000001</v>
      </c>
    </row>
    <row r="5" spans="1:2" ht="15" customHeight="1">
      <c r="A5" s="482" t="s">
        <v>478</v>
      </c>
      <c r="B5" s="483">
        <v>-13.122262389999999</v>
      </c>
    </row>
    <row r="6" spans="1:2" ht="15" customHeight="1">
      <c r="A6" s="489" t="s">
        <v>479</v>
      </c>
      <c r="B6" s="490">
        <v>-58.056018160000001</v>
      </c>
    </row>
    <row r="7" spans="1:2" ht="15" customHeight="1">
      <c r="A7" s="482" t="s">
        <v>480</v>
      </c>
      <c r="B7" s="483">
        <v>-17.410400790000001</v>
      </c>
    </row>
    <row r="8" spans="1:2" ht="15" customHeight="1">
      <c r="A8" s="482" t="s">
        <v>481</v>
      </c>
      <c r="B8" s="483">
        <v>-34.713834081731299</v>
      </c>
    </row>
    <row r="9" spans="1:2" ht="15" customHeight="1">
      <c r="A9" s="489" t="s">
        <v>482</v>
      </c>
      <c r="B9" s="490">
        <v>-100.88177046</v>
      </c>
    </row>
    <row r="10" spans="1:2" ht="15" customHeight="1">
      <c r="A10" s="491" t="s">
        <v>483</v>
      </c>
      <c r="B10" s="492">
        <v>-73.531136349999997</v>
      </c>
    </row>
    <row r="11" spans="1:2">
      <c r="A11" s="480"/>
      <c r="B11" s="487" t="s">
        <v>71</v>
      </c>
    </row>
  </sheetData>
  <pageMargins left="0.7" right="0.7" top="0.75" bottom="0.75" header="0.3" footer="0.3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7"/>
  <sheetViews>
    <sheetView showGridLines="0" workbookViewId="0">
      <selection sqref="A1:F1"/>
    </sheetView>
  </sheetViews>
  <sheetFormatPr defaultRowHeight="15"/>
  <cols>
    <col min="1" max="1" width="36.7109375" style="758" customWidth="1"/>
    <col min="2" max="16384" width="9.140625" style="758"/>
  </cols>
  <sheetData>
    <row r="1" spans="1:11">
      <c r="A1" s="1701" t="s">
        <v>1072</v>
      </c>
      <c r="B1" s="1701"/>
      <c r="C1" s="1701"/>
      <c r="D1" s="1701"/>
      <c r="E1" s="1701"/>
      <c r="F1" s="1701"/>
    </row>
    <row r="2" spans="1:11">
      <c r="A2" s="1176"/>
      <c r="B2" s="1157">
        <v>2014</v>
      </c>
      <c r="C2" s="1157">
        <v>2015</v>
      </c>
      <c r="D2" s="1157" t="s">
        <v>541</v>
      </c>
      <c r="E2" s="1157" t="s">
        <v>983</v>
      </c>
      <c r="F2" s="1157" t="s">
        <v>982</v>
      </c>
      <c r="G2" s="1157" t="s">
        <v>981</v>
      </c>
      <c r="J2" s="109"/>
      <c r="K2" s="109"/>
    </row>
    <row r="3" spans="1:11">
      <c r="A3" s="893" t="s">
        <v>1071</v>
      </c>
      <c r="B3" s="893">
        <v>1425.9339768500001</v>
      </c>
      <c r="C3" s="893">
        <v>1448.6324375600002</v>
      </c>
      <c r="D3" s="893">
        <v>1262.2530000000002</v>
      </c>
      <c r="E3" s="893">
        <v>1508.0360519999999</v>
      </c>
      <c r="F3" s="893">
        <v>1475.0423669999998</v>
      </c>
      <c r="G3" s="893">
        <v>1525.727367</v>
      </c>
      <c r="J3" s="109"/>
      <c r="K3" s="109"/>
    </row>
    <row r="4" spans="1:11">
      <c r="A4" s="893" t="s">
        <v>1007</v>
      </c>
      <c r="B4" s="893"/>
      <c r="C4" s="893"/>
      <c r="D4" s="893">
        <v>1437.2530000000002</v>
      </c>
      <c r="E4" s="893">
        <v>1509.3477658049301</v>
      </c>
      <c r="F4" s="893">
        <v>1533.4424055897134</v>
      </c>
      <c r="G4" s="893">
        <v>1562.4001078183139</v>
      </c>
      <c r="J4" s="109"/>
      <c r="K4" s="109"/>
    </row>
    <row r="5" spans="1:11">
      <c r="A5" s="1178" t="s">
        <v>1070</v>
      </c>
      <c r="B5" s="1178"/>
      <c r="C5" s="1178"/>
      <c r="D5" s="1178">
        <f>-(D4-D3)</f>
        <v>-175</v>
      </c>
      <c r="E5" s="1178">
        <f>-(E4-E3)</f>
        <v>-1.3117138049301502</v>
      </c>
      <c r="F5" s="1178">
        <f>-(F4-F3)</f>
        <v>-58.400038589713631</v>
      </c>
      <c r="G5" s="1178">
        <f>-(G4-G3)</f>
        <v>-36.672740818313969</v>
      </c>
    </row>
    <row r="6" spans="1:11">
      <c r="A6" s="1164" t="s">
        <v>1069</v>
      </c>
      <c r="B6" s="1179"/>
      <c r="C6" s="1179"/>
      <c r="D6" s="1161">
        <v>-0.50862600720449347</v>
      </c>
      <c r="E6" s="1161">
        <v>0.90713346619577528</v>
      </c>
      <c r="F6" s="1161">
        <v>1.5829005431995391</v>
      </c>
      <c r="G6" s="1161">
        <v>1.8884114671045893</v>
      </c>
    </row>
    <row r="7" spans="1:11" ht="23.25" customHeight="1">
      <c r="A7" s="1760" t="s">
        <v>1068</v>
      </c>
      <c r="B7" s="1760"/>
      <c r="C7" s="1760"/>
      <c r="D7" s="1760"/>
      <c r="E7" s="1760"/>
      <c r="F7" s="1760"/>
      <c r="G7" s="1760"/>
    </row>
  </sheetData>
  <mergeCells count="2">
    <mergeCell ref="A1:F1"/>
    <mergeCell ref="A7:G7"/>
  </mergeCells>
  <pageMargins left="0.7" right="0.7" top="0.75" bottom="0.75" header="0.3" footer="0.3"/>
  <pageSetup paperSize="9" orientation="portrait" verticalDpi="0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6"/>
  <sheetViews>
    <sheetView showGridLines="0" workbookViewId="0"/>
  </sheetViews>
  <sheetFormatPr defaultRowHeight="15"/>
  <cols>
    <col min="1" max="1" width="45.7109375" style="335" customWidth="1"/>
    <col min="2" max="6" width="12.7109375" style="335" customWidth="1"/>
    <col min="7" max="16384" width="9.140625" style="335"/>
  </cols>
  <sheetData>
    <row r="1" spans="1:6">
      <c r="A1" s="478" t="s">
        <v>484</v>
      </c>
      <c r="B1" s="478"/>
      <c r="C1" s="478"/>
      <c r="D1" s="478"/>
      <c r="E1" s="478"/>
      <c r="F1" s="478"/>
    </row>
    <row r="2" spans="1:6">
      <c r="A2" s="479"/>
      <c r="B2" s="479" t="s">
        <v>468</v>
      </c>
      <c r="C2" s="479" t="s">
        <v>469</v>
      </c>
      <c r="D2" s="479" t="s">
        <v>17</v>
      </c>
      <c r="E2" s="479" t="s">
        <v>470</v>
      </c>
      <c r="F2" s="479" t="s">
        <v>471</v>
      </c>
    </row>
    <row r="3" spans="1:6" ht="15" customHeight="1">
      <c r="A3" s="480" t="s">
        <v>65</v>
      </c>
      <c r="B3" s="481">
        <f>B4+B5</f>
        <v>-559.18623100000002</v>
      </c>
      <c r="C3" s="481">
        <f t="shared" ref="C3:D3" si="0">C4+C5</f>
        <v>-759.76099999999997</v>
      </c>
      <c r="D3" s="481">
        <f t="shared" si="0"/>
        <v>-868.14762057999997</v>
      </c>
      <c r="E3" s="481">
        <f>D3-B3</f>
        <v>-308.96138957999995</v>
      </c>
      <c r="F3" s="481">
        <f>D3-C3</f>
        <v>-108.38662058</v>
      </c>
    </row>
    <row r="4" spans="1:6" ht="15" customHeight="1">
      <c r="A4" s="482" t="s">
        <v>485</v>
      </c>
      <c r="B4" s="483">
        <v>-500.187164</v>
      </c>
      <c r="C4" s="483">
        <v>-461.86200000000002</v>
      </c>
      <c r="D4" s="483">
        <v>-606.02468708000004</v>
      </c>
      <c r="E4" s="483">
        <f>D4-B4</f>
        <v>-105.83752308000004</v>
      </c>
      <c r="F4" s="483">
        <f>D4-C4</f>
        <v>-144.16268708000001</v>
      </c>
    </row>
    <row r="5" spans="1:6" ht="15" customHeight="1">
      <c r="A5" s="491" t="s">
        <v>486</v>
      </c>
      <c r="B5" s="492">
        <v>-58.999067000000025</v>
      </c>
      <c r="C5" s="492">
        <v>-297.899</v>
      </c>
      <c r="D5" s="492">
        <v>-262.12293349999999</v>
      </c>
      <c r="E5" s="492">
        <f>D5-B5</f>
        <v>-203.12386649999996</v>
      </c>
      <c r="F5" s="492">
        <f>D5-C5</f>
        <v>35.776066500000013</v>
      </c>
    </row>
    <row r="6" spans="1:6">
      <c r="A6" s="486" t="s">
        <v>487</v>
      </c>
      <c r="B6" s="480"/>
      <c r="C6" s="480"/>
      <c r="D6" s="480"/>
      <c r="E6" s="481"/>
      <c r="F6" s="487" t="s">
        <v>71</v>
      </c>
    </row>
  </sheetData>
  <pageMargins left="0.7" right="0.7" top="0.75" bottom="0.75" header="0.3" footer="0.3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20"/>
  <sheetViews>
    <sheetView showGridLines="0" workbookViewId="0"/>
  </sheetViews>
  <sheetFormatPr defaultRowHeight="15"/>
  <cols>
    <col min="1" max="1" width="65.7109375" style="335" customWidth="1"/>
    <col min="2" max="2" width="12.7109375" style="335" customWidth="1"/>
    <col min="3" max="16384" width="9.140625" style="335"/>
  </cols>
  <sheetData>
    <row r="1" spans="1:2">
      <c r="A1" s="478" t="s">
        <v>488</v>
      </c>
      <c r="B1" s="478"/>
    </row>
    <row r="2" spans="1:2">
      <c r="A2" s="488"/>
      <c r="B2" s="479" t="s">
        <v>470</v>
      </c>
    </row>
    <row r="3" spans="1:2" ht="15" customHeight="1">
      <c r="A3" s="480" t="s">
        <v>489</v>
      </c>
      <c r="B3" s="481">
        <v>-105.83752308000004</v>
      </c>
    </row>
    <row r="4" spans="1:2" ht="15" customHeight="1">
      <c r="A4" s="489" t="s">
        <v>490</v>
      </c>
      <c r="B4" s="490">
        <v>-26.834446240000002</v>
      </c>
    </row>
    <row r="5" spans="1:2" ht="15" customHeight="1">
      <c r="A5" s="482" t="s">
        <v>491</v>
      </c>
      <c r="B5" s="483">
        <v>-10.15682636</v>
      </c>
    </row>
    <row r="6" spans="1:2" ht="15" customHeight="1">
      <c r="A6" s="489" t="s">
        <v>492</v>
      </c>
      <c r="B6" s="490">
        <v>-66.701839740000011</v>
      </c>
    </row>
    <row r="7" spans="1:2" ht="15" customHeight="1">
      <c r="A7" s="482" t="s">
        <v>493</v>
      </c>
      <c r="B7" s="483">
        <v>-45.112313554816801</v>
      </c>
    </row>
    <row r="8" spans="1:2" ht="15" customHeight="1">
      <c r="A8" s="482" t="s">
        <v>494</v>
      </c>
      <c r="B8" s="483">
        <v>-14.171496708847</v>
      </c>
    </row>
    <row r="9" spans="1:2" ht="15" customHeight="1">
      <c r="A9" s="482" t="s">
        <v>495</v>
      </c>
      <c r="B9" s="483">
        <v>-9.8530714265468493</v>
      </c>
    </row>
    <row r="10" spans="1:2" ht="15" customHeight="1">
      <c r="A10" s="489" t="s">
        <v>496</v>
      </c>
      <c r="B10" s="490">
        <v>-72.204098170000009</v>
      </c>
    </row>
    <row r="11" spans="1:2" ht="15" customHeight="1">
      <c r="A11" s="482" t="s">
        <v>491</v>
      </c>
      <c r="B11" s="483">
        <v>-71.174500890000004</v>
      </c>
    </row>
    <row r="12" spans="1:2" ht="15" customHeight="1">
      <c r="A12" s="489" t="s">
        <v>497</v>
      </c>
      <c r="B12" s="490">
        <v>-72.69500613000001</v>
      </c>
    </row>
    <row r="13" spans="1:2" ht="15" customHeight="1">
      <c r="A13" s="482" t="s">
        <v>498</v>
      </c>
      <c r="B13" s="483">
        <v>-43.655395612432301</v>
      </c>
    </row>
    <row r="14" spans="1:2" ht="15" customHeight="1">
      <c r="A14" s="482" t="s">
        <v>499</v>
      </c>
      <c r="B14" s="483">
        <v>-12.1415505833299</v>
      </c>
    </row>
    <row r="15" spans="1:2" ht="15" customHeight="1">
      <c r="A15" s="482" t="s">
        <v>493</v>
      </c>
      <c r="B15" s="483">
        <v>-11.129169000625099</v>
      </c>
    </row>
    <row r="16" spans="1:2" ht="15" customHeight="1">
      <c r="A16" s="489" t="s">
        <v>500</v>
      </c>
      <c r="B16" s="490">
        <v>-40.728416379999999</v>
      </c>
    </row>
    <row r="17" spans="1:2" ht="15" customHeight="1">
      <c r="A17" s="482" t="s">
        <v>495</v>
      </c>
      <c r="B17" s="483">
        <v>-38.122275962126302</v>
      </c>
    </row>
    <row r="18" spans="1:2" ht="15" customHeight="1">
      <c r="A18" s="489" t="s">
        <v>501</v>
      </c>
      <c r="B18" s="490">
        <v>175.60815832000003</v>
      </c>
    </row>
    <row r="19" spans="1:2" ht="15" customHeight="1">
      <c r="A19" s="491" t="s">
        <v>502</v>
      </c>
      <c r="B19" s="492">
        <v>176.65</v>
      </c>
    </row>
    <row r="20" spans="1:2" ht="15" customHeight="1">
      <c r="A20" s="493"/>
      <c r="B20" s="487" t="s">
        <v>71</v>
      </c>
    </row>
  </sheetData>
  <pageMargins left="0.7" right="0.7" top="0.75" bottom="0.75" header="0.3" footer="0.3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12"/>
  <sheetViews>
    <sheetView showGridLines="0" workbookViewId="0"/>
  </sheetViews>
  <sheetFormatPr defaultRowHeight="15"/>
  <cols>
    <col min="1" max="1" width="55.28515625" style="758" customWidth="1"/>
    <col min="2" max="2" width="9.140625" style="758" customWidth="1"/>
    <col min="3" max="16384" width="9.140625" style="758"/>
  </cols>
  <sheetData>
    <row r="1" spans="1:11">
      <c r="A1" s="792" t="s">
        <v>1083</v>
      </c>
      <c r="I1" s="792"/>
    </row>
    <row r="2" spans="1:11">
      <c r="A2" s="1157"/>
      <c r="B2" s="1157">
        <v>2014</v>
      </c>
      <c r="C2" s="1157">
        <v>2015</v>
      </c>
      <c r="D2" s="1157">
        <v>2016</v>
      </c>
      <c r="E2" s="1157">
        <v>2017</v>
      </c>
      <c r="F2" s="1157">
        <v>2018</v>
      </c>
      <c r="G2" s="1157">
        <v>2019</v>
      </c>
      <c r="J2" s="3"/>
      <c r="K2" s="109"/>
    </row>
    <row r="3" spans="1:11">
      <c r="A3" s="759" t="s">
        <v>1082</v>
      </c>
      <c r="B3" s="1160">
        <v>238.78499999999997</v>
      </c>
      <c r="C3" s="778">
        <v>469.77100000000007</v>
      </c>
      <c r="D3" s="1160">
        <v>500.78299999999996</v>
      </c>
      <c r="E3" s="1160">
        <v>595.89253000000008</v>
      </c>
      <c r="F3" s="1160">
        <v>544.11589499999991</v>
      </c>
      <c r="G3" s="1160">
        <v>553.31265599999995</v>
      </c>
      <c r="J3" s="3"/>
      <c r="K3" s="109"/>
    </row>
    <row r="4" spans="1:11">
      <c r="A4" s="938" t="s">
        <v>1007</v>
      </c>
      <c r="B4" s="1156"/>
      <c r="C4" s="1156"/>
      <c r="D4" s="1156">
        <v>608.7829999999999</v>
      </c>
      <c r="E4" s="1156">
        <v>595.89253000000008</v>
      </c>
      <c r="F4" s="1156">
        <v>561.87380492938848</v>
      </c>
      <c r="G4" s="1156">
        <v>598.01125010178851</v>
      </c>
      <c r="J4" s="3"/>
      <c r="K4" s="109"/>
    </row>
    <row r="5" spans="1:11">
      <c r="A5" s="1186" t="s">
        <v>1081</v>
      </c>
      <c r="B5" s="1184"/>
      <c r="C5" s="1185"/>
      <c r="D5" s="1184">
        <f>D3-D4</f>
        <v>-107.99999999999994</v>
      </c>
      <c r="E5" s="1184">
        <f>E3-E4</f>
        <v>0</v>
      </c>
      <c r="F5" s="1184">
        <f>F3-F4</f>
        <v>-17.757909929388575</v>
      </c>
      <c r="G5" s="1184">
        <f>G3-G4</f>
        <v>-44.698594101788558</v>
      </c>
    </row>
    <row r="6" spans="1:11">
      <c r="F6" s="1703" t="s">
        <v>875</v>
      </c>
      <c r="G6" s="1703"/>
    </row>
    <row r="9" spans="1:11">
      <c r="B9" s="1181"/>
      <c r="C9" s="1181"/>
      <c r="D9" s="1181"/>
      <c r="F9" s="795"/>
      <c r="G9" s="795"/>
    </row>
    <row r="11" spans="1:11">
      <c r="D11" s="1181"/>
    </row>
    <row r="12" spans="1:11">
      <c r="D12" s="1180"/>
    </row>
  </sheetData>
  <mergeCells count="1">
    <mergeCell ref="F6:G6"/>
  </mergeCells>
  <pageMargins left="0.7" right="0.7" top="0.75" bottom="0.75" header="0.3" footer="0.3"/>
  <pageSetup paperSize="9" orientation="landscape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0"/>
  <sheetViews>
    <sheetView showGridLines="0" workbookViewId="0">
      <selection activeCell="C4" sqref="C4:C7"/>
    </sheetView>
  </sheetViews>
  <sheetFormatPr defaultRowHeight="15"/>
  <cols>
    <col min="1" max="1" width="36" style="758" customWidth="1"/>
    <col min="2" max="2" width="13.140625" style="758" customWidth="1"/>
    <col min="3" max="3" width="10.7109375" style="758" customWidth="1"/>
    <col min="4" max="16384" width="9.140625" style="758"/>
  </cols>
  <sheetData>
    <row r="1" spans="1:8">
      <c r="A1" s="1695" t="s">
        <v>331</v>
      </c>
      <c r="B1" s="1695"/>
      <c r="C1" s="1695"/>
      <c r="D1" s="1695"/>
    </row>
    <row r="2" spans="1:8" ht="15" customHeight="1">
      <c r="A2" s="1200"/>
      <c r="B2" s="1199" t="s">
        <v>1101</v>
      </c>
      <c r="C2" s="1199" t="s">
        <v>238</v>
      </c>
      <c r="D2" s="1199" t="s">
        <v>1076</v>
      </c>
      <c r="G2" s="3"/>
      <c r="H2" s="109"/>
    </row>
    <row r="3" spans="1:8">
      <c r="A3" s="1198" t="s">
        <v>1100</v>
      </c>
      <c r="B3" s="1197"/>
      <c r="C3" s="1196">
        <f>SUM(C4:C7)</f>
        <v>121.70857510785541</v>
      </c>
      <c r="D3" s="1195">
        <f>SUM(D4:D7)</f>
        <v>0.16599903246583561</v>
      </c>
      <c r="G3" s="3"/>
      <c r="H3" s="109"/>
    </row>
    <row r="4" spans="1:8">
      <c r="A4" s="894" t="s">
        <v>27</v>
      </c>
      <c r="B4" s="943" t="s">
        <v>1099</v>
      </c>
      <c r="C4" s="1194">
        <v>64.539000000000001</v>
      </c>
      <c r="D4" s="1193">
        <v>8.0125089566399466E-2</v>
      </c>
      <c r="G4" s="3"/>
      <c r="H4" s="109"/>
    </row>
    <row r="5" spans="1:8">
      <c r="A5" s="894" t="s">
        <v>43</v>
      </c>
      <c r="B5" s="943" t="s">
        <v>1098</v>
      </c>
      <c r="C5" s="1194">
        <v>213.6419101158067</v>
      </c>
      <c r="D5" s="1193">
        <v>0.26523617011676154</v>
      </c>
    </row>
    <row r="6" spans="1:8">
      <c r="A6" s="894" t="s">
        <v>897</v>
      </c>
      <c r="B6" s="943" t="s">
        <v>1097</v>
      </c>
      <c r="C6" s="1194">
        <v>-167.15432332106124</v>
      </c>
      <c r="D6" s="1193">
        <v>-0.207521887967135</v>
      </c>
    </row>
    <row r="7" spans="1:8">
      <c r="A7" s="894" t="s">
        <v>146</v>
      </c>
      <c r="B7" s="943" t="s">
        <v>1096</v>
      </c>
      <c r="C7" s="1194">
        <v>10.681988313109969</v>
      </c>
      <c r="D7" s="1193">
        <v>2.8159660749809606E-2</v>
      </c>
    </row>
    <row r="8" spans="1:8">
      <c r="A8" s="1198" t="s">
        <v>1095</v>
      </c>
      <c r="B8" s="1197"/>
      <c r="C8" s="1196">
        <f>SUM(C9:C16)</f>
        <v>603.07528134997949</v>
      </c>
      <c r="D8" s="1195">
        <f>SUM(D9:D16)</f>
        <v>0.748717224212471</v>
      </c>
    </row>
    <row r="9" spans="1:8">
      <c r="A9" s="894" t="s">
        <v>53</v>
      </c>
      <c r="B9" s="943" t="s">
        <v>1094</v>
      </c>
      <c r="C9" s="1194">
        <v>-21.358238732754554</v>
      </c>
      <c r="D9" s="1193">
        <v>-2.6516227264793388E-2</v>
      </c>
    </row>
    <row r="10" spans="1:8">
      <c r="A10" s="894" t="s">
        <v>54</v>
      </c>
      <c r="B10" s="943" t="s">
        <v>1093</v>
      </c>
      <c r="C10" s="1194">
        <v>240.47251429327886</v>
      </c>
      <c r="D10" s="1193">
        <v>0.29854633238826517</v>
      </c>
    </row>
    <row r="11" spans="1:8">
      <c r="A11" s="894" t="s">
        <v>820</v>
      </c>
      <c r="B11" s="943" t="s">
        <v>1092</v>
      </c>
      <c r="C11" s="1194">
        <v>37.631</v>
      </c>
      <c r="D11" s="1193">
        <v>4.6718840475885558E-2</v>
      </c>
    </row>
    <row r="12" spans="1:8">
      <c r="A12" s="894" t="s">
        <v>1091</v>
      </c>
      <c r="B12" s="943" t="s">
        <v>1090</v>
      </c>
      <c r="C12" s="1194">
        <v>-35.24507072472359</v>
      </c>
      <c r="D12" s="1193">
        <v>-4.3756712198710253E-2</v>
      </c>
    </row>
    <row r="13" spans="1:8">
      <c r="A13" s="894" t="s">
        <v>1089</v>
      </c>
      <c r="B13" s="943" t="s">
        <v>1088</v>
      </c>
      <c r="C13" s="1194">
        <v>1.6400999999999999</v>
      </c>
      <c r="D13" s="1193">
        <v>2.0361821440966197E-3</v>
      </c>
    </row>
    <row r="14" spans="1:8">
      <c r="A14" s="894" t="s">
        <v>146</v>
      </c>
      <c r="B14" s="943" t="s">
        <v>1087</v>
      </c>
      <c r="C14" s="1194">
        <v>-101.66395326627412</v>
      </c>
      <c r="D14" s="1193">
        <v>-0.12621567364127834</v>
      </c>
    </row>
    <row r="15" spans="1:8">
      <c r="A15" s="894" t="s">
        <v>1086</v>
      </c>
      <c r="B15" s="943" t="s">
        <v>1085</v>
      </c>
      <c r="C15" s="1194">
        <v>517.36308172338636</v>
      </c>
      <c r="D15" s="1193">
        <v>0.64230563320526779</v>
      </c>
    </row>
    <row r="16" spans="1:8">
      <c r="A16" s="894" t="s">
        <v>50</v>
      </c>
      <c r="B16" s="943" t="s">
        <v>1084</v>
      </c>
      <c r="C16" s="1194">
        <v>-35.764151942933481</v>
      </c>
      <c r="D16" s="1193">
        <v>-4.4401150896262176E-2</v>
      </c>
    </row>
    <row r="17" spans="1:4">
      <c r="A17" s="1192" t="s">
        <v>850</v>
      </c>
      <c r="B17" s="1191"/>
      <c r="C17" s="1190">
        <f>C3-C8</f>
        <v>-481.36670624212411</v>
      </c>
      <c r="D17" s="1189">
        <f>D3-D8</f>
        <v>-0.58271819174663542</v>
      </c>
    </row>
    <row r="18" spans="1:4">
      <c r="A18" s="1188"/>
      <c r="C18" s="1187"/>
      <c r="D18" s="1187" t="s">
        <v>5</v>
      </c>
    </row>
    <row r="20" spans="1:4">
      <c r="A20" s="759"/>
      <c r="B20" s="759"/>
      <c r="C20" s="759"/>
      <c r="D20" s="759"/>
    </row>
    <row r="21" spans="1:4">
      <c r="A21" s="759"/>
      <c r="B21" s="759"/>
      <c r="C21" s="759"/>
      <c r="D21" s="759"/>
    </row>
    <row r="22" spans="1:4" ht="15" customHeight="1">
      <c r="A22" s="759"/>
      <c r="B22" s="759"/>
      <c r="C22" s="759"/>
      <c r="D22" s="759"/>
    </row>
    <row r="23" spans="1:4">
      <c r="A23" s="759"/>
      <c r="B23" s="759"/>
      <c r="C23" s="759"/>
      <c r="D23" s="759"/>
    </row>
    <row r="24" spans="1:4">
      <c r="A24" s="759"/>
      <c r="B24" s="759"/>
      <c r="C24" s="759"/>
      <c r="D24" s="759"/>
    </row>
    <row r="25" spans="1:4">
      <c r="A25" s="759"/>
      <c r="B25" s="759"/>
      <c r="C25" s="759"/>
      <c r="D25" s="759"/>
    </row>
    <row r="26" spans="1:4">
      <c r="A26" s="759"/>
      <c r="B26" s="759"/>
      <c r="C26" s="759"/>
      <c r="D26" s="759"/>
    </row>
    <row r="27" spans="1:4">
      <c r="A27" s="759"/>
      <c r="B27" s="759"/>
      <c r="C27" s="759"/>
      <c r="D27" s="759"/>
    </row>
    <row r="28" spans="1:4">
      <c r="A28" s="759"/>
      <c r="B28" s="759"/>
      <c r="C28" s="759"/>
      <c r="D28" s="759"/>
    </row>
    <row r="29" spans="1:4">
      <c r="A29" s="759"/>
      <c r="B29" s="759"/>
      <c r="C29" s="759"/>
      <c r="D29" s="759"/>
    </row>
    <row r="30" spans="1:4" ht="15" customHeight="1">
      <c r="A30" s="759"/>
      <c r="B30" s="759"/>
      <c r="C30" s="759"/>
      <c r="D30" s="759"/>
    </row>
    <row r="31" spans="1:4">
      <c r="A31" s="759"/>
      <c r="B31" s="759"/>
      <c r="C31" s="759"/>
      <c r="D31" s="759"/>
    </row>
    <row r="50" ht="15" customHeight="1"/>
  </sheetData>
  <mergeCells count="1">
    <mergeCell ref="A1:D1"/>
  </mergeCells>
  <pageMargins left="0.7" right="0.7" top="0.75" bottom="0.75" header="0.3" footer="0.3"/>
  <pageSetup orientation="portrait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2"/>
  <sheetViews>
    <sheetView showGridLines="0" workbookViewId="0"/>
  </sheetViews>
  <sheetFormatPr defaultRowHeight="15"/>
  <cols>
    <col min="1" max="1" width="41.28515625" style="758" customWidth="1"/>
    <col min="2" max="2" width="9.42578125" style="758" bestFit="1" customWidth="1"/>
    <col min="3" max="3" width="9.140625" style="758" customWidth="1"/>
    <col min="4" max="6" width="9.28515625" style="758" bestFit="1" customWidth="1"/>
    <col min="7" max="16384" width="9.140625" style="758"/>
  </cols>
  <sheetData>
    <row r="1" spans="1:10">
      <c r="A1" s="792" t="s">
        <v>1120</v>
      </c>
    </row>
    <row r="2" spans="1:10">
      <c r="A2" s="920"/>
      <c r="B2" s="920" t="s">
        <v>1119</v>
      </c>
      <c r="C2" s="920">
        <v>2016</v>
      </c>
      <c r="D2" s="920">
        <v>2017</v>
      </c>
      <c r="E2" s="920">
        <v>2018</v>
      </c>
      <c r="F2" s="920">
        <v>2019</v>
      </c>
      <c r="I2" s="3"/>
      <c r="J2" s="109"/>
    </row>
    <row r="3" spans="1:10">
      <c r="A3" s="1209" t="s">
        <v>1115</v>
      </c>
      <c r="B3" s="990" t="s">
        <v>1116</v>
      </c>
      <c r="C3" s="1175">
        <v>-12.704000000000001</v>
      </c>
      <c r="D3" s="1175">
        <v>0</v>
      </c>
      <c r="E3" s="1175">
        <v>0</v>
      </c>
      <c r="F3" s="1175">
        <v>0</v>
      </c>
      <c r="I3" s="3"/>
      <c r="J3" s="109"/>
    </row>
    <row r="4" spans="1:10">
      <c r="A4" s="1208" t="s">
        <v>1115</v>
      </c>
      <c r="B4" s="990" t="s">
        <v>1093</v>
      </c>
      <c r="C4" s="1175">
        <v>-37.445</v>
      </c>
      <c r="D4" s="1175">
        <v>-11.907</v>
      </c>
      <c r="E4" s="1175">
        <v>0</v>
      </c>
      <c r="F4" s="1175">
        <v>0</v>
      </c>
      <c r="I4" s="3"/>
      <c r="J4" s="109"/>
    </row>
    <row r="5" spans="1:10">
      <c r="A5" s="45" t="s">
        <v>1482</v>
      </c>
      <c r="B5" s="1682" t="s">
        <v>1085</v>
      </c>
      <c r="C5" s="1175">
        <v>-12</v>
      </c>
      <c r="D5" s="1175">
        <v>0</v>
      </c>
      <c r="E5" s="1175">
        <v>0</v>
      </c>
      <c r="F5" s="1175">
        <v>0</v>
      </c>
      <c r="I5" s="3"/>
      <c r="J5" s="109"/>
    </row>
    <row r="6" spans="1:10">
      <c r="A6" s="1208" t="s">
        <v>1113</v>
      </c>
      <c r="B6" s="990" t="s">
        <v>1114</v>
      </c>
      <c r="C6" s="1175">
        <v>96.123000000000005</v>
      </c>
      <c r="D6" s="1175">
        <v>0</v>
      </c>
      <c r="E6" s="1175">
        <v>0</v>
      </c>
      <c r="F6" s="1175">
        <v>0</v>
      </c>
    </row>
    <row r="7" spans="1:10">
      <c r="A7" s="1208" t="s">
        <v>1113</v>
      </c>
      <c r="B7" s="990" t="s">
        <v>1106</v>
      </c>
      <c r="C7" s="1175">
        <v>-96.123000000000005</v>
      </c>
      <c r="D7" s="1175">
        <v>0</v>
      </c>
      <c r="E7" s="1175">
        <v>0</v>
      </c>
      <c r="F7" s="1175">
        <v>0</v>
      </c>
    </row>
    <row r="8" spans="1:10">
      <c r="A8" s="1208" t="s">
        <v>245</v>
      </c>
      <c r="B8" s="990" t="s">
        <v>1112</v>
      </c>
      <c r="C8" s="1175">
        <v>-33</v>
      </c>
      <c r="D8" s="1175">
        <v>0</v>
      </c>
      <c r="E8" s="1175">
        <v>0</v>
      </c>
      <c r="F8" s="1175">
        <v>0</v>
      </c>
    </row>
    <row r="9" spans="1:10">
      <c r="A9" s="1209" t="s">
        <v>1111</v>
      </c>
      <c r="B9" s="990" t="s">
        <v>1110</v>
      </c>
      <c r="C9" s="1175">
        <v>25.5</v>
      </c>
      <c r="D9" s="1175">
        <v>0</v>
      </c>
      <c r="E9" s="1175">
        <v>0</v>
      </c>
      <c r="F9" s="1175">
        <v>0</v>
      </c>
    </row>
    <row r="10" spans="1:10">
      <c r="A10" s="1209" t="s">
        <v>1109</v>
      </c>
      <c r="B10" s="990" t="s">
        <v>1108</v>
      </c>
      <c r="C10" s="1175">
        <v>-5.7880000000000003</v>
      </c>
      <c r="D10" s="1175">
        <v>-5.7880000000000003</v>
      </c>
      <c r="E10" s="1175">
        <v>-5.7880000000000003</v>
      </c>
      <c r="F10" s="1175">
        <v>-5.7880000000000003</v>
      </c>
    </row>
    <row r="11" spans="1:10">
      <c r="A11" s="1209" t="s">
        <v>1107</v>
      </c>
      <c r="B11" s="1208" t="s">
        <v>1106</v>
      </c>
      <c r="C11" s="1175">
        <v>-48</v>
      </c>
      <c r="D11" s="1175">
        <v>0</v>
      </c>
      <c r="E11" s="1175">
        <v>0</v>
      </c>
      <c r="F11" s="1175">
        <v>0</v>
      </c>
    </row>
    <row r="12" spans="1:10">
      <c r="A12" s="1205" t="s">
        <v>1105</v>
      </c>
      <c r="B12" s="1204"/>
      <c r="C12" s="1185">
        <f>SUM(C3:C11)</f>
        <v>-123.437</v>
      </c>
      <c r="D12" s="1185">
        <f>SUM(D3:D11)</f>
        <v>-17.695</v>
      </c>
      <c r="E12" s="1185">
        <f>SUM(E3:E11)</f>
        <v>-5.7880000000000003</v>
      </c>
      <c r="F12" s="1185">
        <f>SUM(F3:F11)</f>
        <v>-5.7880000000000003</v>
      </c>
    </row>
    <row r="13" spans="1:10">
      <c r="A13" s="1207" t="s">
        <v>1104</v>
      </c>
      <c r="B13" s="990" t="s">
        <v>1103</v>
      </c>
      <c r="C13" s="778">
        <v>-1823.6978361297834</v>
      </c>
      <c r="D13" s="778">
        <v>0</v>
      </c>
      <c r="E13" s="778">
        <v>0</v>
      </c>
      <c r="F13" s="778">
        <v>0</v>
      </c>
    </row>
    <row r="14" spans="1:10">
      <c r="A14" s="1205" t="s">
        <v>1102</v>
      </c>
      <c r="B14" s="1204"/>
      <c r="C14" s="1185">
        <f>SUM(C13)</f>
        <v>-1823.6978361297834</v>
      </c>
      <c r="D14" s="1185">
        <f>SUM(D13)</f>
        <v>0</v>
      </c>
      <c r="E14" s="1185">
        <f>SUM(E13)</f>
        <v>0</v>
      </c>
      <c r="F14" s="1185">
        <f>SUM(F13)</f>
        <v>0</v>
      </c>
      <c r="G14" s="942"/>
    </row>
    <row r="15" spans="1:10">
      <c r="A15" s="1216" t="s">
        <v>1118</v>
      </c>
      <c r="B15" s="1215"/>
      <c r="C15" s="1214">
        <v>81182.096524639157</v>
      </c>
      <c r="D15" s="1214">
        <v>84892.374523797494</v>
      </c>
      <c r="E15" s="1214">
        <v>89557.183019642922</v>
      </c>
      <c r="F15" s="1214">
        <v>95762.89120845469</v>
      </c>
      <c r="G15" s="942"/>
    </row>
    <row r="16" spans="1:10">
      <c r="A16" s="759"/>
      <c r="B16" s="759"/>
      <c r="C16" s="1213"/>
      <c r="D16" s="1213"/>
      <c r="E16" s="1213"/>
      <c r="F16" s="1212" t="s">
        <v>5</v>
      </c>
      <c r="G16" s="1212"/>
    </row>
    <row r="17" spans="1:6">
      <c r="A17" s="759"/>
      <c r="B17" s="759"/>
      <c r="C17" s="759"/>
      <c r="D17" s="759"/>
      <c r="E17" s="759"/>
      <c r="F17" s="759"/>
    </row>
    <row r="18" spans="1:6">
      <c r="A18" s="1695" t="s">
        <v>1117</v>
      </c>
      <c r="B18" s="1695"/>
      <c r="C18" s="1695"/>
      <c r="D18" s="1695"/>
      <c r="E18" s="1695"/>
      <c r="F18" s="1695"/>
    </row>
    <row r="19" spans="1:6">
      <c r="A19" s="1211"/>
      <c r="B19" s="1210" t="s">
        <v>1101</v>
      </c>
      <c r="C19" s="1199">
        <v>2016</v>
      </c>
      <c r="D19" s="1199">
        <v>2017</v>
      </c>
      <c r="E19" s="1199">
        <v>2018</v>
      </c>
      <c r="F19" s="1199">
        <v>2019</v>
      </c>
    </row>
    <row r="20" spans="1:6">
      <c r="A20" s="1209" t="s">
        <v>1115</v>
      </c>
      <c r="B20" s="990" t="s">
        <v>1116</v>
      </c>
      <c r="C20" s="1206">
        <f t="shared" ref="C20:C28" si="0">C3/C$15*100</f>
        <v>-1.5648770534207965E-2</v>
      </c>
      <c r="D20" s="1206" t="s">
        <v>1</v>
      </c>
      <c r="E20" s="1206" t="s">
        <v>1</v>
      </c>
      <c r="F20" s="1206" t="s">
        <v>1</v>
      </c>
    </row>
    <row r="21" spans="1:6">
      <c r="A21" s="1208" t="s">
        <v>1115</v>
      </c>
      <c r="B21" s="990" t="s">
        <v>1093</v>
      </c>
      <c r="C21" s="1206">
        <f t="shared" si="0"/>
        <v>-4.6124701877630452E-2</v>
      </c>
      <c r="D21" s="1206">
        <f>D4/D$15*100</f>
        <v>-1.4025994757234839E-2</v>
      </c>
      <c r="E21" s="1206" t="s">
        <v>1</v>
      </c>
      <c r="F21" s="1206" t="s">
        <v>1</v>
      </c>
    </row>
    <row r="22" spans="1:6">
      <c r="A22" s="45" t="s">
        <v>1482</v>
      </c>
      <c r="B22" s="1682" t="s">
        <v>1085</v>
      </c>
      <c r="C22" s="1206">
        <f t="shared" si="0"/>
        <v>-1.4781584257753114E-2</v>
      </c>
      <c r="D22" s="1206" t="s">
        <v>1</v>
      </c>
      <c r="E22" s="1206" t="s">
        <v>1</v>
      </c>
      <c r="F22" s="1206" t="s">
        <v>1</v>
      </c>
    </row>
    <row r="23" spans="1:6">
      <c r="A23" s="1208" t="s">
        <v>1113</v>
      </c>
      <c r="B23" s="990" t="s">
        <v>1114</v>
      </c>
      <c r="C23" s="1206">
        <f t="shared" si="0"/>
        <v>0.11840418530066688</v>
      </c>
      <c r="D23" s="1206" t="s">
        <v>1</v>
      </c>
      <c r="E23" s="1206" t="s">
        <v>1</v>
      </c>
      <c r="F23" s="1206" t="s">
        <v>1</v>
      </c>
    </row>
    <row r="24" spans="1:6">
      <c r="A24" s="1208" t="s">
        <v>1113</v>
      </c>
      <c r="B24" s="990" t="s">
        <v>1106</v>
      </c>
      <c r="C24" s="1206">
        <f t="shared" si="0"/>
        <v>-0.11840418530066688</v>
      </c>
      <c r="D24" s="1206" t="s">
        <v>1</v>
      </c>
      <c r="E24" s="1206" t="s">
        <v>1</v>
      </c>
      <c r="F24" s="1206" t="s">
        <v>1</v>
      </c>
    </row>
    <row r="25" spans="1:6">
      <c r="A25" s="1208" t="s">
        <v>245</v>
      </c>
      <c r="B25" s="990" t="s">
        <v>1112</v>
      </c>
      <c r="C25" s="1206">
        <f t="shared" si="0"/>
        <v>-4.0649356708821069E-2</v>
      </c>
      <c r="D25" s="1206" t="s">
        <v>1</v>
      </c>
      <c r="E25" s="1206" t="s">
        <v>1</v>
      </c>
      <c r="F25" s="1206" t="s">
        <v>1</v>
      </c>
    </row>
    <row r="26" spans="1:6">
      <c r="A26" s="1209" t="s">
        <v>1111</v>
      </c>
      <c r="B26" s="990" t="s">
        <v>1110</v>
      </c>
      <c r="C26" s="1206">
        <f t="shared" si="0"/>
        <v>3.1410866547725368E-2</v>
      </c>
      <c r="D26" s="1206" t="s">
        <v>1</v>
      </c>
      <c r="E26" s="1206" t="s">
        <v>1</v>
      </c>
      <c r="F26" s="1206" t="s">
        <v>1</v>
      </c>
    </row>
    <row r="27" spans="1:6">
      <c r="A27" s="1209" t="s">
        <v>1109</v>
      </c>
      <c r="B27" s="990" t="s">
        <v>1108</v>
      </c>
      <c r="C27" s="1206">
        <f t="shared" si="0"/>
        <v>-7.1296508069895867E-3</v>
      </c>
      <c r="D27" s="1206">
        <f>D10/D$15*100</f>
        <v>-6.8180446506152055E-3</v>
      </c>
      <c r="E27" s="1206">
        <f>E10/E$15*100</f>
        <v>-6.4629098469192537E-3</v>
      </c>
      <c r="F27" s="1206">
        <f>F10/F$15*100</f>
        <v>-6.0440948753320333E-3</v>
      </c>
    </row>
    <row r="28" spans="1:6">
      <c r="A28" s="1209" t="s">
        <v>1107</v>
      </c>
      <c r="B28" s="1208" t="s">
        <v>1106</v>
      </c>
      <c r="C28" s="1206">
        <f t="shared" si="0"/>
        <v>-5.9126337031012458E-2</v>
      </c>
      <c r="D28" s="1206" t="s">
        <v>1</v>
      </c>
      <c r="E28" s="1206" t="s">
        <v>1</v>
      </c>
      <c r="F28" s="1206" t="s">
        <v>1</v>
      </c>
    </row>
    <row r="29" spans="1:6">
      <c r="A29" s="1205" t="s">
        <v>1105</v>
      </c>
      <c r="B29" s="1204"/>
      <c r="C29" s="1203">
        <f>SUM(C20:C28)</f>
        <v>-0.15204953466868928</v>
      </c>
      <c r="D29" s="1203">
        <f>SUM(D20:D28)</f>
        <v>-2.0844039407850044E-2</v>
      </c>
      <c r="E29" s="1203">
        <f>SUM(E20:E28)</f>
        <v>-6.4629098469192537E-3</v>
      </c>
      <c r="F29" s="1203">
        <f>SUM(F20:F28)</f>
        <v>-6.0440948753320333E-3</v>
      </c>
    </row>
    <row r="30" spans="1:6">
      <c r="A30" s="1207" t="s">
        <v>1104</v>
      </c>
      <c r="B30" s="990" t="s">
        <v>1103</v>
      </c>
      <c r="C30" s="1206">
        <f>C13/C$15*100</f>
        <v>-2.2464286021195354</v>
      </c>
      <c r="D30" s="1206" t="s">
        <v>1</v>
      </c>
      <c r="E30" s="1206" t="s">
        <v>1</v>
      </c>
      <c r="F30" s="1206" t="s">
        <v>1</v>
      </c>
    </row>
    <row r="31" spans="1:6">
      <c r="A31" s="1205" t="s">
        <v>1102</v>
      </c>
      <c r="B31" s="1204"/>
      <c r="C31" s="1203">
        <f>SUM(C30)</f>
        <v>-2.2464286021195354</v>
      </c>
      <c r="D31" s="1203">
        <f>SUM(D30)</f>
        <v>0</v>
      </c>
      <c r="E31" s="1203">
        <f>SUM(E30)</f>
        <v>0</v>
      </c>
      <c r="F31" s="1203">
        <f>SUM(F30)</f>
        <v>0</v>
      </c>
    </row>
    <row r="32" spans="1:6">
      <c r="A32" s="1202"/>
      <c r="B32" s="1201"/>
      <c r="C32" s="1201"/>
      <c r="D32" s="1201"/>
      <c r="E32" s="1761" t="s">
        <v>5</v>
      </c>
      <c r="F32" s="1761"/>
    </row>
  </sheetData>
  <mergeCells count="2">
    <mergeCell ref="A18:F18"/>
    <mergeCell ref="E32:F32"/>
  </mergeCells>
  <pageMargins left="0.7" right="0.7" top="0.75" bottom="0.75" header="0.3" footer="0.3"/>
  <pageSetup paperSize="9" orientation="portrait" verticalDpi="0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5"/>
  <sheetViews>
    <sheetView showGridLines="0" workbookViewId="0">
      <selection sqref="A1:E1"/>
    </sheetView>
  </sheetViews>
  <sheetFormatPr defaultRowHeight="15"/>
  <cols>
    <col min="1" max="1" width="42.28515625" style="758" customWidth="1"/>
    <col min="2" max="16384" width="9.140625" style="758"/>
  </cols>
  <sheetData>
    <row r="1" spans="1:9" ht="15.75" thickBot="1">
      <c r="A1" s="1762" t="s">
        <v>1130</v>
      </c>
      <c r="B1" s="1762"/>
      <c r="C1" s="1762"/>
      <c r="D1" s="1762"/>
      <c r="E1" s="1762"/>
    </row>
    <row r="2" spans="1:9">
      <c r="A2" s="1228"/>
      <c r="B2" s="1227">
        <v>2016</v>
      </c>
      <c r="C2" s="1227">
        <v>2017</v>
      </c>
      <c r="D2" s="1227">
        <v>2018</v>
      </c>
      <c r="E2" s="1227">
        <v>2019</v>
      </c>
      <c r="H2" s="3"/>
      <c r="I2" s="109"/>
    </row>
    <row r="3" spans="1:9">
      <c r="A3" s="1226" t="s">
        <v>1128</v>
      </c>
      <c r="B3" s="1233">
        <f>SUM(B4:B6)</f>
        <v>2121.4096256725147</v>
      </c>
      <c r="C3" s="1233">
        <f>SUM(C4:C6)</f>
        <v>2476.3840717131825</v>
      </c>
      <c r="D3" s="1233">
        <f>SUM(D4:D6)</f>
        <v>2490.1684287831649</v>
      </c>
      <c r="E3" s="1233">
        <f>SUM(E4:E6)</f>
        <v>2584.0495701440354</v>
      </c>
      <c r="H3" s="3"/>
      <c r="I3" s="109"/>
    </row>
    <row r="4" spans="1:9">
      <c r="A4" s="1224" t="s">
        <v>1127</v>
      </c>
      <c r="B4" s="1232">
        <v>483.05700000000002</v>
      </c>
      <c r="C4" s="1232">
        <v>0</v>
      </c>
      <c r="D4" s="1232">
        <v>0</v>
      </c>
      <c r="E4" s="1232">
        <v>0</v>
      </c>
      <c r="H4" s="3"/>
      <c r="I4" s="109"/>
    </row>
    <row r="5" spans="1:9">
      <c r="A5" s="1224" t="s">
        <v>1126</v>
      </c>
      <c r="B5" s="1232">
        <v>927.66611871846499</v>
      </c>
      <c r="C5" s="1232">
        <v>1738.6946067868071</v>
      </c>
      <c r="D5" s="1232">
        <v>1760.7886899269909</v>
      </c>
      <c r="E5" s="1232">
        <v>1800.0124508688505</v>
      </c>
    </row>
    <row r="6" spans="1:9">
      <c r="A6" s="1224" t="s">
        <v>1125</v>
      </c>
      <c r="B6" s="1232">
        <v>710.68650695404961</v>
      </c>
      <c r="C6" s="1232">
        <v>737.68946492637542</v>
      </c>
      <c r="D6" s="1232">
        <v>729.37973885617396</v>
      </c>
      <c r="E6" s="1232">
        <v>784.03711927518498</v>
      </c>
    </row>
    <row r="7" spans="1:9">
      <c r="A7" s="1226" t="s">
        <v>1124</v>
      </c>
      <c r="B7" s="1233">
        <f>SUM(B8:B9)</f>
        <v>2121.4096256725147</v>
      </c>
      <c r="C7" s="1233">
        <f>SUM(C8:C9)</f>
        <v>2476.3840717131825</v>
      </c>
      <c r="D7" s="1233">
        <f>SUM(D8:D9)</f>
        <v>2490.1684287831649</v>
      </c>
      <c r="E7" s="1233">
        <f>SUM(E8:E9)</f>
        <v>2584.0495701440354</v>
      </c>
    </row>
    <row r="8" spans="1:9">
      <c r="A8" s="1224" t="s">
        <v>1123</v>
      </c>
      <c r="B8" s="1232">
        <v>930.72872903666689</v>
      </c>
      <c r="C8" s="1232">
        <v>1329.6024585445514</v>
      </c>
      <c r="D8" s="1232">
        <v>1307.6094110766605</v>
      </c>
      <c r="E8" s="1232">
        <v>1096.1795571842692</v>
      </c>
    </row>
    <row r="9" spans="1:9">
      <c r="A9" s="1222" t="s">
        <v>1122</v>
      </c>
      <c r="B9" s="1231">
        <f>B3-B8</f>
        <v>1190.6808966358478</v>
      </c>
      <c r="C9" s="1231">
        <f>C3-C8</f>
        <v>1146.7816131686311</v>
      </c>
      <c r="D9" s="1231">
        <f>D3-D8</f>
        <v>1182.5590177065044</v>
      </c>
      <c r="E9" s="1231">
        <f>E3-E8</f>
        <v>1487.8700129597662</v>
      </c>
    </row>
    <row r="10" spans="1:9">
      <c r="A10" s="1220" t="s">
        <v>1121</v>
      </c>
      <c r="B10" s="1230">
        <v>369.245247609778</v>
      </c>
      <c r="C10" s="1230">
        <v>421.84633386387998</v>
      </c>
      <c r="D10" s="1230">
        <v>407.376235246916</v>
      </c>
      <c r="E10" s="1230">
        <v>419.92949262803802</v>
      </c>
    </row>
    <row r="11" spans="1:9">
      <c r="A11" s="1216" t="s">
        <v>1118</v>
      </c>
      <c r="B11" s="1229">
        <v>81182.096524639157</v>
      </c>
      <c r="C11" s="1229">
        <v>84892.374523797494</v>
      </c>
      <c r="D11" s="1229">
        <v>89557.183019642922</v>
      </c>
      <c r="E11" s="1229">
        <v>95762.89120845469</v>
      </c>
    </row>
    <row r="12" spans="1:9">
      <c r="B12" s="1213"/>
      <c r="C12" s="1213"/>
      <c r="D12" s="1761" t="s">
        <v>875</v>
      </c>
      <c r="E12" s="1761"/>
    </row>
    <row r="15" spans="1:9" ht="15.75" thickBot="1">
      <c r="A15" s="1762" t="s">
        <v>1129</v>
      </c>
      <c r="B15" s="1762"/>
      <c r="C15" s="1762"/>
      <c r="D15" s="1762"/>
      <c r="E15" s="1762"/>
    </row>
    <row r="16" spans="1:9">
      <c r="A16" s="1228"/>
      <c r="B16" s="1227">
        <v>2016</v>
      </c>
      <c r="C16" s="1227">
        <v>2017</v>
      </c>
      <c r="D16" s="1227">
        <v>2018</v>
      </c>
      <c r="E16" s="1227">
        <v>2019</v>
      </c>
    </row>
    <row r="17" spans="1:5">
      <c r="A17" s="1226" t="s">
        <v>1128</v>
      </c>
      <c r="B17" s="1225">
        <f>SUM(B18:B20)</f>
        <v>2.6131495939238976</v>
      </c>
      <c r="C17" s="1225">
        <f>SUM(C18:C20)</f>
        <v>2.9170865882883144</v>
      </c>
      <c r="D17" s="1225">
        <f>SUM(D18:D20)</f>
        <v>2.7805345644212442</v>
      </c>
      <c r="E17" s="1225">
        <f>SUM(E18:E20)</f>
        <v>2.6983829931775238</v>
      </c>
    </row>
    <row r="18" spans="1:5">
      <c r="A18" s="1224" t="s">
        <v>1127</v>
      </c>
      <c r="B18" s="1223">
        <f t="shared" ref="B18:E20" si="0">B4/B$11*100</f>
        <v>0.59502897889978723</v>
      </c>
      <c r="C18" s="1223">
        <f t="shared" si="0"/>
        <v>0</v>
      </c>
      <c r="D18" s="1223">
        <f t="shared" si="0"/>
        <v>0</v>
      </c>
      <c r="E18" s="1223">
        <f t="shared" si="0"/>
        <v>0</v>
      </c>
    </row>
    <row r="19" spans="1:5">
      <c r="A19" s="1224" t="s">
        <v>1126</v>
      </c>
      <c r="B19" s="1223">
        <f t="shared" si="0"/>
        <v>1.1426979080749828</v>
      </c>
      <c r="C19" s="1223">
        <f t="shared" si="0"/>
        <v>2.0481163550200927</v>
      </c>
      <c r="D19" s="1223">
        <f t="shared" si="0"/>
        <v>1.9661054876422255</v>
      </c>
      <c r="E19" s="1223">
        <f t="shared" si="0"/>
        <v>1.8796554992795909</v>
      </c>
    </row>
    <row r="20" spans="1:5">
      <c r="A20" s="1224" t="s">
        <v>1125</v>
      </c>
      <c r="B20" s="1223">
        <f t="shared" si="0"/>
        <v>0.87542270694912738</v>
      </c>
      <c r="C20" s="1223">
        <f t="shared" si="0"/>
        <v>0.86897023326822154</v>
      </c>
      <c r="D20" s="1223">
        <f t="shared" si="0"/>
        <v>0.81442907677901877</v>
      </c>
      <c r="E20" s="1223">
        <f t="shared" si="0"/>
        <v>0.81872749389793298</v>
      </c>
    </row>
    <row r="21" spans="1:5">
      <c r="A21" s="1226" t="s">
        <v>1124</v>
      </c>
      <c r="B21" s="1225">
        <f>SUM(B22:B23)</f>
        <v>2.6131495939238976</v>
      </c>
      <c r="C21" s="1225">
        <f>SUM(C22:C23)</f>
        <v>2.9170865882883144</v>
      </c>
      <c r="D21" s="1225">
        <f>SUM(D22:D23)</f>
        <v>2.7805345644212442</v>
      </c>
      <c r="E21" s="1225">
        <f>SUM(E22:E23)</f>
        <v>2.6983829931775238</v>
      </c>
    </row>
    <row r="22" spans="1:5">
      <c r="A22" s="1224" t="s">
        <v>1123</v>
      </c>
      <c r="B22" s="1223">
        <f t="shared" ref="B22:E24" si="1">B8/B$11*100</f>
        <v>1.1464704274472466</v>
      </c>
      <c r="C22" s="1223">
        <f t="shared" si="1"/>
        <v>1.5662213078653251</v>
      </c>
      <c r="D22" s="1223">
        <f t="shared" si="1"/>
        <v>1.460083230610165</v>
      </c>
      <c r="E22" s="1223">
        <f t="shared" si="1"/>
        <v>1.1446809336594987</v>
      </c>
    </row>
    <row r="23" spans="1:5">
      <c r="A23" s="1222" t="s">
        <v>1122</v>
      </c>
      <c r="B23" s="1221">
        <f t="shared" si="1"/>
        <v>1.466679166476651</v>
      </c>
      <c r="C23" s="1221">
        <f t="shared" si="1"/>
        <v>1.350865280422989</v>
      </c>
      <c r="D23" s="1221">
        <f t="shared" si="1"/>
        <v>1.3204513338110795</v>
      </c>
      <c r="E23" s="1221">
        <f t="shared" si="1"/>
        <v>1.5537020595180249</v>
      </c>
    </row>
    <row r="24" spans="1:5">
      <c r="A24" s="1220" t="s">
        <v>1121</v>
      </c>
      <c r="B24" s="1219">
        <f t="shared" si="1"/>
        <v>0.45483581160990383</v>
      </c>
      <c r="C24" s="1219">
        <f t="shared" si="1"/>
        <v>0.49691899446825549</v>
      </c>
      <c r="D24" s="1219">
        <f t="shared" si="1"/>
        <v>0.45487834868316995</v>
      </c>
      <c r="E24" s="1219">
        <f t="shared" si="1"/>
        <v>0.43850962239010111</v>
      </c>
    </row>
    <row r="25" spans="1:5">
      <c r="A25" s="1218"/>
      <c r="B25" s="1217"/>
      <c r="C25" s="1217"/>
      <c r="D25" s="1763" t="s">
        <v>875</v>
      </c>
      <c r="E25" s="1763"/>
    </row>
  </sheetData>
  <mergeCells count="4">
    <mergeCell ref="A15:E15"/>
    <mergeCell ref="D25:E25"/>
    <mergeCell ref="A1:E1"/>
    <mergeCell ref="D12:E12"/>
  </mergeCells>
  <pageMargins left="0.7" right="0.7" top="0.75" bottom="0.75" header="0.3" footer="0.3"/>
  <pageSetup paperSize="9" orientation="portrait" verticalDpi="0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showGridLines="0" workbookViewId="0">
      <selection sqref="A1:G1"/>
    </sheetView>
  </sheetViews>
  <sheetFormatPr defaultRowHeight="15"/>
  <cols>
    <col min="1" max="1" width="31" style="758" customWidth="1"/>
    <col min="2" max="2" width="12.28515625" style="758" customWidth="1"/>
    <col min="3" max="7" width="8.7109375" style="758" customWidth="1"/>
    <col min="8" max="8" width="10" style="758" customWidth="1"/>
    <col min="9" max="16384" width="9.140625" style="758"/>
  </cols>
  <sheetData>
    <row r="1" spans="1:12">
      <c r="A1" s="1695" t="s">
        <v>1157</v>
      </c>
      <c r="B1" s="1695"/>
      <c r="C1" s="1695"/>
      <c r="D1" s="1695"/>
      <c r="E1" s="1695"/>
      <c r="F1" s="1695"/>
      <c r="G1" s="1695"/>
      <c r="H1" s="1201"/>
    </row>
    <row r="2" spans="1:12" ht="15" customHeight="1">
      <c r="A2" s="1200"/>
      <c r="B2" s="1764" t="s">
        <v>1101</v>
      </c>
      <c r="C2" s="1766" t="s">
        <v>541</v>
      </c>
      <c r="D2" s="1764" t="s">
        <v>1154</v>
      </c>
      <c r="E2" s="1766" t="s">
        <v>1153</v>
      </c>
      <c r="F2" s="1766" t="s">
        <v>1152</v>
      </c>
      <c r="G2" s="1766" t="s">
        <v>1151</v>
      </c>
      <c r="H2" s="1199" t="s">
        <v>1150</v>
      </c>
      <c r="K2" s="3"/>
      <c r="L2" s="109"/>
    </row>
    <row r="3" spans="1:12">
      <c r="A3" s="1200"/>
      <c r="B3" s="1765"/>
      <c r="C3" s="1767"/>
      <c r="D3" s="1765"/>
      <c r="E3" s="1767"/>
      <c r="F3" s="1767"/>
      <c r="G3" s="1767"/>
      <c r="H3" s="1199" t="s">
        <v>1149</v>
      </c>
      <c r="K3" s="3"/>
      <c r="L3" s="109"/>
    </row>
    <row r="4" spans="1:12">
      <c r="A4" s="1247" t="s">
        <v>1100</v>
      </c>
      <c r="B4" s="1197" t="s">
        <v>1148</v>
      </c>
      <c r="C4" s="1254">
        <f t="shared" ref="C4:H4" si="0">SUM(C5:C12)</f>
        <v>32192.950175107853</v>
      </c>
      <c r="D4" s="1254">
        <f t="shared" si="0"/>
        <v>32072.569575107853</v>
      </c>
      <c r="E4" s="1254">
        <f t="shared" si="0"/>
        <v>33720.813051444631</v>
      </c>
      <c r="F4" s="1254">
        <f t="shared" si="0"/>
        <v>35233.05184815915</v>
      </c>
      <c r="G4" s="1254">
        <f t="shared" si="0"/>
        <v>36853.269882844252</v>
      </c>
      <c r="H4" s="1254">
        <f t="shared" si="0"/>
        <v>54.343345300003875</v>
      </c>
      <c r="K4" s="3"/>
      <c r="L4" s="109"/>
    </row>
    <row r="5" spans="1:12">
      <c r="A5" s="1242" t="s">
        <v>901</v>
      </c>
      <c r="B5" s="943" t="s">
        <v>1099</v>
      </c>
      <c r="C5" s="765">
        <v>8752.639000000001</v>
      </c>
      <c r="D5" s="765">
        <v>8752.639000000001</v>
      </c>
      <c r="E5" s="765">
        <v>9106.3154337710785</v>
      </c>
      <c r="F5" s="765">
        <v>9423.5873621535575</v>
      </c>
      <c r="G5" s="765">
        <v>9775.6610098719884</v>
      </c>
      <c r="H5" s="765">
        <v>148.74381022892157</v>
      </c>
    </row>
    <row r="6" spans="1:12">
      <c r="A6" s="1242" t="s">
        <v>900</v>
      </c>
      <c r="B6" s="943" t="s">
        <v>1146</v>
      </c>
      <c r="C6" s="895">
        <v>6256.9</v>
      </c>
      <c r="D6" s="895">
        <v>6256.9</v>
      </c>
      <c r="E6" s="895">
        <v>6511.3927206526605</v>
      </c>
      <c r="F6" s="895">
        <v>6918.0917667673502</v>
      </c>
      <c r="G6" s="895">
        <v>7446.0622658778602</v>
      </c>
      <c r="H6" s="765">
        <v>-22.492720652660864</v>
      </c>
    </row>
    <row r="7" spans="1:12">
      <c r="A7" s="1242" t="s">
        <v>899</v>
      </c>
      <c r="B7" s="943" t="s">
        <v>1145</v>
      </c>
      <c r="C7" s="895">
        <v>0</v>
      </c>
      <c r="D7" s="895">
        <v>0</v>
      </c>
      <c r="E7" s="895">
        <v>0</v>
      </c>
      <c r="F7" s="895">
        <v>0</v>
      </c>
      <c r="G7" s="895">
        <v>0</v>
      </c>
      <c r="H7" s="765">
        <v>0</v>
      </c>
    </row>
    <row r="8" spans="1:12">
      <c r="A8" s="1242" t="s">
        <v>898</v>
      </c>
      <c r="B8" s="943" t="s">
        <v>1144</v>
      </c>
      <c r="C8" s="895">
        <v>11520.683999999999</v>
      </c>
      <c r="D8" s="895">
        <v>11424.561</v>
      </c>
      <c r="E8" s="895">
        <v>11952.308851506117</v>
      </c>
      <c r="F8" s="895">
        <v>12565.478893207517</v>
      </c>
      <c r="G8" s="895">
        <v>13285.346233773451</v>
      </c>
      <c r="H8" s="765">
        <v>-10.710851506117251</v>
      </c>
    </row>
    <row r="9" spans="1:12">
      <c r="A9" s="1242" t="s">
        <v>897</v>
      </c>
      <c r="B9" s="943" t="s">
        <v>1097</v>
      </c>
      <c r="C9" s="895">
        <v>411.4456766789387</v>
      </c>
      <c r="D9" s="895">
        <v>412.14567667893868</v>
      </c>
      <c r="E9" s="895">
        <v>409.01698383946979</v>
      </c>
      <c r="F9" s="895">
        <v>439.78282986121309</v>
      </c>
      <c r="G9" s="895">
        <v>468.52857952166835</v>
      </c>
      <c r="H9" s="765">
        <v>145.65800787347899</v>
      </c>
    </row>
    <row r="10" spans="1:12">
      <c r="A10" s="1244" t="s">
        <v>43</v>
      </c>
      <c r="B10" s="943" t="s">
        <v>1098</v>
      </c>
      <c r="C10" s="895">
        <v>3388.1149101158067</v>
      </c>
      <c r="D10" s="895">
        <v>3388.1149101158067</v>
      </c>
      <c r="E10" s="895">
        <v>3486.3728702425251</v>
      </c>
      <c r="F10" s="895">
        <v>3621.3984194984159</v>
      </c>
      <c r="G10" s="895">
        <v>3796.8680005551864</v>
      </c>
      <c r="H10" s="765">
        <v>53.513792590476456</v>
      </c>
    </row>
    <row r="11" spans="1:12">
      <c r="A11" s="1244" t="s">
        <v>1143</v>
      </c>
      <c r="B11" s="943" t="s">
        <v>1141</v>
      </c>
      <c r="C11" s="895">
        <v>930.728729036667</v>
      </c>
      <c r="D11" s="895">
        <v>930.728729036667</v>
      </c>
      <c r="E11" s="895">
        <v>1329.6024585445512</v>
      </c>
      <c r="F11" s="895">
        <v>1307.6094110766605</v>
      </c>
      <c r="G11" s="895">
        <v>1096.1795571842695</v>
      </c>
      <c r="H11" s="765">
        <v>-181.73330654455117</v>
      </c>
    </row>
    <row r="12" spans="1:12">
      <c r="A12" s="1244" t="s">
        <v>1142</v>
      </c>
      <c r="B12" s="943" t="s">
        <v>1141</v>
      </c>
      <c r="C12" s="895">
        <v>932.43785927644296</v>
      </c>
      <c r="D12" s="895">
        <v>907.48025927644301</v>
      </c>
      <c r="E12" s="895">
        <v>925.80373288823512</v>
      </c>
      <c r="F12" s="895">
        <v>957.10316559444095</v>
      </c>
      <c r="G12" s="895">
        <v>984.62423605982258</v>
      </c>
      <c r="H12" s="765">
        <v>-78.63538668954385</v>
      </c>
    </row>
    <row r="13" spans="1:12">
      <c r="A13" s="1247" t="s">
        <v>1095</v>
      </c>
      <c r="B13" s="1197" t="s">
        <v>1140</v>
      </c>
      <c r="C13" s="1255">
        <f t="shared" ref="C13:H13" si="1">SUM(C14:C22)</f>
        <v>34260.835181349983</v>
      </c>
      <c r="D13" s="1255">
        <f t="shared" si="1"/>
        <v>34017.41528134999</v>
      </c>
      <c r="E13" s="1255">
        <f t="shared" si="1"/>
        <v>35229.924951353292</v>
      </c>
      <c r="F13" s="1255">
        <f t="shared" si="1"/>
        <v>36130.426161638992</v>
      </c>
      <c r="G13" s="1255">
        <f t="shared" si="1"/>
        <v>37305.142151748405</v>
      </c>
      <c r="H13" s="1254">
        <f t="shared" si="1"/>
        <v>-370.63947658268216</v>
      </c>
    </row>
    <row r="14" spans="1:12">
      <c r="A14" s="1242" t="s">
        <v>53</v>
      </c>
      <c r="B14" s="943" t="s">
        <v>1094</v>
      </c>
      <c r="C14" s="895">
        <v>7201.1417612672449</v>
      </c>
      <c r="D14" s="895">
        <v>7188.4377612672461</v>
      </c>
      <c r="E14" s="895">
        <v>7371.4673858151309</v>
      </c>
      <c r="F14" s="895">
        <v>7707.2793039276958</v>
      </c>
      <c r="G14" s="895">
        <v>8120.4779537428549</v>
      </c>
      <c r="H14" s="765">
        <v>9.347518627484952</v>
      </c>
    </row>
    <row r="15" spans="1:12">
      <c r="A15" s="1242" t="s">
        <v>54</v>
      </c>
      <c r="B15" s="943" t="s">
        <v>1093</v>
      </c>
      <c r="C15" s="895">
        <v>4752.0725142932788</v>
      </c>
      <c r="D15" s="895">
        <v>4714.6275142932791</v>
      </c>
      <c r="E15" s="895">
        <v>4762.2591206522739</v>
      </c>
      <c r="F15" s="895">
        <v>4865.0333575507748</v>
      </c>
      <c r="G15" s="895">
        <v>4996.8086751432611</v>
      </c>
      <c r="H15" s="765">
        <v>26.436977983779144</v>
      </c>
    </row>
    <row r="16" spans="1:12">
      <c r="A16" s="1242" t="s">
        <v>1156</v>
      </c>
      <c r="B16" s="943" t="s">
        <v>1092</v>
      </c>
      <c r="C16" s="895">
        <v>11223.323</v>
      </c>
      <c r="D16" s="895">
        <v>11079.2</v>
      </c>
      <c r="E16" s="895">
        <v>11303.607967447555</v>
      </c>
      <c r="F16" s="895">
        <v>11553.561908222686</v>
      </c>
      <c r="G16" s="895">
        <v>11887.968980849</v>
      </c>
      <c r="H16" s="765">
        <v>115.50975855244633</v>
      </c>
    </row>
    <row r="17" spans="1:8">
      <c r="A17" s="1244" t="s">
        <v>1138</v>
      </c>
      <c r="B17" s="943" t="s">
        <v>1137</v>
      </c>
      <c r="C17" s="895">
        <v>4215.808</v>
      </c>
      <c r="D17" s="895">
        <v>4215.808</v>
      </c>
      <c r="E17" s="895">
        <v>4435.3435302137414</v>
      </c>
      <c r="F17" s="895">
        <v>4716.3343547506665</v>
      </c>
      <c r="G17" s="895">
        <v>5079.2363746805449</v>
      </c>
      <c r="H17" s="765">
        <v>-213.46125621374176</v>
      </c>
    </row>
    <row r="18" spans="1:8">
      <c r="A18" s="1244" t="s">
        <v>1091</v>
      </c>
      <c r="B18" s="943" t="s">
        <v>1090</v>
      </c>
      <c r="C18" s="895">
        <v>376.45492927527647</v>
      </c>
      <c r="D18" s="895">
        <v>376.45492927527641</v>
      </c>
      <c r="E18" s="895">
        <v>379.75041197408575</v>
      </c>
      <c r="F18" s="895">
        <v>391.17315915670883</v>
      </c>
      <c r="G18" s="895">
        <v>404.6880359668678</v>
      </c>
      <c r="H18" s="765">
        <v>91.049588025914318</v>
      </c>
    </row>
    <row r="19" spans="1:8">
      <c r="A19" s="1242" t="s">
        <v>1089</v>
      </c>
      <c r="B19" s="943" t="s">
        <v>1088</v>
      </c>
      <c r="C19" s="895">
        <v>1222.5</v>
      </c>
      <c r="D19" s="895">
        <v>1224.1401000000001</v>
      </c>
      <c r="E19" s="895">
        <v>1118.2587074250578</v>
      </c>
      <c r="F19" s="895">
        <v>1112.4350763821312</v>
      </c>
      <c r="G19" s="895">
        <v>1116.3632145984823</v>
      </c>
      <c r="H19" s="765">
        <v>8.4412925749422811</v>
      </c>
    </row>
    <row r="20" spans="1:8">
      <c r="A20" s="1242" t="s">
        <v>1086</v>
      </c>
      <c r="B20" s="943" t="s">
        <v>1085</v>
      </c>
      <c r="C20" s="895">
        <v>2974.2630817233862</v>
      </c>
      <c r="D20" s="895">
        <v>2962.2630817233867</v>
      </c>
      <c r="E20" s="895">
        <v>3759.7540221684549</v>
      </c>
      <c r="F20" s="895">
        <v>3713.6858421583856</v>
      </c>
      <c r="G20" s="895">
        <v>3486.2980595298131</v>
      </c>
      <c r="H20" s="765">
        <v>-682.87407066768901</v>
      </c>
    </row>
    <row r="21" spans="1:8">
      <c r="A21" s="1242" t="s">
        <v>50</v>
      </c>
      <c r="B21" s="943" t="s">
        <v>1084</v>
      </c>
      <c r="C21" s="895">
        <v>530.03584805706646</v>
      </c>
      <c r="D21" s="895">
        <v>524.24784805706645</v>
      </c>
      <c r="E21" s="895">
        <v>493.43309500581245</v>
      </c>
      <c r="F21" s="895">
        <v>464.34428923469011</v>
      </c>
      <c r="G21" s="895">
        <v>526.02143696122653</v>
      </c>
      <c r="H21" s="765">
        <v>-212.53309500581247</v>
      </c>
    </row>
    <row r="22" spans="1:8" ht="15" customHeight="1">
      <c r="A22" s="1242" t="s">
        <v>1136</v>
      </c>
      <c r="B22" s="1065" t="s">
        <v>1135</v>
      </c>
      <c r="C22" s="1253">
        <v>1765.2360467337262</v>
      </c>
      <c r="D22" s="1253">
        <v>1732.236046733726</v>
      </c>
      <c r="E22" s="1253">
        <v>1606.0507106511786</v>
      </c>
      <c r="F22" s="1253">
        <v>1606.5788702552634</v>
      </c>
      <c r="G22" s="1253">
        <v>1687.2794202763516</v>
      </c>
      <c r="H22" s="1252">
        <v>487.44380953999405</v>
      </c>
    </row>
    <row r="23" spans="1:8">
      <c r="A23" s="1192" t="s">
        <v>850</v>
      </c>
      <c r="B23" s="1238"/>
      <c r="C23" s="1251">
        <f t="shared" ref="C23:H23" si="2">C4-C13</f>
        <v>-2067.8850062421297</v>
      </c>
      <c r="D23" s="1178">
        <f t="shared" si="2"/>
        <v>-1944.8457062421367</v>
      </c>
      <c r="E23" s="1178">
        <f t="shared" si="2"/>
        <v>-1509.1118999086611</v>
      </c>
      <c r="F23" s="1178">
        <f t="shared" si="2"/>
        <v>-897.37431347984239</v>
      </c>
      <c r="G23" s="1178">
        <f t="shared" si="2"/>
        <v>-451.87226890415332</v>
      </c>
      <c r="H23" s="1178">
        <f t="shared" si="2"/>
        <v>424.98282188268604</v>
      </c>
    </row>
    <row r="24" spans="1:8">
      <c r="A24" s="1192" t="s">
        <v>1134</v>
      </c>
      <c r="B24" s="1238"/>
      <c r="C24" s="1178">
        <f t="shared" ref="C24:H24" si="3">C23+C19</f>
        <v>-845.38500624212975</v>
      </c>
      <c r="D24" s="1178">
        <f t="shared" si="3"/>
        <v>-720.70560624213658</v>
      </c>
      <c r="E24" s="1178">
        <f t="shared" si="3"/>
        <v>-390.85319248360338</v>
      </c>
      <c r="F24" s="1178">
        <f t="shared" si="3"/>
        <v>215.06076290228884</v>
      </c>
      <c r="G24" s="1178">
        <f t="shared" si="3"/>
        <v>664.49094569432896</v>
      </c>
      <c r="H24" s="1178">
        <f t="shared" si="3"/>
        <v>433.42411445762832</v>
      </c>
    </row>
    <row r="25" spans="1:8">
      <c r="A25" s="1192" t="s">
        <v>1133</v>
      </c>
      <c r="B25" s="1238"/>
      <c r="C25" s="1178">
        <v>43404.183049521402</v>
      </c>
      <c r="D25" s="1178">
        <v>45227.88070023503</v>
      </c>
      <c r="E25" s="1178">
        <v>43720.347920477507</v>
      </c>
      <c r="F25" s="1178">
        <v>44848.953241765274</v>
      </c>
      <c r="G25" s="1178">
        <v>48641.733158902331</v>
      </c>
      <c r="H25" s="1250" t="s">
        <v>1</v>
      </c>
    </row>
    <row r="26" spans="1:8">
      <c r="A26" s="1216" t="s">
        <v>1118</v>
      </c>
      <c r="B26" s="1179"/>
      <c r="C26" s="1214">
        <v>81182.096524639157</v>
      </c>
      <c r="D26" s="1214">
        <v>81182.096524639157</v>
      </c>
      <c r="E26" s="1214">
        <v>84892.374523797494</v>
      </c>
      <c r="F26" s="1214">
        <v>89557.183019642922</v>
      </c>
      <c r="G26" s="1249">
        <v>95762.89120845469</v>
      </c>
      <c r="H26" s="1249">
        <v>84892.374523797494</v>
      </c>
    </row>
    <row r="27" spans="1:8">
      <c r="A27" s="1235" t="s">
        <v>1132</v>
      </c>
      <c r="C27" s="939"/>
      <c r="D27" s="939"/>
      <c r="E27" s="939"/>
      <c r="F27" s="939"/>
      <c r="G27" s="1768" t="s">
        <v>875</v>
      </c>
      <c r="H27" s="1768"/>
    </row>
    <row r="28" spans="1:8">
      <c r="A28" s="1234" t="s">
        <v>1131</v>
      </c>
      <c r="C28" s="939"/>
      <c r="D28" s="939"/>
      <c r="E28" s="939"/>
      <c r="F28" s="939"/>
      <c r="G28" s="1248"/>
      <c r="H28" s="1248"/>
    </row>
    <row r="29" spans="1:8">
      <c r="D29" s="795"/>
    </row>
    <row r="30" spans="1:8">
      <c r="A30" s="1695" t="s">
        <v>1155</v>
      </c>
      <c r="B30" s="1695"/>
      <c r="C30" s="1695"/>
      <c r="D30" s="1695"/>
      <c r="E30" s="1695"/>
      <c r="F30" s="1695"/>
      <c r="G30" s="1695"/>
      <c r="H30" s="1201"/>
    </row>
    <row r="31" spans="1:8">
      <c r="A31" s="1200"/>
      <c r="B31" s="1764" t="s">
        <v>1101</v>
      </c>
      <c r="C31" s="1766" t="s">
        <v>541</v>
      </c>
      <c r="D31" s="1764" t="s">
        <v>1154</v>
      </c>
      <c r="E31" s="1766" t="s">
        <v>1153</v>
      </c>
      <c r="F31" s="1766" t="s">
        <v>1152</v>
      </c>
      <c r="G31" s="1766" t="s">
        <v>1151</v>
      </c>
      <c r="H31" s="1199" t="s">
        <v>1150</v>
      </c>
    </row>
    <row r="32" spans="1:8">
      <c r="A32" s="1200"/>
      <c r="B32" s="1765"/>
      <c r="C32" s="1767"/>
      <c r="D32" s="1765"/>
      <c r="E32" s="1767"/>
      <c r="F32" s="1767"/>
      <c r="G32" s="1767"/>
      <c r="H32" s="1199" t="s">
        <v>1149</v>
      </c>
    </row>
    <row r="33" spans="1:8">
      <c r="A33" s="1247" t="s">
        <v>1100</v>
      </c>
      <c r="B33" s="1197" t="s">
        <v>1148</v>
      </c>
      <c r="C33" s="1246">
        <f t="shared" ref="C33:H42" si="4">C4/C$26*100</f>
        <v>39.655233793250382</v>
      </c>
      <c r="D33" s="1246">
        <f t="shared" si="4"/>
        <v>39.506949128092145</v>
      </c>
      <c r="E33" s="1246">
        <f t="shared" si="4"/>
        <v>39.721839847926304</v>
      </c>
      <c r="F33" s="1246">
        <f t="shared" si="4"/>
        <v>39.341402509758879</v>
      </c>
      <c r="G33" s="1246">
        <f t="shared" si="4"/>
        <v>38.483873468923171</v>
      </c>
      <c r="H33" s="1245">
        <f t="shared" si="4"/>
        <v>6.4014401299106141E-2</v>
      </c>
    </row>
    <row r="34" spans="1:8">
      <c r="A34" s="1242" t="s">
        <v>901</v>
      </c>
      <c r="B34" s="943" t="s">
        <v>1099</v>
      </c>
      <c r="C34" s="763">
        <f t="shared" si="4"/>
        <v>10.781489238016331</v>
      </c>
      <c r="D34" s="763">
        <f t="shared" si="4"/>
        <v>10.781489238016331</v>
      </c>
      <c r="E34" s="763">
        <f t="shared" si="4"/>
        <v>10.726894476509601</v>
      </c>
      <c r="F34" s="763">
        <f t="shared" si="4"/>
        <v>10.52242494059538</v>
      </c>
      <c r="G34" s="763">
        <f t="shared" si="4"/>
        <v>10.208193264124128</v>
      </c>
      <c r="H34" s="1243">
        <f t="shared" si="4"/>
        <v>0.17521457146569142</v>
      </c>
    </row>
    <row r="35" spans="1:8">
      <c r="A35" s="1242" t="s">
        <v>1147</v>
      </c>
      <c r="B35" s="943" t="s">
        <v>1146</v>
      </c>
      <c r="C35" s="763">
        <f t="shared" si="4"/>
        <v>7.7072412118612874</v>
      </c>
      <c r="D35" s="763">
        <f t="shared" si="4"/>
        <v>7.7072412118612874</v>
      </c>
      <c r="E35" s="763">
        <f t="shared" si="4"/>
        <v>7.6701738609365337</v>
      </c>
      <c r="F35" s="763">
        <f t="shared" si="4"/>
        <v>7.7247759850262137</v>
      </c>
      <c r="G35" s="763">
        <f t="shared" si="4"/>
        <v>7.7755194855901184</v>
      </c>
      <c r="H35" s="1243">
        <f t="shared" si="4"/>
        <v>-2.6495572516181162E-2</v>
      </c>
    </row>
    <row r="36" spans="1:8">
      <c r="A36" s="1242" t="s">
        <v>899</v>
      </c>
      <c r="B36" s="943" t="s">
        <v>1145</v>
      </c>
      <c r="C36" s="763">
        <f t="shared" si="4"/>
        <v>0</v>
      </c>
      <c r="D36" s="763">
        <f t="shared" si="4"/>
        <v>0</v>
      </c>
      <c r="E36" s="763">
        <f t="shared" si="4"/>
        <v>0</v>
      </c>
      <c r="F36" s="763">
        <f t="shared" si="4"/>
        <v>0</v>
      </c>
      <c r="G36" s="763">
        <f t="shared" si="4"/>
        <v>0</v>
      </c>
      <c r="H36" s="1243">
        <f t="shared" si="4"/>
        <v>0</v>
      </c>
    </row>
    <row r="37" spans="1:8">
      <c r="A37" s="1242" t="s">
        <v>898</v>
      </c>
      <c r="B37" s="943" t="s">
        <v>1144</v>
      </c>
      <c r="C37" s="763">
        <f t="shared" si="4"/>
        <v>14.191163437745683</v>
      </c>
      <c r="D37" s="763">
        <f t="shared" si="4"/>
        <v>14.072759252445014</v>
      </c>
      <c r="E37" s="763">
        <f t="shared" si="4"/>
        <v>14.079366867227375</v>
      </c>
      <c r="F37" s="763">
        <f t="shared" si="4"/>
        <v>14.030676791666707</v>
      </c>
      <c r="G37" s="763">
        <f t="shared" si="4"/>
        <v>13.873167430643027</v>
      </c>
      <c r="H37" s="1243">
        <f t="shared" si="4"/>
        <v>-1.2616977162200506E-2</v>
      </c>
    </row>
    <row r="38" spans="1:8">
      <c r="A38" s="1242" t="s">
        <v>897</v>
      </c>
      <c r="B38" s="943" t="s">
        <v>1097</v>
      </c>
      <c r="C38" s="763">
        <f t="shared" si="4"/>
        <v>0.50681824477649817</v>
      </c>
      <c r="D38" s="763">
        <f t="shared" si="4"/>
        <v>0.5076805038582004</v>
      </c>
      <c r="E38" s="763">
        <f t="shared" si="4"/>
        <v>0.4818065063368111</v>
      </c>
      <c r="F38" s="763">
        <f t="shared" si="4"/>
        <v>0.49106371486110034</v>
      </c>
      <c r="G38" s="763">
        <f t="shared" si="4"/>
        <v>0.48925901631539614</v>
      </c>
      <c r="H38" s="1243">
        <f t="shared" si="4"/>
        <v>0.17157961323445764</v>
      </c>
    </row>
    <row r="39" spans="1:8">
      <c r="A39" s="1244" t="s">
        <v>43</v>
      </c>
      <c r="B39" s="943" t="s">
        <v>1098</v>
      </c>
      <c r="C39" s="763">
        <f t="shared" si="4"/>
        <v>4.173475501568868</v>
      </c>
      <c r="D39" s="763">
        <f t="shared" si="4"/>
        <v>4.173475501568868</v>
      </c>
      <c r="E39" s="763">
        <f t="shared" si="4"/>
        <v>4.1068151171401217</v>
      </c>
      <c r="F39" s="763">
        <f t="shared" si="4"/>
        <v>4.0436716491005757</v>
      </c>
      <c r="G39" s="763">
        <f t="shared" si="4"/>
        <v>3.9648635840476474</v>
      </c>
      <c r="H39" s="1243">
        <f t="shared" si="4"/>
        <v>6.3037219645063855E-2</v>
      </c>
    </row>
    <row r="40" spans="1:8">
      <c r="A40" s="1244" t="s">
        <v>1143</v>
      </c>
      <c r="B40" s="943" t="s">
        <v>1141</v>
      </c>
      <c r="C40" s="763">
        <f t="shared" si="4"/>
        <v>1.1464704274472468</v>
      </c>
      <c r="D40" s="763">
        <f t="shared" si="4"/>
        <v>1.1464704274472468</v>
      </c>
      <c r="E40" s="763">
        <f t="shared" si="4"/>
        <v>1.5662213078653251</v>
      </c>
      <c r="F40" s="763">
        <f t="shared" si="4"/>
        <v>1.460083230610165</v>
      </c>
      <c r="G40" s="763">
        <f t="shared" si="4"/>
        <v>1.144680933659499</v>
      </c>
      <c r="H40" s="1243">
        <f t="shared" si="4"/>
        <v>-0.21407494791373366</v>
      </c>
    </row>
    <row r="41" spans="1:8">
      <c r="A41" s="1244" t="s">
        <v>1142</v>
      </c>
      <c r="B41" s="943" t="s">
        <v>1141</v>
      </c>
      <c r="C41" s="763">
        <f t="shared" si="4"/>
        <v>1.1485757318344736</v>
      </c>
      <c r="D41" s="763">
        <f t="shared" si="4"/>
        <v>1.1178329928951987</v>
      </c>
      <c r="E41" s="763">
        <f t="shared" si="4"/>
        <v>1.0905617119105424</v>
      </c>
      <c r="F41" s="763">
        <f t="shared" si="4"/>
        <v>1.0687061978987391</v>
      </c>
      <c r="G41" s="763">
        <f t="shared" si="4"/>
        <v>1.0281897545433469</v>
      </c>
      <c r="H41" s="1243">
        <f t="shared" si="4"/>
        <v>-9.2629505453991456E-2</v>
      </c>
    </row>
    <row r="42" spans="1:8">
      <c r="A42" s="1247" t="s">
        <v>1095</v>
      </c>
      <c r="B42" s="1197" t="s">
        <v>1140</v>
      </c>
      <c r="C42" s="1246">
        <f t="shared" si="4"/>
        <v>42.202451831176411</v>
      </c>
      <c r="D42" s="1246">
        <f t="shared" si="4"/>
        <v>41.90260751768777</v>
      </c>
      <c r="E42" s="1246">
        <f t="shared" si="4"/>
        <v>41.499516474801219</v>
      </c>
      <c r="F42" s="1246">
        <f t="shared" si="4"/>
        <v>40.343415171638846</v>
      </c>
      <c r="G42" s="1246">
        <f t="shared" si="4"/>
        <v>38.955739202300542</v>
      </c>
      <c r="H42" s="1245">
        <f t="shared" si="4"/>
        <v>-0.43659925719097714</v>
      </c>
    </row>
    <row r="43" spans="1:8">
      <c r="A43" s="1242" t="s">
        <v>53</v>
      </c>
      <c r="B43" s="943" t="s">
        <v>1094</v>
      </c>
      <c r="C43" s="763">
        <f t="shared" ref="C43:H52" si="5">C14/C$26*100</f>
        <v>8.8703569746830375</v>
      </c>
      <c r="D43" s="763">
        <f t="shared" si="5"/>
        <v>8.8547082041488316</v>
      </c>
      <c r="E43" s="763">
        <f t="shared" si="5"/>
        <v>8.6833092220181936</v>
      </c>
      <c r="F43" s="763">
        <f t="shared" si="5"/>
        <v>8.6059867495354663</v>
      </c>
      <c r="G43" s="763">
        <f t="shared" si="5"/>
        <v>8.4797752566454641</v>
      </c>
      <c r="H43" s="1243">
        <f t="shared" si="5"/>
        <v>1.101102269776257E-2</v>
      </c>
    </row>
    <row r="44" spans="1:8">
      <c r="A44" s="1242" t="s">
        <v>54</v>
      </c>
      <c r="B44" s="943" t="s">
        <v>1093</v>
      </c>
      <c r="C44" s="763">
        <f t="shared" si="5"/>
        <v>5.8535966890815656</v>
      </c>
      <c r="D44" s="763">
        <f t="shared" si="5"/>
        <v>5.807471987203936</v>
      </c>
      <c r="E44" s="763">
        <f t="shared" si="5"/>
        <v>5.6097607675201635</v>
      </c>
      <c r="F44" s="763">
        <f t="shared" si="5"/>
        <v>5.4323206620776672</v>
      </c>
      <c r="G44" s="763">
        <f t="shared" si="5"/>
        <v>5.217896632074642</v>
      </c>
      <c r="H44" s="1243">
        <f t="shared" si="5"/>
        <v>3.1141758175662983E-2</v>
      </c>
    </row>
    <row r="45" spans="1:8">
      <c r="A45" s="1242" t="s">
        <v>1139</v>
      </c>
      <c r="B45" s="943" t="s">
        <v>1092</v>
      </c>
      <c r="C45" s="763">
        <f t="shared" si="5"/>
        <v>13.824874548039872</v>
      </c>
      <c r="D45" s="763">
        <f t="shared" si="5"/>
        <v>13.647344025708193</v>
      </c>
      <c r="E45" s="763">
        <f t="shared" si="5"/>
        <v>13.315221809797375</v>
      </c>
      <c r="F45" s="763">
        <f t="shared" si="5"/>
        <v>12.900765207955009</v>
      </c>
      <c r="G45" s="763">
        <f t="shared" si="5"/>
        <v>12.413962058613617</v>
      </c>
      <c r="H45" s="1243">
        <f t="shared" si="5"/>
        <v>0.13606611807055297</v>
      </c>
    </row>
    <row r="46" spans="1:8">
      <c r="A46" s="1244" t="s">
        <v>1138</v>
      </c>
      <c r="B46" s="943" t="s">
        <v>1137</v>
      </c>
      <c r="C46" s="763">
        <f t="shared" si="5"/>
        <v>5.1930267638758032</v>
      </c>
      <c r="D46" s="763">
        <f t="shared" si="5"/>
        <v>5.1930267638758032</v>
      </c>
      <c r="E46" s="763">
        <f t="shared" si="5"/>
        <v>5.2246665911911814</v>
      </c>
      <c r="F46" s="763">
        <f t="shared" si="5"/>
        <v>5.2662826093091999</v>
      </c>
      <c r="G46" s="763">
        <f t="shared" si="5"/>
        <v>5.3039714137537555</v>
      </c>
      <c r="H46" s="1243">
        <f t="shared" si="5"/>
        <v>-0.25144927022144159</v>
      </c>
    </row>
    <row r="47" spans="1:8">
      <c r="A47" s="1244" t="s">
        <v>1091</v>
      </c>
      <c r="B47" s="943" t="s">
        <v>1090</v>
      </c>
      <c r="C47" s="763">
        <f t="shared" si="5"/>
        <v>0.46371668802741572</v>
      </c>
      <c r="D47" s="763">
        <f t="shared" si="5"/>
        <v>0.46371668802741561</v>
      </c>
      <c r="E47" s="763">
        <f t="shared" si="5"/>
        <v>0.44733159380249399</v>
      </c>
      <c r="F47" s="763">
        <f t="shared" si="5"/>
        <v>0.43678591260615174</v>
      </c>
      <c r="G47" s="763">
        <f t="shared" si="5"/>
        <v>0.42259379479881326</v>
      </c>
      <c r="H47" s="1243">
        <f t="shared" si="5"/>
        <v>0.10725296416392593</v>
      </c>
    </row>
    <row r="48" spans="1:8">
      <c r="A48" s="1242" t="s">
        <v>1089</v>
      </c>
      <c r="B48" s="943" t="s">
        <v>1088</v>
      </c>
      <c r="C48" s="763">
        <f t="shared" si="5"/>
        <v>1.5058738962585985</v>
      </c>
      <c r="D48" s="763">
        <f t="shared" si="5"/>
        <v>1.5078941692870269</v>
      </c>
      <c r="E48" s="763">
        <f t="shared" si="5"/>
        <v>1.3172663783972509</v>
      </c>
      <c r="F48" s="763">
        <f t="shared" si="5"/>
        <v>1.2421505890132081</v>
      </c>
      <c r="G48" s="763">
        <f t="shared" si="5"/>
        <v>1.1657576337878164</v>
      </c>
      <c r="H48" s="1243">
        <f t="shared" si="5"/>
        <v>9.9435227513585116E-3</v>
      </c>
    </row>
    <row r="49" spans="1:8">
      <c r="A49" s="1242" t="s">
        <v>1086</v>
      </c>
      <c r="B49" s="943" t="s">
        <v>1085</v>
      </c>
      <c r="C49" s="763">
        <f t="shared" si="5"/>
        <v>3.6636933622682228</v>
      </c>
      <c r="D49" s="763">
        <f t="shared" si="5"/>
        <v>3.6489117780104698</v>
      </c>
      <c r="E49" s="763">
        <f t="shared" si="5"/>
        <v>4.4288477537101993</v>
      </c>
      <c r="F49" s="763">
        <f t="shared" si="5"/>
        <v>4.1467202483845975</v>
      </c>
      <c r="G49" s="763">
        <f t="shared" si="5"/>
        <v>3.6405522176026528</v>
      </c>
      <c r="H49" s="1243">
        <f t="shared" si="5"/>
        <v>-0.80439977618515324</v>
      </c>
    </row>
    <row r="50" spans="1:8">
      <c r="A50" s="1242" t="s">
        <v>50</v>
      </c>
      <c r="B50" s="943" t="s">
        <v>1084</v>
      </c>
      <c r="C50" s="763">
        <f t="shared" si="5"/>
        <v>0.65289746230709622</v>
      </c>
      <c r="D50" s="763">
        <f t="shared" si="5"/>
        <v>0.64576781150010665</v>
      </c>
      <c r="E50" s="763">
        <f t="shared" si="5"/>
        <v>0.58124548615080918</v>
      </c>
      <c r="F50" s="763">
        <f t="shared" si="5"/>
        <v>0.51848916365853503</v>
      </c>
      <c r="G50" s="763">
        <f t="shared" si="5"/>
        <v>0.54929569306360426</v>
      </c>
      <c r="H50" s="1243">
        <f t="shared" si="5"/>
        <v>-0.25035593149327451</v>
      </c>
    </row>
    <row r="51" spans="1:8" ht="15" customHeight="1">
      <c r="A51" s="1242" t="s">
        <v>1136</v>
      </c>
      <c r="B51" s="1065" t="s">
        <v>1135</v>
      </c>
      <c r="C51" s="1241">
        <f t="shared" si="5"/>
        <v>2.1744154466347991</v>
      </c>
      <c r="D51" s="1241">
        <f t="shared" si="5"/>
        <v>2.1337660899259774</v>
      </c>
      <c r="E51" s="1241">
        <f t="shared" si="5"/>
        <v>1.8918668722135483</v>
      </c>
      <c r="F51" s="1241">
        <f t="shared" si="5"/>
        <v>1.7939140290990241</v>
      </c>
      <c r="G51" s="1241">
        <f t="shared" si="5"/>
        <v>1.7619345019601762</v>
      </c>
      <c r="H51" s="1240">
        <f t="shared" si="5"/>
        <v>0.574190334849629</v>
      </c>
    </row>
    <row r="52" spans="1:8">
      <c r="A52" s="1192" t="s">
        <v>850</v>
      </c>
      <c r="B52" s="1238"/>
      <c r="C52" s="1237">
        <f t="shared" si="5"/>
        <v>-2.5472180379260303</v>
      </c>
      <c r="D52" s="1237">
        <f t="shared" si="5"/>
        <v>-2.3956583895956252</v>
      </c>
      <c r="E52" s="1237">
        <f t="shared" si="5"/>
        <v>-1.7776766268749129</v>
      </c>
      <c r="F52" s="1237">
        <f t="shared" si="5"/>
        <v>-1.0020126618799721</v>
      </c>
      <c r="G52" s="1237">
        <f t="shared" si="5"/>
        <v>-0.47186573337737586</v>
      </c>
      <c r="H52" s="1239">
        <f t="shared" si="5"/>
        <v>0.50061365849008332</v>
      </c>
    </row>
    <row r="53" spans="1:8">
      <c r="A53" s="1192" t="s">
        <v>1134</v>
      </c>
      <c r="B53" s="1238"/>
      <c r="C53" s="1237">
        <f t="shared" ref="C53:H53" si="6">C24/C$26*100</f>
        <v>-1.0413441416674318</v>
      </c>
      <c r="D53" s="1237">
        <f t="shared" si="6"/>
        <v>-0.88776422030859836</v>
      </c>
      <c r="E53" s="1237">
        <f t="shared" si="6"/>
        <v>-0.46041024847766188</v>
      </c>
      <c r="F53" s="1237">
        <f t="shared" si="6"/>
        <v>0.24013792713323592</v>
      </c>
      <c r="G53" s="1237">
        <f t="shared" si="6"/>
        <v>0.69389190041044047</v>
      </c>
      <c r="H53" s="1239">
        <f t="shared" si="6"/>
        <v>0.51055718124144178</v>
      </c>
    </row>
    <row r="54" spans="1:8">
      <c r="A54" s="1192" t="s">
        <v>1133</v>
      </c>
      <c r="B54" s="1238"/>
      <c r="C54" s="1237">
        <f>C25/C$26*100</f>
        <v>53.465215740453345</v>
      </c>
      <c r="D54" s="1237">
        <f>D25/D$26*100</f>
        <v>55.711644114177503</v>
      </c>
      <c r="E54" s="1237">
        <f>E25/E$26*100</f>
        <v>51.500912968598357</v>
      </c>
      <c r="F54" s="1237">
        <f>F25/F$26*100</f>
        <v>50.07856626299688</v>
      </c>
      <c r="G54" s="1237">
        <f>G25/G$26*100</f>
        <v>50.793927110053531</v>
      </c>
      <c r="H54" s="1236" t="s">
        <v>1</v>
      </c>
    </row>
    <row r="55" spans="1:8">
      <c r="A55" s="1235" t="s">
        <v>1132</v>
      </c>
      <c r="C55" s="939"/>
      <c r="D55" s="939"/>
      <c r="E55" s="939"/>
      <c r="F55" s="939"/>
      <c r="G55" s="1768" t="s">
        <v>875</v>
      </c>
      <c r="H55" s="1768"/>
    </row>
    <row r="56" spans="1:8">
      <c r="A56" s="1234" t="s">
        <v>1131</v>
      </c>
    </row>
  </sheetData>
  <mergeCells count="16">
    <mergeCell ref="G55:H55"/>
    <mergeCell ref="G27:H27"/>
    <mergeCell ref="A30:G30"/>
    <mergeCell ref="B31:B32"/>
    <mergeCell ref="C31:C32"/>
    <mergeCell ref="D31:D32"/>
    <mergeCell ref="E31:E32"/>
    <mergeCell ref="F31:F32"/>
    <mergeCell ref="G31:G32"/>
    <mergeCell ref="A1:G1"/>
    <mergeCell ref="B2:B3"/>
    <mergeCell ref="C2:C3"/>
    <mergeCell ref="D2:D3"/>
    <mergeCell ref="E2:E3"/>
    <mergeCell ref="F2:F3"/>
    <mergeCell ref="G2:G3"/>
  </mergeCells>
  <pageMargins left="0.7" right="0.7" top="0.75" bottom="0.75" header="0.3" footer="0.3"/>
  <pageSetup orientation="portrait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4"/>
  <sheetViews>
    <sheetView showGridLines="0" workbookViewId="0"/>
  </sheetViews>
  <sheetFormatPr defaultRowHeight="15"/>
  <cols>
    <col min="1" max="1" width="31.28515625" style="758" customWidth="1"/>
    <col min="2" max="5" width="9.140625" style="758"/>
    <col min="6" max="6" width="12.42578125" style="758" customWidth="1"/>
    <col min="7" max="16384" width="9.140625" style="758"/>
  </cols>
  <sheetData>
    <row r="1" spans="1:10">
      <c r="A1" s="1262" t="s">
        <v>1169</v>
      </c>
      <c r="B1" s="1261"/>
      <c r="C1" s="1261"/>
      <c r="D1" s="1261"/>
      <c r="E1" s="1261"/>
      <c r="F1" s="1261"/>
    </row>
    <row r="2" spans="1:10">
      <c r="A2" s="905"/>
      <c r="B2" s="905"/>
      <c r="C2" s="905">
        <v>2017</v>
      </c>
      <c r="D2" s="905">
        <v>2018</v>
      </c>
      <c r="E2" s="905">
        <v>2019</v>
      </c>
      <c r="F2" s="905" t="s">
        <v>823</v>
      </c>
      <c r="I2" s="3"/>
      <c r="J2" s="109"/>
    </row>
    <row r="3" spans="1:10">
      <c r="A3" s="904" t="s">
        <v>822</v>
      </c>
      <c r="C3" s="903">
        <f t="shared" ref="C3:E5" si="0">C15-B15</f>
        <v>0.75460367410668905</v>
      </c>
      <c r="D3" s="903">
        <f t="shared" si="0"/>
        <v>0.77492767998381318</v>
      </c>
      <c r="E3" s="903">
        <f t="shared" si="0"/>
        <v>0.52927861826432587</v>
      </c>
      <c r="F3" s="903">
        <f t="shared" ref="F3:F10" si="1">SUM(C3:E3)</f>
        <v>2.0588099723548279</v>
      </c>
      <c r="I3" s="3"/>
      <c r="J3" s="109"/>
    </row>
    <row r="4" spans="1:10">
      <c r="A4" s="898" t="s">
        <v>55</v>
      </c>
      <c r="C4" s="900">
        <f t="shared" si="0"/>
        <v>-4.0088335148855236E-2</v>
      </c>
      <c r="D4" s="900">
        <f t="shared" si="0"/>
        <v>-0.13277069236707817</v>
      </c>
      <c r="E4" s="900">
        <f t="shared" si="0"/>
        <v>-0.34151315422418804</v>
      </c>
      <c r="F4" s="900">
        <f t="shared" si="1"/>
        <v>-0.51437218174012145</v>
      </c>
      <c r="I4" s="3"/>
      <c r="J4" s="109"/>
    </row>
    <row r="5" spans="1:10">
      <c r="A5" s="898" t="s">
        <v>821</v>
      </c>
      <c r="C5" s="900">
        <f t="shared" si="0"/>
        <v>-0.11978357435130516</v>
      </c>
      <c r="D5" s="900">
        <f t="shared" si="0"/>
        <v>-7.6478058538177685E-2</v>
      </c>
      <c r="E5" s="900">
        <f t="shared" si="0"/>
        <v>-0.12199751719228402</v>
      </c>
      <c r="F5" s="900">
        <f t="shared" si="1"/>
        <v>-0.31825915008176686</v>
      </c>
    </row>
    <row r="6" spans="1:10">
      <c r="A6" s="898" t="s">
        <v>820</v>
      </c>
      <c r="C6" s="900">
        <f>-(C20-B20)</f>
        <v>0.30963285212556357</v>
      </c>
      <c r="D6" s="900">
        <f>-(D20-C20)</f>
        <v>0.30614953404420753</v>
      </c>
      <c r="E6" s="900">
        <f>-(E20-D20)</f>
        <v>0.37192917512978063</v>
      </c>
      <c r="F6" s="900">
        <f t="shared" si="1"/>
        <v>0.98771156129955173</v>
      </c>
    </row>
    <row r="7" spans="1:10">
      <c r="A7" s="1260" t="s">
        <v>1168</v>
      </c>
      <c r="C7" s="900">
        <f>-(C18+C19-B18-B19)</f>
        <v>0.3036805391847075</v>
      </c>
      <c r="D7" s="900">
        <f>-(D18+D19-C18-C19)</f>
        <v>0.2406721429108698</v>
      </c>
      <c r="E7" s="900">
        <f>-(E18+E19-D18-D19)</f>
        <v>0.32486436203322988</v>
      </c>
      <c r="F7" s="900">
        <f t="shared" si="1"/>
        <v>0.86921704412880718</v>
      </c>
    </row>
    <row r="8" spans="1:10">
      <c r="A8" s="1260" t="s">
        <v>1167</v>
      </c>
      <c r="C8" s="900">
        <f>-(C23-B23)</f>
        <v>0.16912656289676953</v>
      </c>
      <c r="D8" s="900">
        <f>-(D23-C23)</f>
        <v>0.31218219362200372</v>
      </c>
      <c r="E8" s="900">
        <f>-(E23-D23)</f>
        <v>0.19367860638634848</v>
      </c>
      <c r="F8" s="900">
        <f t="shared" si="1"/>
        <v>0.67498736290512173</v>
      </c>
    </row>
    <row r="9" spans="1:10">
      <c r="A9" s="898" t="s">
        <v>817</v>
      </c>
      <c r="C9" s="900">
        <f>-(C21-B21)</f>
        <v>0.19062779088977599</v>
      </c>
      <c r="D9" s="900">
        <f>-(D21-C21)</f>
        <v>7.5115789384042841E-2</v>
      </c>
      <c r="E9" s="900">
        <f>-(E21-D21)</f>
        <v>7.639295522539169E-2</v>
      </c>
      <c r="F9" s="900">
        <f t="shared" si="1"/>
        <v>0.34213653549921053</v>
      </c>
    </row>
    <row r="10" spans="1:10">
      <c r="A10" s="902" t="s">
        <v>247</v>
      </c>
      <c r="B10" s="1182"/>
      <c r="C10" s="901">
        <f>C3-SUM(C4:C9)</f>
        <v>-5.8592161489967154E-2</v>
      </c>
      <c r="D10" s="901">
        <f>D3-SUM(D4:D9)</f>
        <v>5.0056770927945138E-2</v>
      </c>
      <c r="E10" s="901">
        <f>E3-SUM(E4:E9)</f>
        <v>2.5924190906047251E-2</v>
      </c>
      <c r="F10" s="901">
        <f t="shared" si="1"/>
        <v>1.7388800344025235E-2</v>
      </c>
    </row>
    <row r="11" spans="1:10">
      <c r="A11" s="898"/>
      <c r="B11" s="900"/>
      <c r="C11" s="900"/>
      <c r="D11" s="900"/>
      <c r="F11" s="899" t="s">
        <v>5</v>
      </c>
    </row>
    <row r="12" spans="1:10">
      <c r="A12" s="898"/>
      <c r="B12" s="898"/>
      <c r="C12" s="898"/>
      <c r="D12" s="898"/>
      <c r="E12" s="898"/>
      <c r="F12" s="898"/>
    </row>
    <row r="13" spans="1:10">
      <c r="A13" s="906" t="s">
        <v>1166</v>
      </c>
      <c r="B13" s="906"/>
      <c r="C13" s="906"/>
      <c r="D13" s="906"/>
      <c r="E13" s="906"/>
      <c r="F13" s="906"/>
    </row>
    <row r="14" spans="1:10">
      <c r="A14" s="905"/>
      <c r="B14" s="905">
        <v>2016</v>
      </c>
      <c r="C14" s="905">
        <v>2017</v>
      </c>
      <c r="D14" s="905">
        <v>2018</v>
      </c>
      <c r="E14" s="905">
        <v>2019</v>
      </c>
      <c r="F14" s="1259"/>
    </row>
    <row r="15" spans="1:10">
      <c r="A15" s="921" t="s">
        <v>850</v>
      </c>
      <c r="B15" s="1258">
        <v>-2.532926340006552</v>
      </c>
      <c r="C15" s="1258">
        <v>-1.778322665899863</v>
      </c>
      <c r="D15" s="1258">
        <v>-1.0033949859160498</v>
      </c>
      <c r="E15" s="1258">
        <v>-0.47411636765172394</v>
      </c>
      <c r="F15" s="1256"/>
    </row>
    <row r="16" spans="1:10">
      <c r="A16" s="898" t="s">
        <v>1165</v>
      </c>
      <c r="B16" s="937">
        <v>30.15882201634091</v>
      </c>
      <c r="C16" s="937">
        <v>30.118733681192055</v>
      </c>
      <c r="D16" s="937">
        <v>29.985962988824976</v>
      </c>
      <c r="E16" s="937">
        <v>29.644449834600788</v>
      </c>
      <c r="F16" s="1256"/>
    </row>
    <row r="17" spans="1:6">
      <c r="A17" s="898" t="s">
        <v>1164</v>
      </c>
      <c r="B17" s="937">
        <v>5.5456272242301496</v>
      </c>
      <c r="C17" s="937">
        <v>5.4258436498788445</v>
      </c>
      <c r="D17" s="937">
        <v>5.3493655913406668</v>
      </c>
      <c r="E17" s="937">
        <v>5.2273680741483828</v>
      </c>
      <c r="F17" s="1256"/>
    </row>
    <row r="18" spans="1:6">
      <c r="A18" s="898" t="s">
        <v>1163</v>
      </c>
      <c r="B18" s="937">
        <v>8.5203506904774731</v>
      </c>
      <c r="C18" s="937">
        <v>8.4173862999294577</v>
      </c>
      <c r="D18" s="937">
        <v>8.3483971641260943</v>
      </c>
      <c r="E18" s="937">
        <v>8.2319585183425641</v>
      </c>
      <c r="F18" s="1256"/>
    </row>
    <row r="19" spans="1:6">
      <c r="A19" s="898" t="s">
        <v>1162</v>
      </c>
      <c r="B19" s="937">
        <v>5.6728926845809493</v>
      </c>
      <c r="C19" s="937">
        <v>5.472176535944258</v>
      </c>
      <c r="D19" s="937">
        <v>5.3004935288367516</v>
      </c>
      <c r="E19" s="937">
        <v>5.0920678125870511</v>
      </c>
      <c r="F19" s="1256"/>
    </row>
    <row r="20" spans="1:6">
      <c r="A20" s="1257" t="s">
        <v>1161</v>
      </c>
      <c r="B20" s="937">
        <v>16.54629354875448</v>
      </c>
      <c r="C20" s="937">
        <v>16.236660696628917</v>
      </c>
      <c r="D20" s="937">
        <v>15.930511162584709</v>
      </c>
      <c r="E20" s="937">
        <v>15.558581987454929</v>
      </c>
      <c r="F20" s="1256"/>
    </row>
    <row r="21" spans="1:6">
      <c r="A21" s="1257" t="s">
        <v>1160</v>
      </c>
      <c r="B21" s="937">
        <v>1.5078941692870269</v>
      </c>
      <c r="C21" s="937">
        <v>1.3172663783972509</v>
      </c>
      <c r="D21" s="937">
        <v>1.2421505890132081</v>
      </c>
      <c r="E21" s="937">
        <v>1.1657576337878164</v>
      </c>
      <c r="F21" s="1256"/>
    </row>
    <row r="22" spans="1:6">
      <c r="A22" s="1257" t="s">
        <v>1159</v>
      </c>
      <c r="B22" s="937">
        <v>0.45483581160990377</v>
      </c>
      <c r="C22" s="937">
        <v>0.49691899446825549</v>
      </c>
      <c r="D22" s="937">
        <v>0.45487834868316995</v>
      </c>
      <c r="E22" s="937">
        <v>0.43850962239010111</v>
      </c>
      <c r="F22" s="1256"/>
    </row>
    <row r="23" spans="1:6">
      <c r="A23" s="902" t="s">
        <v>1158</v>
      </c>
      <c r="B23" s="761">
        <v>5.3237780902528424</v>
      </c>
      <c r="C23" s="761">
        <v>5.1546515273560729</v>
      </c>
      <c r="D23" s="761">
        <v>4.8424693337340692</v>
      </c>
      <c r="E23" s="761">
        <v>4.6487907273477207</v>
      </c>
      <c r="F23" s="1256"/>
    </row>
    <row r="24" spans="1:6">
      <c r="A24" s="898"/>
      <c r="B24" s="898"/>
      <c r="C24" s="898"/>
      <c r="D24" s="898"/>
      <c r="E24" s="898"/>
      <c r="F24" s="898"/>
    </row>
  </sheetData>
  <pageMargins left="0.7" right="0.7" top="0.75" bottom="0.75" header="0.3" footer="0.3"/>
  <pageSetup paperSize="9" orientation="portrait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E9"/>
  <sheetViews>
    <sheetView showGridLines="0" workbookViewId="0">
      <selection sqref="A1:D1"/>
    </sheetView>
  </sheetViews>
  <sheetFormatPr defaultRowHeight="12.75"/>
  <cols>
    <col min="1" max="1" width="46" customWidth="1"/>
  </cols>
  <sheetData>
    <row r="1" spans="1:5" ht="15" customHeight="1">
      <c r="A1" s="1684" t="s">
        <v>186</v>
      </c>
      <c r="B1" s="1684"/>
      <c r="C1" s="1684"/>
      <c r="D1" s="1684"/>
      <c r="E1" s="25"/>
    </row>
    <row r="2" spans="1:5" ht="15" customHeight="1">
      <c r="A2" s="20"/>
      <c r="B2" s="33" t="s">
        <v>73</v>
      </c>
      <c r="C2" s="33" t="s">
        <v>221</v>
      </c>
      <c r="D2" s="33" t="s">
        <v>222</v>
      </c>
      <c r="E2" s="33" t="s">
        <v>223</v>
      </c>
    </row>
    <row r="3" spans="1:5" ht="15" customHeight="1">
      <c r="A3" s="143" t="s">
        <v>140</v>
      </c>
      <c r="B3" s="174">
        <v>-1.97</v>
      </c>
      <c r="C3" s="174">
        <v>-1.2900001435861554</v>
      </c>
      <c r="D3" s="174">
        <v>-0.44000038092531923</v>
      </c>
      <c r="E3" s="174">
        <v>0.15999958902343536</v>
      </c>
    </row>
    <row r="4" spans="1:5" ht="15" customHeight="1">
      <c r="A4" s="21" t="s">
        <v>141</v>
      </c>
      <c r="B4" s="127">
        <v>-1.97</v>
      </c>
      <c r="C4" s="127">
        <v>-0.29151688756182637</v>
      </c>
      <c r="D4" s="127">
        <v>-3.8575999794169036E-2</v>
      </c>
      <c r="E4" s="127">
        <v>0.54673941228606537</v>
      </c>
    </row>
    <row r="5" spans="1:5" ht="15" customHeight="1">
      <c r="A5" s="61" t="s">
        <v>142</v>
      </c>
      <c r="B5" s="131" t="s">
        <v>18</v>
      </c>
      <c r="C5" s="131">
        <f>C3-C4</f>
        <v>-0.99848325602432908</v>
      </c>
      <c r="D5" s="131">
        <f>D3-D4</f>
        <v>-0.4014243811311502</v>
      </c>
      <c r="E5" s="131">
        <f>E3-E4</f>
        <v>-0.38673982326263001</v>
      </c>
    </row>
    <row r="6" spans="1:5" ht="15" customHeight="1">
      <c r="A6" s="195" t="s">
        <v>22</v>
      </c>
      <c r="B6" s="196" t="s">
        <v>18</v>
      </c>
      <c r="C6" s="196">
        <f>C5/100*C9</f>
        <v>-838.63992571276242</v>
      </c>
      <c r="D6" s="196">
        <f>D5/100*D9</f>
        <v>-355.3460285090793</v>
      </c>
      <c r="E6" s="196">
        <f>E5/100*E9</f>
        <v>-364.36544327336372</v>
      </c>
    </row>
    <row r="7" spans="1:5">
      <c r="E7" s="186" t="s">
        <v>9</v>
      </c>
    </row>
    <row r="9" spans="1:5">
      <c r="A9" s="21" t="s">
        <v>20</v>
      </c>
      <c r="C9" s="53">
        <v>83991.385999999999</v>
      </c>
      <c r="D9" s="53">
        <v>88521.286999999997</v>
      </c>
      <c r="E9" s="53">
        <v>94214.616999999998</v>
      </c>
    </row>
  </sheetData>
  <mergeCells count="1">
    <mergeCell ref="A1:D1"/>
  </mergeCells>
  <pageMargins left="0.7" right="0.7" top="0.75" bottom="0.75" header="0.3" footer="0.3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418"/>
  <sheetViews>
    <sheetView showGridLines="0" workbookViewId="0">
      <selection sqref="A1:K1"/>
    </sheetView>
  </sheetViews>
  <sheetFormatPr defaultColWidth="9" defaultRowHeight="15"/>
  <cols>
    <col min="1" max="1" width="48.28515625" style="964" customWidth="1"/>
    <col min="2" max="2" width="9.140625" style="964" customWidth="1"/>
    <col min="3" max="16384" width="9" style="964"/>
  </cols>
  <sheetData>
    <row r="1" spans="1:15">
      <c r="A1" s="1769" t="s">
        <v>1196</v>
      </c>
      <c r="B1" s="1769"/>
      <c r="C1" s="1769"/>
      <c r="D1" s="1769"/>
      <c r="E1" s="1769"/>
      <c r="F1" s="1769"/>
      <c r="G1" s="1769"/>
      <c r="H1" s="1769"/>
      <c r="I1" s="1769"/>
      <c r="J1" s="1769"/>
      <c r="K1" s="1769"/>
      <c r="L1" s="965"/>
      <c r="O1" s="758"/>
    </row>
    <row r="2" spans="1:15">
      <c r="A2" s="982"/>
      <c r="B2" s="1281">
        <v>2010</v>
      </c>
      <c r="C2" s="1281">
        <v>2011</v>
      </c>
      <c r="D2" s="1281">
        <v>2012</v>
      </c>
      <c r="E2" s="1281">
        <v>2013</v>
      </c>
      <c r="F2" s="1281">
        <v>2014</v>
      </c>
      <c r="G2" s="1281">
        <v>2015</v>
      </c>
      <c r="H2" s="1281" t="s">
        <v>541</v>
      </c>
      <c r="I2" s="1281" t="s">
        <v>542</v>
      </c>
      <c r="J2" s="1281" t="s">
        <v>543</v>
      </c>
      <c r="K2" s="1281" t="s">
        <v>544</v>
      </c>
      <c r="L2" s="965"/>
      <c r="N2" s="3"/>
      <c r="O2" s="109"/>
    </row>
    <row r="3" spans="1:15">
      <c r="A3" s="977" t="s">
        <v>1195</v>
      </c>
      <c r="B3" s="1278">
        <f t="shared" ref="B3:K3" si="0">SUM(B4:B14)</f>
        <v>-301.70299999999997</v>
      </c>
      <c r="C3" s="1278">
        <f t="shared" si="0"/>
        <v>279.39859999999999</v>
      </c>
      <c r="D3" s="1278">
        <f t="shared" si="0"/>
        <v>253.14225999999999</v>
      </c>
      <c r="E3" s="1278">
        <f t="shared" si="0"/>
        <v>22.259500000000003</v>
      </c>
      <c r="F3" s="1278">
        <f t="shared" si="0"/>
        <v>110.93599999999998</v>
      </c>
      <c r="G3" s="1278">
        <f t="shared" si="0"/>
        <v>0</v>
      </c>
      <c r="H3" s="1278">
        <f t="shared" si="0"/>
        <v>-48</v>
      </c>
      <c r="I3" s="1278">
        <f t="shared" si="0"/>
        <v>0</v>
      </c>
      <c r="J3" s="1278">
        <f t="shared" si="0"/>
        <v>0</v>
      </c>
      <c r="K3" s="1278">
        <f t="shared" si="0"/>
        <v>0</v>
      </c>
      <c r="L3" s="965"/>
      <c r="N3" s="3"/>
      <c r="O3" s="109"/>
    </row>
    <row r="4" spans="1:15">
      <c r="A4" s="1280" t="s">
        <v>1194</v>
      </c>
      <c r="B4" s="1270">
        <v>-211.011</v>
      </c>
      <c r="C4" s="1270" t="s">
        <v>1</v>
      </c>
      <c r="D4" s="1270" t="s">
        <v>1</v>
      </c>
      <c r="E4" s="1270" t="s">
        <v>1</v>
      </c>
      <c r="F4" s="1270" t="s">
        <v>1</v>
      </c>
      <c r="G4" s="1270" t="s">
        <v>1</v>
      </c>
      <c r="H4" s="1270" t="s">
        <v>1</v>
      </c>
      <c r="I4" s="1270" t="s">
        <v>1</v>
      </c>
      <c r="J4" s="1270" t="s">
        <v>1</v>
      </c>
      <c r="K4" s="1270" t="s">
        <v>1</v>
      </c>
      <c r="L4" s="965"/>
      <c r="N4" s="3"/>
      <c r="O4" s="109"/>
    </row>
    <row r="5" spans="1:15">
      <c r="A5" s="1280" t="s">
        <v>1193</v>
      </c>
      <c r="B5" s="1270" t="s">
        <v>1</v>
      </c>
      <c r="C5" s="1270">
        <v>59.067999999999998</v>
      </c>
      <c r="D5" s="1270" t="s">
        <v>1</v>
      </c>
      <c r="E5" s="1270" t="s">
        <v>1</v>
      </c>
      <c r="F5" s="1270" t="s">
        <v>1</v>
      </c>
      <c r="G5" s="1270" t="s">
        <v>1</v>
      </c>
      <c r="H5" s="1270" t="s">
        <v>1</v>
      </c>
      <c r="I5" s="1270" t="s">
        <v>1</v>
      </c>
      <c r="J5" s="1270" t="s">
        <v>1</v>
      </c>
      <c r="K5" s="1270" t="s">
        <v>1</v>
      </c>
      <c r="L5" s="965"/>
    </row>
    <row r="6" spans="1:15">
      <c r="A6" s="1280" t="s">
        <v>1192</v>
      </c>
      <c r="B6" s="1270" t="s">
        <v>1</v>
      </c>
      <c r="C6" s="1270">
        <v>88.46</v>
      </c>
      <c r="D6" s="1270" t="s">
        <v>1</v>
      </c>
      <c r="E6" s="1270" t="s">
        <v>1</v>
      </c>
      <c r="F6" s="1270">
        <v>163.9</v>
      </c>
      <c r="G6" s="1270" t="s">
        <v>1</v>
      </c>
      <c r="H6" s="1270" t="s">
        <v>1</v>
      </c>
      <c r="I6" s="1270" t="s">
        <v>1</v>
      </c>
      <c r="J6" s="1270" t="s">
        <v>1</v>
      </c>
      <c r="K6" s="1270" t="s">
        <v>1</v>
      </c>
      <c r="L6" s="965"/>
    </row>
    <row r="7" spans="1:15">
      <c r="A7" s="1280" t="s">
        <v>1191</v>
      </c>
      <c r="B7" s="1270">
        <v>-112.6</v>
      </c>
      <c r="C7" s="1270" t="s">
        <v>1</v>
      </c>
      <c r="D7" s="1270" t="s">
        <v>1</v>
      </c>
      <c r="E7" s="1270" t="s">
        <v>1</v>
      </c>
      <c r="F7" s="1270" t="s">
        <v>1</v>
      </c>
      <c r="G7" s="1270" t="s">
        <v>1</v>
      </c>
      <c r="H7" s="1270" t="s">
        <v>1</v>
      </c>
      <c r="I7" s="1270" t="s">
        <v>1</v>
      </c>
      <c r="J7" s="1270" t="s">
        <v>1</v>
      </c>
      <c r="K7" s="1270" t="s">
        <v>1</v>
      </c>
      <c r="L7" s="965"/>
    </row>
    <row r="8" spans="1:15">
      <c r="A8" s="1280" t="s">
        <v>1190</v>
      </c>
      <c r="B8" s="1270" t="s">
        <v>1</v>
      </c>
      <c r="C8" s="1270" t="s">
        <v>1</v>
      </c>
      <c r="D8" s="1270">
        <v>40.164659999999998</v>
      </c>
      <c r="E8" s="1270" t="s">
        <v>1</v>
      </c>
      <c r="F8" s="1270" t="s">
        <v>1</v>
      </c>
      <c r="G8" s="1270" t="s">
        <v>1</v>
      </c>
      <c r="H8" s="1270" t="s">
        <v>1</v>
      </c>
      <c r="I8" s="1270" t="s">
        <v>1</v>
      </c>
      <c r="J8" s="1270" t="s">
        <v>1</v>
      </c>
      <c r="K8" s="1270" t="s">
        <v>1</v>
      </c>
      <c r="L8" s="965"/>
    </row>
    <row r="9" spans="1:15">
      <c r="A9" s="1277" t="s">
        <v>1182</v>
      </c>
      <c r="B9" s="1270" t="s">
        <v>1</v>
      </c>
      <c r="C9" s="1270">
        <v>109.863</v>
      </c>
      <c r="D9" s="1270">
        <v>185.97</v>
      </c>
      <c r="E9" s="1270" t="s">
        <v>1</v>
      </c>
      <c r="F9" s="1270" t="s">
        <v>1</v>
      </c>
      <c r="G9" s="1270" t="s">
        <v>1</v>
      </c>
      <c r="H9" s="1272" t="s">
        <v>1</v>
      </c>
      <c r="I9" s="1272" t="s">
        <v>1</v>
      </c>
      <c r="J9" s="1272" t="s">
        <v>1</v>
      </c>
      <c r="K9" s="1272" t="s">
        <v>1</v>
      </c>
      <c r="L9" s="965"/>
    </row>
    <row r="10" spans="1:15">
      <c r="A10" s="1277" t="s">
        <v>1189</v>
      </c>
      <c r="B10" s="1270" t="s">
        <v>1</v>
      </c>
      <c r="C10" s="1270" t="s">
        <v>1</v>
      </c>
      <c r="D10" s="1270" t="s">
        <v>1</v>
      </c>
      <c r="E10" s="1270">
        <v>-8.08</v>
      </c>
      <c r="F10" s="1270">
        <v>-58.451999999999998</v>
      </c>
      <c r="G10" s="1270" t="s">
        <v>1</v>
      </c>
      <c r="H10" s="1270" t="s">
        <v>1</v>
      </c>
      <c r="I10" s="1270" t="s">
        <v>1</v>
      </c>
      <c r="J10" s="1270" t="s">
        <v>1</v>
      </c>
      <c r="K10" s="1270" t="s">
        <v>1</v>
      </c>
      <c r="L10" s="965"/>
    </row>
    <row r="11" spans="1:15">
      <c r="A11" s="1277" t="s">
        <v>1188</v>
      </c>
      <c r="B11" s="1270" t="s">
        <v>1</v>
      </c>
      <c r="C11" s="1270" t="s">
        <v>1</v>
      </c>
      <c r="D11" s="1270" t="s">
        <v>1</v>
      </c>
      <c r="E11" s="1270" t="s">
        <v>1</v>
      </c>
      <c r="F11" s="1270">
        <v>44.8</v>
      </c>
      <c r="G11" s="1270" t="s">
        <v>1</v>
      </c>
      <c r="H11" s="1270" t="s">
        <v>1</v>
      </c>
      <c r="I11" s="1270" t="s">
        <v>1</v>
      </c>
      <c r="J11" s="1270" t="s">
        <v>1</v>
      </c>
      <c r="K11" s="1270" t="s">
        <v>1</v>
      </c>
      <c r="L11" s="965"/>
    </row>
    <row r="12" spans="1:15">
      <c r="A12" s="1277" t="s">
        <v>1187</v>
      </c>
      <c r="B12" s="1270" t="s">
        <v>1</v>
      </c>
      <c r="C12" s="1270" t="s">
        <v>1</v>
      </c>
      <c r="D12" s="1270" t="s">
        <v>1</v>
      </c>
      <c r="E12" s="1270" t="s">
        <v>1</v>
      </c>
      <c r="F12" s="1270">
        <v>-87.4</v>
      </c>
      <c r="G12" s="1270" t="s">
        <v>1</v>
      </c>
      <c r="H12" s="1270" t="s">
        <v>1</v>
      </c>
      <c r="I12" s="1270" t="s">
        <v>1</v>
      </c>
      <c r="J12" s="1270" t="s">
        <v>1</v>
      </c>
      <c r="K12" s="1270" t="s">
        <v>1</v>
      </c>
      <c r="L12" s="965"/>
    </row>
    <row r="13" spans="1:15">
      <c r="A13" s="1271" t="s">
        <v>1186</v>
      </c>
      <c r="B13" s="1270">
        <v>21.908000000000001</v>
      </c>
      <c r="C13" s="1270">
        <v>22.0076</v>
      </c>
      <c r="D13" s="1270">
        <v>27.0076</v>
      </c>
      <c r="E13" s="1270">
        <v>30.339500000000001</v>
      </c>
      <c r="F13" s="1270">
        <v>48.088000000000001</v>
      </c>
      <c r="G13" s="1270" t="s">
        <v>1</v>
      </c>
      <c r="H13" s="1270" t="s">
        <v>1</v>
      </c>
      <c r="I13" s="1270" t="s">
        <v>1</v>
      </c>
      <c r="J13" s="1270" t="s">
        <v>1</v>
      </c>
      <c r="K13" s="1270" t="s">
        <v>1</v>
      </c>
      <c r="L13" s="965"/>
    </row>
    <row r="14" spans="1:15">
      <c r="A14" s="1279" t="s">
        <v>1185</v>
      </c>
      <c r="B14" s="1270" t="s">
        <v>1</v>
      </c>
      <c r="C14" s="1270" t="s">
        <v>1</v>
      </c>
      <c r="D14" s="1270" t="s">
        <v>1</v>
      </c>
      <c r="E14" s="1270" t="s">
        <v>1</v>
      </c>
      <c r="F14" s="1270" t="s">
        <v>1</v>
      </c>
      <c r="G14" s="1270" t="s">
        <v>1</v>
      </c>
      <c r="H14" s="1270">
        <v>-48</v>
      </c>
      <c r="I14" s="1270" t="s">
        <v>1</v>
      </c>
      <c r="J14" s="1270" t="s">
        <v>1</v>
      </c>
      <c r="K14" s="1270" t="s">
        <v>1</v>
      </c>
      <c r="L14" s="965"/>
    </row>
    <row r="15" spans="1:15">
      <c r="A15" s="977" t="s">
        <v>1184</v>
      </c>
      <c r="B15" s="1278">
        <f t="shared" ref="B15:K15" si="1">SUM(B16:B21)</f>
        <v>146.41200000000001</v>
      </c>
      <c r="C15" s="1278">
        <f t="shared" si="1"/>
        <v>109.685</v>
      </c>
      <c r="D15" s="1278">
        <f t="shared" si="1"/>
        <v>146.56700000000001</v>
      </c>
      <c r="E15" s="1278">
        <f t="shared" si="1"/>
        <v>554.3094298382</v>
      </c>
      <c r="F15" s="1278">
        <f t="shared" si="1"/>
        <v>562.98611015999995</v>
      </c>
      <c r="G15" s="1278">
        <f t="shared" si="1"/>
        <v>1890.3538217700002</v>
      </c>
      <c r="H15" s="1278">
        <f t="shared" si="1"/>
        <v>142.36958100999999</v>
      </c>
      <c r="I15" s="1278">
        <f t="shared" si="1"/>
        <v>115</v>
      </c>
      <c r="J15" s="1278">
        <f t="shared" si="1"/>
        <v>117</v>
      </c>
      <c r="K15" s="1278">
        <f t="shared" si="1"/>
        <v>123</v>
      </c>
      <c r="L15" s="965"/>
    </row>
    <row r="16" spans="1:15">
      <c r="A16" s="1271" t="s">
        <v>1183</v>
      </c>
      <c r="B16" s="1270" t="s">
        <v>1</v>
      </c>
      <c r="C16" s="1270" t="s">
        <v>1</v>
      </c>
      <c r="D16" s="1270">
        <v>44.234000000000002</v>
      </c>
      <c r="E16" s="1270">
        <v>239.739</v>
      </c>
      <c r="F16" s="1270" t="s">
        <v>1</v>
      </c>
      <c r="G16" s="1272">
        <v>579.35599999999999</v>
      </c>
      <c r="H16" s="1270" t="s">
        <v>1</v>
      </c>
      <c r="I16" s="1270" t="s">
        <v>1</v>
      </c>
      <c r="J16" s="1270" t="s">
        <v>1</v>
      </c>
      <c r="K16" s="1270" t="s">
        <v>1</v>
      </c>
      <c r="L16" s="966"/>
    </row>
    <row r="17" spans="1:15">
      <c r="A17" s="1277" t="s">
        <v>1182</v>
      </c>
      <c r="B17" s="1270">
        <v>146.41200000000001</v>
      </c>
      <c r="C17" s="1270">
        <v>109.685</v>
      </c>
      <c r="D17" s="1270">
        <v>92.582999999999998</v>
      </c>
      <c r="E17" s="1270">
        <v>312.27100000000002</v>
      </c>
      <c r="F17" s="1270">
        <v>336.84500000000003</v>
      </c>
      <c r="G17" s="1270">
        <f>286.574-117.22</f>
        <v>169.35400000000001</v>
      </c>
      <c r="H17" s="1270">
        <v>187</v>
      </c>
      <c r="I17" s="1270">
        <v>115</v>
      </c>
      <c r="J17" s="1270">
        <v>117</v>
      </c>
      <c r="K17" s="1270">
        <v>123</v>
      </c>
      <c r="L17" s="965"/>
    </row>
    <row r="18" spans="1:15">
      <c r="A18" s="1271" t="s">
        <v>1181</v>
      </c>
      <c r="B18" s="1270" t="s">
        <v>1</v>
      </c>
      <c r="C18" s="1270" t="s">
        <v>1</v>
      </c>
      <c r="D18" s="1270" t="s">
        <v>1</v>
      </c>
      <c r="E18" s="1270" t="s">
        <v>1</v>
      </c>
      <c r="F18" s="1270" t="s">
        <v>1</v>
      </c>
      <c r="G18" s="1270">
        <v>800</v>
      </c>
      <c r="H18" s="1270" t="s">
        <v>1</v>
      </c>
      <c r="I18" s="1270" t="s">
        <v>1</v>
      </c>
      <c r="J18" s="1270" t="s">
        <v>1</v>
      </c>
      <c r="K18" s="1270" t="s">
        <v>1</v>
      </c>
      <c r="L18" s="965"/>
    </row>
    <row r="19" spans="1:15">
      <c r="A19" s="1271" t="s">
        <v>1180</v>
      </c>
      <c r="B19" s="1274" t="s">
        <v>1</v>
      </c>
      <c r="C19" s="1274" t="s">
        <v>1</v>
      </c>
      <c r="D19" s="1274" t="s">
        <v>1</v>
      </c>
      <c r="E19" s="1274" t="s">
        <v>1</v>
      </c>
      <c r="F19" s="1274">
        <v>157.75559999999999</v>
      </c>
      <c r="G19" s="1274" t="s">
        <v>1</v>
      </c>
      <c r="H19" s="1274" t="s">
        <v>1</v>
      </c>
      <c r="I19" s="1274" t="s">
        <v>1</v>
      </c>
      <c r="J19" s="1274" t="s">
        <v>1</v>
      </c>
      <c r="K19" s="1274" t="s">
        <v>1</v>
      </c>
      <c r="L19" s="965"/>
    </row>
    <row r="20" spans="1:15">
      <c r="A20" s="1271" t="s">
        <v>1179</v>
      </c>
      <c r="B20" s="1274" t="s">
        <v>1</v>
      </c>
      <c r="C20" s="1274" t="s">
        <v>1</v>
      </c>
      <c r="D20" s="1274">
        <v>9.75</v>
      </c>
      <c r="E20" s="1274">
        <v>19.5</v>
      </c>
      <c r="F20" s="1274">
        <v>19.5</v>
      </c>
      <c r="G20" s="1274">
        <f>117.22</f>
        <v>117.22</v>
      </c>
      <c r="H20" s="1274" t="s">
        <v>1</v>
      </c>
      <c r="I20" s="1274" t="s">
        <v>1</v>
      </c>
      <c r="J20" s="1274" t="s">
        <v>1</v>
      </c>
      <c r="K20" s="1274" t="s">
        <v>1</v>
      </c>
      <c r="L20" s="965"/>
    </row>
    <row r="21" spans="1:15">
      <c r="A21" s="1276" t="s">
        <v>1178</v>
      </c>
      <c r="B21" s="1274" t="s">
        <v>1</v>
      </c>
      <c r="C21" s="1274" t="s">
        <v>1</v>
      </c>
      <c r="D21" s="1274" t="s">
        <v>1</v>
      </c>
      <c r="E21" s="1275">
        <v>-17.200570161800002</v>
      </c>
      <c r="F21" s="1275">
        <v>48.885510159999995</v>
      </c>
      <c r="G21" s="1275">
        <v>224.42382177000002</v>
      </c>
      <c r="H21" s="1275">
        <v>-44.630418990000003</v>
      </c>
      <c r="I21" s="1274" t="s">
        <v>1</v>
      </c>
      <c r="J21" s="1274" t="s">
        <v>1</v>
      </c>
      <c r="K21" s="1274" t="s">
        <v>1</v>
      </c>
      <c r="L21" s="965"/>
    </row>
    <row r="22" spans="1:15">
      <c r="A22" s="1273" t="s">
        <v>1177</v>
      </c>
      <c r="B22" s="1270">
        <f t="shared" ref="B22:K22" si="2">SUM(B23:B25)</f>
        <v>-181.88200000000001</v>
      </c>
      <c r="C22" s="1270">
        <f t="shared" si="2"/>
        <v>-491.54600000000005</v>
      </c>
      <c r="D22" s="1270">
        <f t="shared" si="2"/>
        <v>172.744</v>
      </c>
      <c r="E22" s="1270">
        <f t="shared" si="2"/>
        <v>67.753999999999991</v>
      </c>
      <c r="F22" s="1270">
        <f t="shared" si="2"/>
        <v>-422.51800000000003</v>
      </c>
      <c r="G22" s="1270">
        <f t="shared" si="2"/>
        <v>-3.2661249600000133</v>
      </c>
      <c r="H22" s="1270">
        <f t="shared" si="2"/>
        <v>-102.71699999999998</v>
      </c>
      <c r="I22" s="1270">
        <f t="shared" si="2"/>
        <v>0</v>
      </c>
      <c r="J22" s="1270">
        <f t="shared" si="2"/>
        <v>0</v>
      </c>
      <c r="K22" s="1270">
        <f t="shared" si="2"/>
        <v>0</v>
      </c>
      <c r="L22" s="965"/>
    </row>
    <row r="23" spans="1:15">
      <c r="A23" s="1271" t="s">
        <v>1176</v>
      </c>
      <c r="B23" s="1270">
        <v>-225.93600000000001</v>
      </c>
      <c r="C23" s="1270">
        <v>-60.034999999999997</v>
      </c>
      <c r="D23" s="1270">
        <v>113.09399999999999</v>
      </c>
      <c r="E23" s="1270">
        <v>148.21199999999999</v>
      </c>
      <c r="F23" s="1270">
        <v>-756.00900000000001</v>
      </c>
      <c r="G23" s="1270">
        <v>-22.795000000000002</v>
      </c>
      <c r="H23" s="1270">
        <v>-322.608</v>
      </c>
      <c r="I23" s="1270">
        <v>0</v>
      </c>
      <c r="J23" s="1270">
        <v>0</v>
      </c>
      <c r="K23" s="1270">
        <v>0</v>
      </c>
      <c r="L23" s="965"/>
    </row>
    <row r="24" spans="1:15">
      <c r="A24" s="1271" t="s">
        <v>1175</v>
      </c>
      <c r="B24" s="1270" t="s">
        <v>1</v>
      </c>
      <c r="C24" s="1270" t="s">
        <v>1</v>
      </c>
      <c r="D24" s="1270" t="s">
        <v>1</v>
      </c>
      <c r="E24" s="1272">
        <v>124.514</v>
      </c>
      <c r="F24" s="1272">
        <v>111.01</v>
      </c>
      <c r="G24" s="1272">
        <f>304.28612782-0.754</f>
        <v>303.53212781999997</v>
      </c>
      <c r="H24" s="1270">
        <f>18.799+201.092</f>
        <v>219.89100000000002</v>
      </c>
      <c r="I24" s="1270" t="s">
        <v>1</v>
      </c>
      <c r="J24" s="1270" t="s">
        <v>1</v>
      </c>
      <c r="K24" s="1270" t="s">
        <v>1</v>
      </c>
      <c r="L24" s="965"/>
    </row>
    <row r="25" spans="1:15">
      <c r="A25" s="1271" t="s">
        <v>1174</v>
      </c>
      <c r="B25" s="1270">
        <v>44.054000000000002</v>
      </c>
      <c r="C25" s="1270">
        <v>-431.51100000000002</v>
      </c>
      <c r="D25" s="1270">
        <v>59.65</v>
      </c>
      <c r="E25" s="1270">
        <v>-204.97200000000001</v>
      </c>
      <c r="F25" s="1270">
        <v>222.48099999999999</v>
      </c>
      <c r="G25" s="1270">
        <v>-284.00325277999997</v>
      </c>
      <c r="H25" s="1270" t="s">
        <v>1</v>
      </c>
      <c r="I25" s="1270" t="s">
        <v>1</v>
      </c>
      <c r="J25" s="1270" t="s">
        <v>1</v>
      </c>
      <c r="K25" s="1270" t="s">
        <v>1</v>
      </c>
      <c r="L25" s="965"/>
    </row>
    <row r="26" spans="1:15">
      <c r="A26" s="1269" t="s">
        <v>1173</v>
      </c>
      <c r="B26" s="1268">
        <f t="shared" ref="B26:K26" si="3">B3+B22+B15</f>
        <v>-337.173</v>
      </c>
      <c r="C26" s="1268">
        <f t="shared" si="3"/>
        <v>-102.46240000000006</v>
      </c>
      <c r="D26" s="1268">
        <f t="shared" si="3"/>
        <v>572.45326</v>
      </c>
      <c r="E26" s="1268">
        <f t="shared" si="3"/>
        <v>644.32292983820003</v>
      </c>
      <c r="F26" s="1268">
        <f t="shared" si="3"/>
        <v>251.4041101599999</v>
      </c>
      <c r="G26" s="1268">
        <f t="shared" si="3"/>
        <v>1887.0876968100001</v>
      </c>
      <c r="H26" s="1268">
        <f t="shared" si="3"/>
        <v>-8.3474189899999942</v>
      </c>
      <c r="I26" s="1268">
        <f t="shared" si="3"/>
        <v>115</v>
      </c>
      <c r="J26" s="1268">
        <f t="shared" si="3"/>
        <v>117</v>
      </c>
      <c r="K26" s="1268">
        <f t="shared" si="3"/>
        <v>123</v>
      </c>
      <c r="L26" s="965"/>
    </row>
    <row r="27" spans="1:15">
      <c r="A27" s="1267" t="s">
        <v>185</v>
      </c>
      <c r="B27" s="1266">
        <f t="shared" ref="B27:K27" si="4">B26/B28*100</f>
        <v>-0.49894417208145336</v>
      </c>
      <c r="C27" s="1266">
        <f t="shared" si="4"/>
        <v>-0.14507498527479507</v>
      </c>
      <c r="D27" s="1266">
        <f t="shared" si="4"/>
        <v>0.7873806075360883</v>
      </c>
      <c r="E27" s="1266">
        <f t="shared" si="4"/>
        <v>0.86871214581413758</v>
      </c>
      <c r="F27" s="1266">
        <f t="shared" si="4"/>
        <v>0.33102834388463431</v>
      </c>
      <c r="G27" s="1266">
        <f t="shared" si="4"/>
        <v>2.3982630834739775</v>
      </c>
      <c r="H27" s="1266">
        <f t="shared" si="4"/>
        <v>-1.0282338715877819E-2</v>
      </c>
      <c r="I27" s="1266">
        <f t="shared" si="4"/>
        <v>0.13584901441279262</v>
      </c>
      <c r="J27" s="1266">
        <f t="shared" si="4"/>
        <v>0.13113890120573107</v>
      </c>
      <c r="K27" s="1266">
        <f t="shared" si="4"/>
        <v>0.1295329395460173</v>
      </c>
      <c r="L27" s="965"/>
    </row>
    <row r="28" spans="1:15">
      <c r="A28" s="1265" t="s">
        <v>1172</v>
      </c>
      <c r="B28" s="1264">
        <v>67577.3</v>
      </c>
      <c r="C28" s="1264">
        <v>70627.199999999997</v>
      </c>
      <c r="D28" s="1264">
        <v>72703.5</v>
      </c>
      <c r="E28" s="1264">
        <v>74169.899999999994</v>
      </c>
      <c r="F28" s="1264">
        <v>75946.399999999994</v>
      </c>
      <c r="G28" s="1264">
        <v>78685.600000000006</v>
      </c>
      <c r="H28" s="1264">
        <v>81182.104778459077</v>
      </c>
      <c r="I28" s="1264">
        <v>84652.804068610654</v>
      </c>
      <c r="J28" s="1264">
        <v>89218.377555604253</v>
      </c>
      <c r="K28" s="1264">
        <v>94956.541888948297</v>
      </c>
      <c r="L28" s="965"/>
      <c r="O28" s="758"/>
    </row>
    <row r="29" spans="1:15">
      <c r="A29" s="1263" t="s">
        <v>1171</v>
      </c>
      <c r="B29" s="966"/>
      <c r="C29" s="966"/>
      <c r="D29" s="966"/>
      <c r="E29" s="966"/>
      <c r="F29" s="966"/>
      <c r="G29" s="966"/>
      <c r="H29" s="1770" t="s">
        <v>1170</v>
      </c>
      <c r="I29" s="1770"/>
      <c r="J29" s="1770"/>
      <c r="K29" s="1770"/>
      <c r="L29" s="965"/>
    </row>
    <row r="30" spans="1:15">
      <c r="A30" s="965"/>
      <c r="B30" s="965"/>
      <c r="C30" s="965"/>
      <c r="D30" s="965"/>
      <c r="E30" s="965"/>
      <c r="F30" s="965"/>
      <c r="G30" s="965"/>
      <c r="H30" s="965"/>
      <c r="I30" s="965"/>
      <c r="J30" s="965"/>
      <c r="K30" s="965"/>
      <c r="L30" s="965"/>
    </row>
    <row r="31" spans="1:15">
      <c r="A31" s="965"/>
      <c r="B31" s="965"/>
      <c r="C31" s="965"/>
      <c r="D31" s="965"/>
      <c r="E31" s="965"/>
      <c r="F31" s="965"/>
      <c r="G31" s="965"/>
      <c r="H31" s="965"/>
      <c r="I31" s="965"/>
      <c r="J31" s="965"/>
      <c r="K31" s="965"/>
      <c r="L31" s="965"/>
    </row>
    <row r="32" spans="1:15">
      <c r="A32" s="965"/>
      <c r="B32" s="965"/>
      <c r="C32" s="965"/>
      <c r="D32" s="965"/>
      <c r="E32" s="965"/>
      <c r="F32" s="965"/>
      <c r="G32" s="965"/>
      <c r="H32" s="965"/>
      <c r="I32" s="965"/>
      <c r="J32" s="965"/>
      <c r="K32" s="965"/>
      <c r="L32" s="965"/>
    </row>
    <row r="33" spans="1:12">
      <c r="A33" s="965"/>
      <c r="B33" s="965"/>
      <c r="C33" s="965"/>
      <c r="D33" s="965"/>
      <c r="E33" s="965"/>
      <c r="F33" s="965"/>
      <c r="G33" s="965"/>
      <c r="H33" s="965"/>
      <c r="I33" s="965"/>
      <c r="J33" s="965"/>
      <c r="K33" s="965"/>
      <c r="L33" s="965"/>
    </row>
    <row r="34" spans="1:12">
      <c r="A34" s="965"/>
      <c r="B34" s="965"/>
      <c r="C34" s="965"/>
      <c r="D34" s="965"/>
      <c r="E34" s="965"/>
      <c r="F34" s="965"/>
      <c r="G34" s="965"/>
      <c r="H34" s="965"/>
      <c r="I34" s="965"/>
      <c r="J34" s="965"/>
      <c r="K34" s="965"/>
      <c r="L34" s="965"/>
    </row>
    <row r="35" spans="1:12">
      <c r="A35" s="965"/>
      <c r="B35" s="965"/>
      <c r="C35" s="965"/>
      <c r="D35" s="965"/>
      <c r="E35" s="965"/>
      <c r="F35" s="965"/>
      <c r="G35" s="965"/>
      <c r="H35" s="965"/>
      <c r="I35" s="965"/>
      <c r="J35" s="965"/>
      <c r="K35" s="965"/>
      <c r="L35" s="965"/>
    </row>
    <row r="36" spans="1:12">
      <c r="A36" s="965"/>
      <c r="B36" s="965"/>
      <c r="C36" s="965"/>
      <c r="D36" s="965"/>
      <c r="E36" s="965"/>
      <c r="F36" s="965"/>
      <c r="G36" s="965"/>
      <c r="H36" s="965"/>
      <c r="I36" s="965"/>
      <c r="J36" s="965"/>
      <c r="K36" s="965"/>
      <c r="L36" s="965"/>
    </row>
    <row r="37" spans="1:12">
      <c r="A37" s="965"/>
      <c r="B37" s="965"/>
      <c r="C37" s="965"/>
      <c r="D37" s="965"/>
      <c r="E37" s="965"/>
      <c r="F37" s="965"/>
      <c r="G37" s="965"/>
      <c r="H37" s="965"/>
      <c r="I37" s="965"/>
      <c r="J37" s="965"/>
      <c r="K37" s="965"/>
      <c r="L37" s="965"/>
    </row>
    <row r="38" spans="1:12">
      <c r="A38" s="965"/>
      <c r="B38" s="965"/>
      <c r="C38" s="965"/>
      <c r="D38" s="965"/>
      <c r="E38" s="965"/>
      <c r="F38" s="965"/>
      <c r="G38" s="965"/>
      <c r="H38" s="965"/>
      <c r="I38" s="965"/>
      <c r="J38" s="965"/>
      <c r="K38" s="965"/>
      <c r="L38" s="965"/>
    </row>
    <row r="39" spans="1:12">
      <c r="A39" s="965"/>
      <c r="B39" s="965"/>
      <c r="C39" s="965"/>
      <c r="D39" s="965"/>
      <c r="E39" s="965"/>
      <c r="F39" s="965"/>
      <c r="G39" s="965"/>
      <c r="H39" s="965"/>
      <c r="I39" s="965"/>
      <c r="J39" s="965"/>
      <c r="K39" s="965"/>
      <c r="L39" s="965"/>
    </row>
    <row r="40" spans="1:12">
      <c r="A40" s="965"/>
      <c r="B40" s="965"/>
      <c r="C40" s="965"/>
      <c r="D40" s="965"/>
      <c r="E40" s="965"/>
      <c r="F40" s="965"/>
      <c r="G40" s="965"/>
      <c r="H40" s="965"/>
      <c r="I40" s="965"/>
      <c r="J40" s="965"/>
      <c r="K40" s="965"/>
      <c r="L40" s="965"/>
    </row>
    <row r="41" spans="1:12">
      <c r="A41" s="965"/>
      <c r="B41" s="965"/>
      <c r="C41" s="965"/>
      <c r="D41" s="965"/>
      <c r="E41" s="965"/>
      <c r="F41" s="965"/>
      <c r="G41" s="965"/>
      <c r="H41" s="965"/>
      <c r="I41" s="965"/>
      <c r="J41" s="965"/>
      <c r="K41" s="965"/>
      <c r="L41" s="965"/>
    </row>
    <row r="42" spans="1:12">
      <c r="A42" s="965"/>
      <c r="B42" s="965"/>
      <c r="C42" s="965"/>
      <c r="D42" s="965"/>
      <c r="E42" s="965"/>
      <c r="F42" s="965"/>
      <c r="G42" s="965"/>
      <c r="H42" s="965"/>
      <c r="I42" s="965"/>
      <c r="J42" s="965"/>
      <c r="K42" s="965"/>
      <c r="L42" s="965"/>
    </row>
    <row r="43" spans="1:12">
      <c r="A43" s="965"/>
      <c r="B43" s="965"/>
      <c r="C43" s="965"/>
      <c r="D43" s="965"/>
      <c r="E43" s="965"/>
      <c r="F43" s="965"/>
      <c r="G43" s="965"/>
      <c r="H43" s="965"/>
      <c r="I43" s="965"/>
      <c r="J43" s="965"/>
      <c r="K43" s="965"/>
      <c r="L43" s="965"/>
    </row>
    <row r="44" spans="1:12">
      <c r="A44" s="965"/>
      <c r="B44" s="965"/>
      <c r="C44" s="965"/>
      <c r="D44" s="965"/>
      <c r="E44" s="965"/>
      <c r="F44" s="965"/>
      <c r="G44" s="965"/>
      <c r="H44" s="965"/>
      <c r="I44" s="965"/>
      <c r="J44" s="965"/>
      <c r="K44" s="965"/>
      <c r="L44" s="965"/>
    </row>
    <row r="45" spans="1:12">
      <c r="A45" s="965"/>
      <c r="B45" s="965"/>
      <c r="C45" s="965"/>
      <c r="D45" s="965"/>
      <c r="E45" s="965"/>
      <c r="F45" s="965"/>
      <c r="G45" s="965"/>
      <c r="H45" s="965"/>
      <c r="I45" s="965"/>
      <c r="J45" s="965"/>
      <c r="K45" s="965"/>
      <c r="L45" s="965"/>
    </row>
    <row r="46" spans="1:12">
      <c r="A46" s="965"/>
      <c r="B46" s="965"/>
      <c r="C46" s="965"/>
      <c r="D46" s="965"/>
      <c r="E46" s="965"/>
      <c r="F46" s="965"/>
      <c r="G46" s="965"/>
      <c r="H46" s="965"/>
      <c r="I46" s="965"/>
      <c r="J46" s="965"/>
      <c r="K46" s="965"/>
      <c r="L46" s="965"/>
    </row>
    <row r="47" spans="1:12">
      <c r="A47" s="965"/>
      <c r="B47" s="965"/>
      <c r="C47" s="965"/>
      <c r="D47" s="965"/>
      <c r="E47" s="965"/>
      <c r="F47" s="965"/>
      <c r="G47" s="965"/>
      <c r="H47" s="965"/>
      <c r="I47" s="965"/>
      <c r="J47" s="965"/>
      <c r="K47" s="965"/>
      <c r="L47" s="965"/>
    </row>
    <row r="48" spans="1:12">
      <c r="A48" s="965"/>
      <c r="B48" s="965"/>
      <c r="C48" s="965"/>
      <c r="D48" s="965"/>
      <c r="E48" s="965"/>
      <c r="F48" s="965"/>
      <c r="G48" s="965"/>
      <c r="H48" s="965"/>
      <c r="I48" s="965"/>
      <c r="J48" s="965"/>
      <c r="K48" s="965"/>
      <c r="L48" s="965"/>
    </row>
    <row r="49" spans="1:12">
      <c r="A49" s="965"/>
      <c r="B49" s="965"/>
      <c r="C49" s="965"/>
      <c r="D49" s="965"/>
      <c r="E49" s="965"/>
      <c r="F49" s="965"/>
      <c r="G49" s="965"/>
      <c r="H49" s="965"/>
      <c r="I49" s="965"/>
      <c r="J49" s="965"/>
      <c r="K49" s="965"/>
      <c r="L49" s="965"/>
    </row>
    <row r="50" spans="1:12">
      <c r="A50" s="965"/>
      <c r="B50" s="965"/>
      <c r="C50" s="965"/>
      <c r="D50" s="965"/>
      <c r="E50" s="965"/>
      <c r="F50" s="965"/>
      <c r="G50" s="965"/>
      <c r="H50" s="965"/>
      <c r="I50" s="965"/>
      <c r="J50" s="965"/>
      <c r="K50" s="965"/>
      <c r="L50" s="965"/>
    </row>
    <row r="51" spans="1:12">
      <c r="A51" s="965"/>
      <c r="B51" s="965"/>
      <c r="C51" s="965"/>
      <c r="D51" s="965"/>
      <c r="E51" s="965"/>
      <c r="F51" s="965"/>
      <c r="G51" s="965"/>
      <c r="H51" s="965"/>
      <c r="I51" s="965"/>
      <c r="J51" s="965"/>
      <c r="K51" s="965"/>
      <c r="L51" s="965"/>
    </row>
    <row r="52" spans="1:12">
      <c r="A52" s="965"/>
      <c r="B52" s="965"/>
      <c r="C52" s="965"/>
      <c r="D52" s="965"/>
      <c r="E52" s="965"/>
      <c r="F52" s="965"/>
      <c r="G52" s="965"/>
      <c r="H52" s="965"/>
      <c r="I52" s="965"/>
      <c r="J52" s="965"/>
      <c r="K52" s="965"/>
      <c r="L52" s="965"/>
    </row>
    <row r="53" spans="1:12">
      <c r="A53" s="965"/>
      <c r="B53" s="965"/>
      <c r="C53" s="965"/>
      <c r="D53" s="965"/>
      <c r="E53" s="965"/>
      <c r="F53" s="965"/>
      <c r="G53" s="965"/>
      <c r="H53" s="965"/>
      <c r="I53" s="965"/>
      <c r="J53" s="965"/>
      <c r="K53" s="965"/>
      <c r="L53" s="965"/>
    </row>
    <row r="54" spans="1:12">
      <c r="A54" s="965"/>
      <c r="B54" s="965"/>
      <c r="C54" s="965"/>
      <c r="D54" s="965"/>
      <c r="E54" s="965"/>
      <c r="F54" s="965"/>
      <c r="G54" s="965"/>
      <c r="H54" s="965"/>
      <c r="I54" s="965"/>
      <c r="J54" s="965"/>
      <c r="K54" s="965"/>
      <c r="L54" s="965"/>
    </row>
    <row r="55" spans="1:12">
      <c r="A55" s="965"/>
      <c r="B55" s="965"/>
      <c r="C55" s="965"/>
      <c r="D55" s="965"/>
      <c r="E55" s="965"/>
      <c r="F55" s="965"/>
      <c r="G55" s="965"/>
      <c r="H55" s="965"/>
      <c r="I55" s="965"/>
      <c r="J55" s="965"/>
      <c r="K55" s="965"/>
      <c r="L55" s="965"/>
    </row>
    <row r="56" spans="1:12">
      <c r="A56" s="965"/>
      <c r="B56" s="965"/>
      <c r="C56" s="965"/>
      <c r="D56" s="965"/>
      <c r="E56" s="965"/>
      <c r="F56" s="965"/>
      <c r="G56" s="965"/>
      <c r="H56" s="965"/>
      <c r="I56" s="965"/>
      <c r="J56" s="965"/>
      <c r="K56" s="965"/>
      <c r="L56" s="965"/>
    </row>
    <row r="57" spans="1:12">
      <c r="A57" s="965"/>
      <c r="B57" s="965"/>
      <c r="C57" s="965"/>
      <c r="D57" s="965"/>
      <c r="E57" s="965"/>
      <c r="F57" s="965"/>
      <c r="G57" s="965"/>
      <c r="H57" s="965"/>
      <c r="I57" s="965"/>
      <c r="J57" s="965"/>
      <c r="K57" s="965"/>
      <c r="L57" s="965"/>
    </row>
    <row r="58" spans="1:12">
      <c r="A58" s="965"/>
      <c r="B58" s="965"/>
      <c r="C58" s="965"/>
      <c r="D58" s="965"/>
      <c r="E58" s="965"/>
      <c r="F58" s="965"/>
      <c r="G58" s="965"/>
      <c r="H58" s="965"/>
      <c r="I58" s="965"/>
      <c r="J58" s="965"/>
      <c r="K58" s="965"/>
      <c r="L58" s="965"/>
    </row>
    <row r="59" spans="1:12">
      <c r="A59" s="965"/>
      <c r="B59" s="965"/>
      <c r="C59" s="965"/>
      <c r="D59" s="965"/>
      <c r="E59" s="965"/>
      <c r="F59" s="965"/>
      <c r="G59" s="965"/>
      <c r="H59" s="965"/>
      <c r="I59" s="965"/>
      <c r="J59" s="965"/>
      <c r="K59" s="965"/>
      <c r="L59" s="965"/>
    </row>
    <row r="60" spans="1:12">
      <c r="A60" s="965"/>
      <c r="B60" s="965"/>
      <c r="C60" s="965"/>
      <c r="D60" s="965"/>
      <c r="E60" s="965"/>
      <c r="F60" s="965"/>
      <c r="G60" s="965"/>
      <c r="H60" s="965"/>
      <c r="I60" s="965"/>
      <c r="J60" s="965"/>
      <c r="K60" s="965"/>
      <c r="L60" s="965"/>
    </row>
    <row r="61" spans="1:12">
      <c r="A61" s="965"/>
      <c r="B61" s="965"/>
      <c r="C61" s="965"/>
      <c r="D61" s="965"/>
      <c r="E61" s="965"/>
      <c r="F61" s="965"/>
      <c r="G61" s="965"/>
      <c r="H61" s="965"/>
      <c r="I61" s="965"/>
      <c r="J61" s="965"/>
      <c r="K61" s="965"/>
      <c r="L61" s="965"/>
    </row>
    <row r="62" spans="1:12">
      <c r="A62" s="965"/>
      <c r="B62" s="965"/>
      <c r="C62" s="965"/>
      <c r="D62" s="965"/>
      <c r="E62" s="965"/>
      <c r="F62" s="965"/>
      <c r="G62" s="965"/>
      <c r="H62" s="965"/>
      <c r="I62" s="965"/>
      <c r="J62" s="965"/>
      <c r="K62" s="965"/>
      <c r="L62" s="965"/>
    </row>
    <row r="63" spans="1:12">
      <c r="A63" s="965"/>
      <c r="B63" s="965"/>
      <c r="C63" s="965"/>
      <c r="D63" s="965"/>
      <c r="E63" s="965"/>
      <c r="F63" s="965"/>
      <c r="G63" s="965"/>
      <c r="H63" s="965"/>
      <c r="I63" s="965"/>
      <c r="J63" s="965"/>
      <c r="K63" s="965"/>
      <c r="L63" s="965"/>
    </row>
    <row r="64" spans="1:12">
      <c r="A64" s="965"/>
      <c r="B64" s="965"/>
      <c r="C64" s="965"/>
      <c r="D64" s="965"/>
      <c r="E64" s="965"/>
      <c r="F64" s="965"/>
      <c r="G64" s="965"/>
      <c r="H64" s="965"/>
      <c r="I64" s="965"/>
      <c r="J64" s="965"/>
      <c r="K64" s="965"/>
      <c r="L64" s="965"/>
    </row>
    <row r="65" spans="1:12">
      <c r="A65" s="965"/>
      <c r="B65" s="965"/>
      <c r="C65" s="965"/>
      <c r="D65" s="965"/>
      <c r="E65" s="965"/>
      <c r="F65" s="965"/>
      <c r="G65" s="965"/>
      <c r="H65" s="965"/>
      <c r="I65" s="965"/>
      <c r="J65" s="965"/>
      <c r="K65" s="965"/>
      <c r="L65" s="965"/>
    </row>
    <row r="66" spans="1:12">
      <c r="A66" s="965"/>
      <c r="B66" s="965"/>
      <c r="C66" s="965"/>
      <c r="D66" s="965"/>
      <c r="E66" s="965"/>
      <c r="F66" s="965"/>
      <c r="G66" s="965"/>
      <c r="H66" s="965"/>
      <c r="I66" s="965"/>
      <c r="J66" s="965"/>
      <c r="K66" s="965"/>
      <c r="L66" s="965"/>
    </row>
    <row r="67" spans="1:12">
      <c r="A67" s="965"/>
      <c r="B67" s="965"/>
      <c r="C67" s="965"/>
      <c r="D67" s="965"/>
      <c r="E67" s="965"/>
      <c r="F67" s="965"/>
      <c r="G67" s="965"/>
      <c r="H67" s="965"/>
      <c r="I67" s="965"/>
      <c r="J67" s="965"/>
      <c r="K67" s="965"/>
      <c r="L67" s="965"/>
    </row>
    <row r="68" spans="1:12">
      <c r="A68" s="965"/>
      <c r="B68" s="965"/>
      <c r="C68" s="965"/>
      <c r="D68" s="965"/>
      <c r="E68" s="965"/>
      <c r="F68" s="965"/>
      <c r="G68" s="965"/>
      <c r="H68" s="965"/>
      <c r="I68" s="965"/>
      <c r="J68" s="965"/>
      <c r="K68" s="965"/>
      <c r="L68" s="965"/>
    </row>
    <row r="69" spans="1:12">
      <c r="A69" s="965"/>
      <c r="B69" s="965"/>
      <c r="C69" s="965"/>
      <c r="D69" s="965"/>
      <c r="E69" s="965"/>
      <c r="F69" s="965"/>
      <c r="G69" s="965"/>
      <c r="H69" s="965"/>
      <c r="I69" s="965"/>
      <c r="J69" s="965"/>
      <c r="K69" s="965"/>
      <c r="L69" s="965"/>
    </row>
    <row r="70" spans="1:12">
      <c r="A70" s="965"/>
      <c r="B70" s="965"/>
      <c r="C70" s="965"/>
      <c r="D70" s="965"/>
      <c r="E70" s="965"/>
      <c r="F70" s="965"/>
      <c r="G70" s="965"/>
      <c r="H70" s="965"/>
      <c r="I70" s="965"/>
      <c r="J70" s="965"/>
      <c r="K70" s="965"/>
      <c r="L70" s="965"/>
    </row>
    <row r="71" spans="1:12">
      <c r="A71" s="965"/>
      <c r="B71" s="965"/>
      <c r="C71" s="965"/>
      <c r="D71" s="965"/>
      <c r="E71" s="965"/>
      <c r="F71" s="965"/>
      <c r="G71" s="965"/>
      <c r="H71" s="965"/>
      <c r="I71" s="965"/>
      <c r="J71" s="965"/>
      <c r="K71" s="965"/>
      <c r="L71" s="965"/>
    </row>
    <row r="72" spans="1:12">
      <c r="A72" s="965"/>
      <c r="B72" s="965"/>
      <c r="C72" s="965"/>
      <c r="D72" s="965"/>
      <c r="E72" s="965"/>
      <c r="F72" s="965"/>
      <c r="G72" s="965"/>
      <c r="H72" s="965"/>
      <c r="I72" s="965"/>
      <c r="J72" s="965"/>
      <c r="K72" s="965"/>
      <c r="L72" s="965"/>
    </row>
    <row r="73" spans="1:12">
      <c r="A73" s="965"/>
      <c r="B73" s="965"/>
      <c r="C73" s="965"/>
      <c r="D73" s="965"/>
      <c r="E73" s="965"/>
      <c r="F73" s="965"/>
      <c r="G73" s="965"/>
      <c r="H73" s="965"/>
      <c r="I73" s="965"/>
      <c r="J73" s="965"/>
      <c r="K73" s="965"/>
      <c r="L73" s="965"/>
    </row>
    <row r="74" spans="1:12">
      <c r="A74" s="965"/>
      <c r="B74" s="965"/>
      <c r="C74" s="965"/>
      <c r="D74" s="965"/>
      <c r="E74" s="965"/>
      <c r="F74" s="965"/>
      <c r="G74" s="965"/>
      <c r="H74" s="965"/>
      <c r="I74" s="965"/>
      <c r="J74" s="965"/>
      <c r="K74" s="965"/>
      <c r="L74" s="965"/>
    </row>
    <row r="75" spans="1:12">
      <c r="A75" s="965"/>
      <c r="B75" s="965"/>
      <c r="C75" s="965"/>
      <c r="D75" s="965"/>
      <c r="E75" s="965"/>
      <c r="F75" s="965"/>
      <c r="G75" s="965"/>
      <c r="H75" s="965"/>
      <c r="I75" s="965"/>
      <c r="J75" s="965"/>
      <c r="K75" s="965"/>
      <c r="L75" s="965"/>
    </row>
    <row r="76" spans="1:12">
      <c r="A76" s="965"/>
      <c r="B76" s="965"/>
      <c r="C76" s="965"/>
      <c r="D76" s="965"/>
      <c r="E76" s="965"/>
      <c r="F76" s="965"/>
      <c r="G76" s="965"/>
      <c r="H76" s="965"/>
      <c r="I76" s="965"/>
      <c r="J76" s="965"/>
      <c r="K76" s="965"/>
      <c r="L76" s="965"/>
    </row>
    <row r="77" spans="1:12">
      <c r="A77" s="965"/>
      <c r="B77" s="965"/>
      <c r="C77" s="965"/>
      <c r="D77" s="965"/>
      <c r="E77" s="965"/>
      <c r="F77" s="965"/>
      <c r="G77" s="965"/>
      <c r="H77" s="965"/>
      <c r="I77" s="965"/>
      <c r="J77" s="965"/>
      <c r="K77" s="965"/>
      <c r="L77" s="965"/>
    </row>
    <row r="78" spans="1:12">
      <c r="A78" s="965"/>
      <c r="B78" s="965"/>
      <c r="C78" s="965"/>
      <c r="D78" s="965"/>
      <c r="E78" s="965"/>
      <c r="F78" s="965"/>
      <c r="G78" s="965"/>
      <c r="H78" s="965"/>
      <c r="I78" s="965"/>
      <c r="J78" s="965"/>
      <c r="K78" s="965"/>
      <c r="L78" s="965"/>
    </row>
    <row r="79" spans="1:12">
      <c r="A79" s="965"/>
      <c r="B79" s="965"/>
      <c r="C79" s="965"/>
      <c r="D79" s="965"/>
      <c r="E79" s="965"/>
      <c r="F79" s="965"/>
      <c r="G79" s="965"/>
      <c r="H79" s="965"/>
      <c r="I79" s="965"/>
      <c r="J79" s="965"/>
      <c r="K79" s="965"/>
      <c r="L79" s="965"/>
    </row>
    <row r="80" spans="1:12">
      <c r="A80" s="965"/>
      <c r="B80" s="965"/>
      <c r="C80" s="965"/>
      <c r="D80" s="965"/>
      <c r="E80" s="965"/>
      <c r="F80" s="965"/>
      <c r="G80" s="965"/>
      <c r="H80" s="965"/>
      <c r="I80" s="965"/>
      <c r="J80" s="965"/>
      <c r="K80" s="965"/>
      <c r="L80" s="965"/>
    </row>
    <row r="81" spans="1:12">
      <c r="A81" s="965"/>
      <c r="B81" s="965"/>
      <c r="C81" s="965"/>
      <c r="D81" s="965"/>
      <c r="E81" s="965"/>
      <c r="F81" s="965"/>
      <c r="G81" s="965"/>
      <c r="H81" s="965"/>
      <c r="I81" s="965"/>
      <c r="J81" s="965"/>
      <c r="K81" s="965"/>
      <c r="L81" s="965"/>
    </row>
    <row r="82" spans="1:12">
      <c r="A82" s="965"/>
      <c r="B82" s="965"/>
      <c r="C82" s="965"/>
      <c r="D82" s="965"/>
      <c r="E82" s="965"/>
      <c r="F82" s="965"/>
      <c r="G82" s="965"/>
      <c r="H82" s="965"/>
      <c r="I82" s="965"/>
      <c r="J82" s="965"/>
      <c r="K82" s="965"/>
      <c r="L82" s="965"/>
    </row>
    <row r="83" spans="1:12">
      <c r="A83" s="965"/>
      <c r="B83" s="965"/>
      <c r="C83" s="965"/>
      <c r="D83" s="965"/>
      <c r="E83" s="965"/>
      <c r="F83" s="965"/>
      <c r="G83" s="965"/>
      <c r="H83" s="965"/>
      <c r="I83" s="965"/>
      <c r="J83" s="965"/>
      <c r="K83" s="965"/>
      <c r="L83" s="965"/>
    </row>
    <row r="84" spans="1:12">
      <c r="A84" s="965"/>
      <c r="B84" s="965"/>
      <c r="C84" s="965"/>
      <c r="D84" s="965"/>
      <c r="E84" s="965"/>
      <c r="F84" s="965"/>
      <c r="G84" s="965"/>
      <c r="H84" s="965"/>
      <c r="I84" s="965"/>
      <c r="J84" s="965"/>
      <c r="K84" s="965"/>
      <c r="L84" s="965"/>
    </row>
    <row r="85" spans="1:12">
      <c r="A85" s="965"/>
      <c r="B85" s="965"/>
      <c r="C85" s="965"/>
      <c r="D85" s="965"/>
      <c r="E85" s="965"/>
      <c r="F85" s="965"/>
      <c r="G85" s="965"/>
      <c r="H85" s="965"/>
      <c r="I85" s="965"/>
      <c r="J85" s="965"/>
      <c r="K85" s="965"/>
      <c r="L85" s="965"/>
    </row>
    <row r="86" spans="1:12">
      <c r="A86" s="965"/>
      <c r="B86" s="965"/>
      <c r="C86" s="965"/>
      <c r="D86" s="965"/>
      <c r="E86" s="965"/>
      <c r="F86" s="965"/>
      <c r="G86" s="965"/>
      <c r="H86" s="965"/>
      <c r="I86" s="965"/>
      <c r="J86" s="965"/>
      <c r="K86" s="965"/>
      <c r="L86" s="965"/>
    </row>
    <row r="87" spans="1:12">
      <c r="A87" s="965"/>
      <c r="B87" s="965"/>
      <c r="C87" s="965"/>
      <c r="D87" s="965"/>
      <c r="E87" s="965"/>
      <c r="F87" s="965"/>
      <c r="G87" s="965"/>
      <c r="H87" s="965"/>
      <c r="I87" s="965"/>
      <c r="J87" s="965"/>
      <c r="K87" s="965"/>
      <c r="L87" s="965"/>
    </row>
    <row r="88" spans="1:12">
      <c r="A88" s="965"/>
      <c r="B88" s="965"/>
      <c r="C88" s="965"/>
      <c r="D88" s="965"/>
      <c r="E88" s="965"/>
      <c r="F88" s="965"/>
      <c r="G88" s="965"/>
      <c r="H88" s="965"/>
      <c r="I88" s="965"/>
      <c r="J88" s="965"/>
      <c r="K88" s="965"/>
      <c r="L88" s="965"/>
    </row>
    <row r="89" spans="1:12">
      <c r="A89" s="965"/>
      <c r="B89" s="965"/>
      <c r="C89" s="965"/>
      <c r="D89" s="965"/>
      <c r="E89" s="965"/>
      <c r="F89" s="965"/>
      <c r="G89" s="965"/>
      <c r="H89" s="965"/>
      <c r="I89" s="965"/>
      <c r="J89" s="965"/>
      <c r="K89" s="965"/>
      <c r="L89" s="965"/>
    </row>
    <row r="90" spans="1:12">
      <c r="A90" s="965"/>
      <c r="B90" s="965"/>
      <c r="C90" s="965"/>
      <c r="D90" s="965"/>
      <c r="E90" s="965"/>
      <c r="F90" s="965"/>
      <c r="G90" s="965"/>
      <c r="H90" s="965"/>
      <c r="I90" s="965"/>
      <c r="J90" s="965"/>
      <c r="K90" s="965"/>
      <c r="L90" s="965"/>
    </row>
    <row r="91" spans="1:12">
      <c r="A91" s="965"/>
      <c r="B91" s="965"/>
      <c r="C91" s="965"/>
      <c r="D91" s="965"/>
      <c r="E91" s="965"/>
      <c r="F91" s="965"/>
      <c r="G91" s="965"/>
      <c r="H91" s="965"/>
      <c r="I91" s="965"/>
      <c r="J91" s="965"/>
      <c r="K91" s="965"/>
      <c r="L91" s="965"/>
    </row>
    <row r="92" spans="1:12">
      <c r="A92" s="965"/>
      <c r="B92" s="965"/>
      <c r="C92" s="965"/>
      <c r="D92" s="965"/>
      <c r="E92" s="965"/>
      <c r="F92" s="965"/>
      <c r="G92" s="965"/>
      <c r="H92" s="965"/>
      <c r="I92" s="965"/>
      <c r="J92" s="965"/>
      <c r="K92" s="965"/>
      <c r="L92" s="965"/>
    </row>
    <row r="93" spans="1:12">
      <c r="A93" s="965"/>
      <c r="B93" s="965"/>
      <c r="C93" s="965"/>
      <c r="D93" s="965"/>
      <c r="E93" s="965"/>
      <c r="F93" s="965"/>
      <c r="G93" s="965"/>
      <c r="H93" s="965"/>
      <c r="I93" s="965"/>
      <c r="J93" s="965"/>
      <c r="K93" s="965"/>
      <c r="L93" s="965"/>
    </row>
    <row r="94" spans="1:12">
      <c r="A94" s="965"/>
      <c r="B94" s="965"/>
      <c r="C94" s="965"/>
      <c r="D94" s="965"/>
      <c r="E94" s="965"/>
      <c r="F94" s="965"/>
      <c r="G94" s="965"/>
      <c r="H94" s="965"/>
      <c r="I94" s="965"/>
      <c r="J94" s="965"/>
      <c r="K94" s="965"/>
      <c r="L94" s="965"/>
    </row>
    <row r="95" spans="1:12">
      <c r="A95" s="965"/>
      <c r="B95" s="965"/>
      <c r="C95" s="965"/>
      <c r="D95" s="965"/>
      <c r="E95" s="965"/>
      <c r="F95" s="965"/>
      <c r="G95" s="965"/>
      <c r="H95" s="965"/>
      <c r="I95" s="965"/>
      <c r="J95" s="965"/>
      <c r="K95" s="965"/>
      <c r="L95" s="965"/>
    </row>
    <row r="96" spans="1:12">
      <c r="A96" s="965"/>
      <c r="B96" s="965"/>
      <c r="C96" s="965"/>
      <c r="D96" s="965"/>
      <c r="E96" s="965"/>
      <c r="F96" s="965"/>
      <c r="G96" s="965"/>
      <c r="H96" s="965"/>
      <c r="I96" s="965"/>
      <c r="J96" s="965"/>
      <c r="K96" s="965"/>
      <c r="L96" s="965"/>
    </row>
    <row r="97" spans="1:12">
      <c r="A97" s="965"/>
      <c r="B97" s="965"/>
      <c r="C97" s="965"/>
      <c r="D97" s="965"/>
      <c r="E97" s="965"/>
      <c r="F97" s="965"/>
      <c r="G97" s="965"/>
      <c r="H97" s="965"/>
      <c r="I97" s="965"/>
      <c r="J97" s="965"/>
      <c r="K97" s="965"/>
      <c r="L97" s="965"/>
    </row>
    <row r="98" spans="1:12">
      <c r="A98" s="965"/>
      <c r="B98" s="965"/>
      <c r="C98" s="965"/>
      <c r="D98" s="965"/>
      <c r="E98" s="965"/>
      <c r="F98" s="965"/>
      <c r="G98" s="965"/>
      <c r="H98" s="965"/>
      <c r="I98" s="965"/>
      <c r="J98" s="965"/>
      <c r="K98" s="965"/>
      <c r="L98" s="965"/>
    </row>
    <row r="99" spans="1:12">
      <c r="A99" s="965"/>
      <c r="B99" s="965"/>
      <c r="C99" s="965"/>
      <c r="D99" s="965"/>
      <c r="E99" s="965"/>
      <c r="F99" s="965"/>
      <c r="G99" s="965"/>
      <c r="H99" s="965"/>
      <c r="I99" s="965"/>
      <c r="J99" s="965"/>
      <c r="K99" s="965"/>
      <c r="L99" s="965"/>
    </row>
    <row r="100" spans="1:12">
      <c r="A100" s="965"/>
      <c r="B100" s="965"/>
      <c r="C100" s="965"/>
      <c r="D100" s="965"/>
      <c r="E100" s="965"/>
      <c r="F100" s="965"/>
      <c r="G100" s="965"/>
      <c r="H100" s="965"/>
      <c r="I100" s="965"/>
      <c r="J100" s="965"/>
      <c r="K100" s="965"/>
      <c r="L100" s="965"/>
    </row>
    <row r="101" spans="1:12">
      <c r="A101" s="965"/>
      <c r="B101" s="965"/>
      <c r="C101" s="965"/>
      <c r="D101" s="965"/>
      <c r="E101" s="965"/>
      <c r="F101" s="965"/>
      <c r="G101" s="965"/>
      <c r="H101" s="965"/>
      <c r="I101" s="965"/>
      <c r="J101" s="965"/>
      <c r="K101" s="965"/>
      <c r="L101" s="965"/>
    </row>
    <row r="102" spans="1:12">
      <c r="A102" s="965"/>
      <c r="B102" s="965"/>
      <c r="C102" s="965"/>
      <c r="D102" s="965"/>
      <c r="E102" s="965"/>
      <c r="F102" s="965"/>
      <c r="G102" s="965"/>
      <c r="H102" s="965"/>
      <c r="I102" s="965"/>
      <c r="J102" s="965"/>
      <c r="K102" s="965"/>
      <c r="L102" s="965"/>
    </row>
    <row r="103" spans="1:12">
      <c r="A103" s="965"/>
      <c r="B103" s="965"/>
      <c r="C103" s="965"/>
      <c r="D103" s="965"/>
      <c r="E103" s="965"/>
      <c r="F103" s="965"/>
      <c r="G103" s="965"/>
      <c r="H103" s="965"/>
      <c r="I103" s="965"/>
      <c r="J103" s="965"/>
      <c r="K103" s="965"/>
      <c r="L103" s="965"/>
    </row>
    <row r="104" spans="1:12">
      <c r="A104" s="965"/>
      <c r="B104" s="965"/>
      <c r="C104" s="965"/>
      <c r="D104" s="965"/>
      <c r="E104" s="965"/>
      <c r="F104" s="965"/>
      <c r="G104" s="965"/>
      <c r="H104" s="965"/>
      <c r="I104" s="965"/>
      <c r="J104" s="965"/>
      <c r="K104" s="965"/>
      <c r="L104" s="965"/>
    </row>
    <row r="105" spans="1:12">
      <c r="A105" s="965"/>
      <c r="B105" s="965"/>
      <c r="C105" s="965"/>
      <c r="D105" s="965"/>
      <c r="E105" s="965"/>
      <c r="F105" s="965"/>
      <c r="G105" s="965"/>
      <c r="H105" s="965"/>
      <c r="I105" s="965"/>
      <c r="J105" s="965"/>
      <c r="K105" s="965"/>
      <c r="L105" s="965"/>
    </row>
    <row r="106" spans="1:12">
      <c r="A106" s="965"/>
      <c r="B106" s="965"/>
      <c r="C106" s="965"/>
      <c r="D106" s="965"/>
      <c r="E106" s="965"/>
      <c r="F106" s="965"/>
      <c r="G106" s="965"/>
      <c r="H106" s="965"/>
      <c r="I106" s="965"/>
      <c r="J106" s="965"/>
      <c r="K106" s="965"/>
      <c r="L106" s="965"/>
    </row>
    <row r="107" spans="1:12">
      <c r="A107" s="965"/>
      <c r="B107" s="965"/>
      <c r="C107" s="965"/>
      <c r="D107" s="965"/>
      <c r="E107" s="965"/>
      <c r="F107" s="965"/>
      <c r="G107" s="965"/>
      <c r="H107" s="965"/>
      <c r="I107" s="965"/>
      <c r="J107" s="965"/>
      <c r="K107" s="965"/>
      <c r="L107" s="965"/>
    </row>
    <row r="108" spans="1:12">
      <c r="A108" s="965"/>
      <c r="B108" s="965"/>
      <c r="C108" s="965"/>
      <c r="D108" s="965"/>
      <c r="E108" s="965"/>
      <c r="F108" s="965"/>
      <c r="G108" s="965"/>
      <c r="H108" s="965"/>
      <c r="I108" s="965"/>
      <c r="J108" s="965"/>
      <c r="K108" s="965"/>
      <c r="L108" s="965"/>
    </row>
    <row r="109" spans="1:12">
      <c r="A109" s="965"/>
      <c r="B109" s="965"/>
      <c r="C109" s="965"/>
      <c r="D109" s="965"/>
      <c r="E109" s="965"/>
      <c r="F109" s="965"/>
      <c r="G109" s="965"/>
      <c r="H109" s="965"/>
      <c r="I109" s="965"/>
      <c r="J109" s="965"/>
      <c r="K109" s="965"/>
      <c r="L109" s="965"/>
    </row>
    <row r="110" spans="1:12">
      <c r="A110" s="965"/>
      <c r="B110" s="965"/>
      <c r="C110" s="965"/>
      <c r="D110" s="965"/>
      <c r="E110" s="965"/>
      <c r="F110" s="965"/>
      <c r="G110" s="965"/>
      <c r="H110" s="965"/>
      <c r="I110" s="965"/>
      <c r="J110" s="965"/>
      <c r="K110" s="965"/>
      <c r="L110" s="965"/>
    </row>
    <row r="111" spans="1:12">
      <c r="A111" s="965"/>
      <c r="B111" s="965"/>
      <c r="C111" s="965"/>
      <c r="D111" s="965"/>
      <c r="E111" s="965"/>
      <c r="F111" s="965"/>
      <c r="G111" s="965"/>
      <c r="H111" s="965"/>
      <c r="I111" s="965"/>
      <c r="J111" s="965"/>
      <c r="K111" s="965"/>
      <c r="L111" s="965"/>
    </row>
    <row r="112" spans="1:12">
      <c r="A112" s="965"/>
      <c r="B112" s="965"/>
      <c r="C112" s="965"/>
      <c r="D112" s="965"/>
      <c r="E112" s="965"/>
      <c r="F112" s="965"/>
      <c r="G112" s="965"/>
      <c r="H112" s="965"/>
      <c r="I112" s="965"/>
      <c r="J112" s="965"/>
      <c r="K112" s="965"/>
      <c r="L112" s="965"/>
    </row>
    <row r="113" spans="1:12">
      <c r="A113" s="965"/>
      <c r="B113" s="965"/>
      <c r="C113" s="965"/>
      <c r="D113" s="965"/>
      <c r="E113" s="965"/>
      <c r="F113" s="965"/>
      <c r="G113" s="965"/>
      <c r="H113" s="965"/>
      <c r="I113" s="965"/>
      <c r="J113" s="965"/>
      <c r="K113" s="965"/>
      <c r="L113" s="965"/>
    </row>
    <row r="114" spans="1:12">
      <c r="A114" s="965"/>
      <c r="B114" s="965"/>
      <c r="C114" s="965"/>
      <c r="D114" s="965"/>
      <c r="E114" s="965"/>
      <c r="F114" s="965"/>
      <c r="G114" s="965"/>
      <c r="H114" s="965"/>
      <c r="I114" s="965"/>
      <c r="J114" s="965"/>
      <c r="K114" s="965"/>
      <c r="L114" s="965"/>
    </row>
    <row r="115" spans="1:12">
      <c r="A115" s="965"/>
      <c r="B115" s="965"/>
      <c r="C115" s="965"/>
      <c r="D115" s="965"/>
      <c r="E115" s="965"/>
      <c r="F115" s="965"/>
      <c r="G115" s="965"/>
      <c r="H115" s="965"/>
      <c r="I115" s="965"/>
      <c r="J115" s="965"/>
      <c r="K115" s="965"/>
      <c r="L115" s="965"/>
    </row>
    <row r="116" spans="1:12">
      <c r="A116" s="965"/>
      <c r="B116" s="965"/>
      <c r="C116" s="965"/>
      <c r="D116" s="965"/>
      <c r="E116" s="965"/>
      <c r="F116" s="965"/>
      <c r="G116" s="965"/>
      <c r="H116" s="965"/>
      <c r="I116" s="965"/>
      <c r="J116" s="965"/>
      <c r="K116" s="965"/>
      <c r="L116" s="965"/>
    </row>
    <row r="117" spans="1:12">
      <c r="A117" s="965"/>
      <c r="B117" s="965"/>
      <c r="C117" s="965"/>
      <c r="D117" s="965"/>
      <c r="E117" s="965"/>
      <c r="F117" s="965"/>
      <c r="G117" s="965"/>
      <c r="H117" s="965"/>
      <c r="I117" s="965"/>
      <c r="J117" s="965"/>
      <c r="K117" s="965"/>
      <c r="L117" s="965"/>
    </row>
    <row r="118" spans="1:12">
      <c r="A118" s="965"/>
      <c r="B118" s="965"/>
      <c r="C118" s="965"/>
      <c r="D118" s="965"/>
      <c r="E118" s="965"/>
      <c r="F118" s="965"/>
      <c r="G118" s="965"/>
      <c r="H118" s="965"/>
      <c r="I118" s="965"/>
      <c r="J118" s="965"/>
      <c r="K118" s="965"/>
      <c r="L118" s="965"/>
    </row>
    <row r="119" spans="1:12">
      <c r="A119" s="965"/>
      <c r="B119" s="965"/>
      <c r="C119" s="965"/>
      <c r="D119" s="965"/>
      <c r="E119" s="965"/>
      <c r="F119" s="965"/>
      <c r="G119" s="965"/>
      <c r="H119" s="965"/>
      <c r="I119" s="965"/>
      <c r="J119" s="965"/>
      <c r="K119" s="965"/>
      <c r="L119" s="965"/>
    </row>
    <row r="120" spans="1:12">
      <c r="A120" s="965"/>
      <c r="B120" s="965"/>
      <c r="C120" s="965"/>
      <c r="D120" s="965"/>
      <c r="E120" s="965"/>
      <c r="F120" s="965"/>
      <c r="G120" s="965"/>
      <c r="H120" s="965"/>
      <c r="I120" s="965"/>
      <c r="J120" s="965"/>
      <c r="K120" s="965"/>
      <c r="L120" s="965"/>
    </row>
    <row r="121" spans="1:12">
      <c r="A121" s="965"/>
      <c r="B121" s="965"/>
      <c r="C121" s="965"/>
      <c r="D121" s="965"/>
      <c r="E121" s="965"/>
      <c r="F121" s="965"/>
      <c r="G121" s="965"/>
      <c r="H121" s="965"/>
      <c r="I121" s="965"/>
      <c r="J121" s="965"/>
      <c r="K121" s="965"/>
      <c r="L121" s="965"/>
    </row>
    <row r="122" spans="1:12">
      <c r="A122" s="965"/>
      <c r="B122" s="965"/>
      <c r="C122" s="965"/>
      <c r="D122" s="965"/>
      <c r="E122" s="965"/>
      <c r="F122" s="965"/>
      <c r="G122" s="965"/>
      <c r="H122" s="965"/>
      <c r="I122" s="965"/>
      <c r="J122" s="965"/>
      <c r="K122" s="965"/>
      <c r="L122" s="965"/>
    </row>
    <row r="123" spans="1:12">
      <c r="A123" s="965"/>
      <c r="B123" s="965"/>
      <c r="C123" s="965"/>
      <c r="D123" s="965"/>
      <c r="E123" s="965"/>
      <c r="F123" s="965"/>
      <c r="G123" s="965"/>
      <c r="H123" s="965"/>
      <c r="I123" s="965"/>
      <c r="J123" s="965"/>
      <c r="K123" s="965"/>
      <c r="L123" s="965"/>
    </row>
    <row r="124" spans="1:12">
      <c r="A124" s="965"/>
      <c r="B124" s="965"/>
      <c r="C124" s="965"/>
      <c r="D124" s="965"/>
      <c r="E124" s="965"/>
      <c r="F124" s="965"/>
      <c r="G124" s="965"/>
      <c r="H124" s="965"/>
      <c r="I124" s="965"/>
      <c r="J124" s="965"/>
      <c r="K124" s="965"/>
      <c r="L124" s="965"/>
    </row>
    <row r="125" spans="1:12">
      <c r="A125" s="965"/>
      <c r="B125" s="965"/>
      <c r="C125" s="965"/>
      <c r="D125" s="965"/>
      <c r="E125" s="965"/>
      <c r="F125" s="965"/>
      <c r="G125" s="965"/>
      <c r="H125" s="965"/>
      <c r="I125" s="965"/>
      <c r="J125" s="965"/>
      <c r="K125" s="965"/>
      <c r="L125" s="965"/>
    </row>
    <row r="126" spans="1:12">
      <c r="A126" s="965"/>
      <c r="B126" s="965"/>
      <c r="C126" s="965"/>
      <c r="D126" s="965"/>
      <c r="E126" s="965"/>
      <c r="F126" s="965"/>
      <c r="G126" s="965"/>
      <c r="H126" s="965"/>
      <c r="I126" s="965"/>
      <c r="J126" s="965"/>
      <c r="K126" s="965"/>
      <c r="L126" s="965"/>
    </row>
    <row r="127" spans="1:12">
      <c r="A127" s="965"/>
      <c r="B127" s="965"/>
      <c r="C127" s="965"/>
      <c r="D127" s="965"/>
      <c r="E127" s="965"/>
      <c r="F127" s="965"/>
      <c r="G127" s="965"/>
      <c r="H127" s="965"/>
      <c r="I127" s="965"/>
      <c r="J127" s="965"/>
      <c r="K127" s="965"/>
      <c r="L127" s="965"/>
    </row>
    <row r="128" spans="1:12">
      <c r="A128" s="965"/>
      <c r="B128" s="965"/>
      <c r="C128" s="965"/>
      <c r="D128" s="965"/>
      <c r="E128" s="965"/>
      <c r="F128" s="965"/>
      <c r="G128" s="965"/>
      <c r="H128" s="965"/>
      <c r="I128" s="965"/>
      <c r="J128" s="965"/>
      <c r="K128" s="965"/>
      <c r="L128" s="965"/>
    </row>
    <row r="129" spans="1:12">
      <c r="A129" s="965"/>
      <c r="B129" s="965"/>
      <c r="C129" s="965"/>
      <c r="D129" s="965"/>
      <c r="E129" s="965"/>
      <c r="F129" s="965"/>
      <c r="G129" s="965"/>
      <c r="H129" s="965"/>
      <c r="I129" s="965"/>
      <c r="J129" s="965"/>
      <c r="K129" s="965"/>
      <c r="L129" s="965"/>
    </row>
    <row r="130" spans="1:12">
      <c r="A130" s="965"/>
      <c r="B130" s="965"/>
      <c r="C130" s="965"/>
      <c r="D130" s="965"/>
      <c r="E130" s="965"/>
      <c r="F130" s="965"/>
      <c r="G130" s="965"/>
      <c r="H130" s="965"/>
      <c r="I130" s="965"/>
      <c r="J130" s="965"/>
      <c r="K130" s="965"/>
      <c r="L130" s="965"/>
    </row>
    <row r="131" spans="1:12">
      <c r="A131" s="965"/>
      <c r="B131" s="965"/>
      <c r="C131" s="965"/>
      <c r="D131" s="965"/>
      <c r="E131" s="965"/>
      <c r="F131" s="965"/>
      <c r="G131" s="965"/>
      <c r="H131" s="965"/>
      <c r="I131" s="965"/>
      <c r="J131" s="965"/>
      <c r="K131" s="965"/>
      <c r="L131" s="965"/>
    </row>
    <row r="132" spans="1:12">
      <c r="A132" s="965"/>
      <c r="B132" s="965"/>
      <c r="C132" s="965"/>
      <c r="D132" s="965"/>
      <c r="E132" s="965"/>
      <c r="F132" s="965"/>
      <c r="G132" s="965"/>
      <c r="H132" s="965"/>
      <c r="I132" s="965"/>
      <c r="J132" s="965"/>
      <c r="K132" s="965"/>
      <c r="L132" s="965"/>
    </row>
    <row r="133" spans="1:12">
      <c r="A133" s="965"/>
      <c r="B133" s="965"/>
      <c r="C133" s="965"/>
      <c r="D133" s="965"/>
      <c r="E133" s="965"/>
      <c r="F133" s="965"/>
      <c r="G133" s="965"/>
      <c r="H133" s="965"/>
      <c r="I133" s="965"/>
      <c r="J133" s="965"/>
      <c r="K133" s="965"/>
      <c r="L133" s="965"/>
    </row>
    <row r="134" spans="1:12">
      <c r="A134" s="965"/>
      <c r="B134" s="965"/>
      <c r="C134" s="965"/>
      <c r="D134" s="965"/>
      <c r="E134" s="965"/>
      <c r="F134" s="965"/>
      <c r="G134" s="965"/>
      <c r="H134" s="965"/>
      <c r="I134" s="965"/>
      <c r="J134" s="965"/>
      <c r="K134" s="965"/>
      <c r="L134" s="965"/>
    </row>
    <row r="135" spans="1:12">
      <c r="A135" s="965"/>
      <c r="B135" s="965"/>
      <c r="C135" s="965"/>
      <c r="D135" s="965"/>
      <c r="E135" s="965"/>
      <c r="F135" s="965"/>
      <c r="G135" s="965"/>
      <c r="H135" s="965"/>
      <c r="I135" s="965"/>
      <c r="J135" s="965"/>
      <c r="K135" s="965"/>
      <c r="L135" s="965"/>
    </row>
    <row r="136" spans="1:12">
      <c r="A136" s="965"/>
      <c r="B136" s="965"/>
      <c r="C136" s="965"/>
      <c r="D136" s="965"/>
      <c r="E136" s="965"/>
      <c r="F136" s="965"/>
      <c r="G136" s="965"/>
      <c r="H136" s="965"/>
      <c r="I136" s="965"/>
      <c r="J136" s="965"/>
      <c r="K136" s="965"/>
      <c r="L136" s="965"/>
    </row>
    <row r="137" spans="1:12">
      <c r="A137" s="965"/>
      <c r="B137" s="965"/>
      <c r="C137" s="965"/>
      <c r="D137" s="965"/>
      <c r="E137" s="965"/>
      <c r="F137" s="965"/>
      <c r="G137" s="965"/>
      <c r="H137" s="965"/>
      <c r="I137" s="965"/>
      <c r="J137" s="965"/>
      <c r="K137" s="965"/>
      <c r="L137" s="965"/>
    </row>
    <row r="138" spans="1:12">
      <c r="A138" s="965"/>
      <c r="B138" s="965"/>
      <c r="C138" s="965"/>
      <c r="D138" s="965"/>
      <c r="E138" s="965"/>
      <c r="F138" s="965"/>
      <c r="G138" s="965"/>
      <c r="H138" s="965"/>
      <c r="I138" s="965"/>
      <c r="J138" s="965"/>
      <c r="K138" s="965"/>
      <c r="L138" s="965"/>
    </row>
    <row r="139" spans="1:12">
      <c r="A139" s="965"/>
      <c r="B139" s="965"/>
      <c r="C139" s="965"/>
      <c r="D139" s="965"/>
      <c r="E139" s="965"/>
      <c r="F139" s="965"/>
      <c r="G139" s="965"/>
      <c r="H139" s="965"/>
      <c r="I139" s="965"/>
      <c r="J139" s="965"/>
      <c r="K139" s="965"/>
      <c r="L139" s="965"/>
    </row>
    <row r="140" spans="1:12">
      <c r="A140" s="965"/>
      <c r="B140" s="965"/>
      <c r="C140" s="965"/>
      <c r="D140" s="965"/>
      <c r="E140" s="965"/>
      <c r="F140" s="965"/>
      <c r="G140" s="965"/>
      <c r="H140" s="965"/>
      <c r="I140" s="965"/>
      <c r="J140" s="965"/>
      <c r="K140" s="965"/>
      <c r="L140" s="965"/>
    </row>
    <row r="141" spans="1:12">
      <c r="A141" s="965"/>
      <c r="B141" s="965"/>
      <c r="C141" s="965"/>
      <c r="D141" s="965"/>
      <c r="E141" s="965"/>
      <c r="F141" s="965"/>
      <c r="G141" s="965"/>
      <c r="H141" s="965"/>
      <c r="I141" s="965"/>
      <c r="J141" s="965"/>
      <c r="K141" s="965"/>
      <c r="L141" s="965"/>
    </row>
    <row r="142" spans="1:12">
      <c r="A142" s="965"/>
      <c r="B142" s="965"/>
      <c r="C142" s="965"/>
      <c r="D142" s="965"/>
      <c r="E142" s="965"/>
      <c r="F142" s="965"/>
      <c r="G142" s="965"/>
      <c r="H142" s="965"/>
      <c r="I142" s="965"/>
      <c r="J142" s="965"/>
      <c r="K142" s="965"/>
      <c r="L142" s="965"/>
    </row>
    <row r="143" spans="1:12">
      <c r="A143" s="965"/>
      <c r="B143" s="965"/>
      <c r="C143" s="965"/>
      <c r="D143" s="965"/>
      <c r="E143" s="965"/>
      <c r="F143" s="965"/>
      <c r="G143" s="965"/>
      <c r="H143" s="965"/>
      <c r="I143" s="965"/>
      <c r="J143" s="965"/>
      <c r="K143" s="965"/>
      <c r="L143" s="965"/>
    </row>
    <row r="144" spans="1:12">
      <c r="A144" s="965"/>
      <c r="B144" s="965"/>
      <c r="C144" s="965"/>
      <c r="D144" s="965"/>
      <c r="E144" s="965"/>
      <c r="F144" s="965"/>
      <c r="G144" s="965"/>
      <c r="H144" s="965"/>
      <c r="I144" s="965"/>
      <c r="J144" s="965"/>
      <c r="K144" s="965"/>
      <c r="L144" s="965"/>
    </row>
    <row r="145" spans="1:12">
      <c r="A145" s="965"/>
      <c r="B145" s="965"/>
      <c r="C145" s="965"/>
      <c r="D145" s="965"/>
      <c r="E145" s="965"/>
      <c r="F145" s="965"/>
      <c r="G145" s="965"/>
      <c r="H145" s="965"/>
      <c r="I145" s="965"/>
      <c r="J145" s="965"/>
      <c r="K145" s="965"/>
      <c r="L145" s="965"/>
    </row>
    <row r="146" spans="1:12">
      <c r="A146" s="965"/>
      <c r="B146" s="965"/>
      <c r="C146" s="965"/>
      <c r="D146" s="965"/>
      <c r="E146" s="965"/>
      <c r="F146" s="965"/>
      <c r="G146" s="965"/>
      <c r="H146" s="965"/>
      <c r="I146" s="965"/>
      <c r="J146" s="965"/>
      <c r="K146" s="965"/>
      <c r="L146" s="965"/>
    </row>
    <row r="147" spans="1:12">
      <c r="A147" s="965"/>
      <c r="B147" s="965"/>
      <c r="C147" s="965"/>
      <c r="D147" s="965"/>
      <c r="E147" s="965"/>
      <c r="F147" s="965"/>
      <c r="G147" s="965"/>
      <c r="H147" s="965"/>
      <c r="I147" s="965"/>
      <c r="J147" s="965"/>
      <c r="K147" s="965"/>
      <c r="L147" s="965"/>
    </row>
    <row r="148" spans="1:12">
      <c r="A148" s="965"/>
      <c r="B148" s="965"/>
      <c r="C148" s="965"/>
      <c r="D148" s="965"/>
      <c r="E148" s="965"/>
      <c r="F148" s="965"/>
      <c r="G148" s="965"/>
      <c r="H148" s="965"/>
      <c r="I148" s="965"/>
      <c r="J148" s="965"/>
      <c r="K148" s="965"/>
      <c r="L148" s="965"/>
    </row>
    <row r="149" spans="1:12">
      <c r="A149" s="965"/>
      <c r="B149" s="965"/>
      <c r="C149" s="965"/>
      <c r="D149" s="965"/>
      <c r="E149" s="965"/>
      <c r="F149" s="965"/>
      <c r="G149" s="965"/>
      <c r="H149" s="965"/>
      <c r="I149" s="965"/>
      <c r="J149" s="965"/>
      <c r="K149" s="965"/>
      <c r="L149" s="965"/>
    </row>
    <row r="150" spans="1:12">
      <c r="A150" s="965"/>
      <c r="B150" s="965"/>
      <c r="C150" s="965"/>
      <c r="D150" s="965"/>
      <c r="E150" s="965"/>
      <c r="F150" s="965"/>
      <c r="G150" s="965"/>
      <c r="H150" s="965"/>
      <c r="I150" s="965"/>
      <c r="J150" s="965"/>
      <c r="K150" s="965"/>
      <c r="L150" s="965"/>
    </row>
    <row r="151" spans="1:12">
      <c r="A151" s="965"/>
      <c r="B151" s="965"/>
      <c r="C151" s="965"/>
      <c r="D151" s="965"/>
      <c r="E151" s="965"/>
      <c r="F151" s="965"/>
      <c r="G151" s="965"/>
      <c r="H151" s="965"/>
      <c r="I151" s="965"/>
      <c r="J151" s="965"/>
      <c r="K151" s="965"/>
      <c r="L151" s="965"/>
    </row>
    <row r="152" spans="1:12">
      <c r="A152" s="965"/>
      <c r="B152" s="965"/>
      <c r="C152" s="965"/>
      <c r="D152" s="965"/>
      <c r="E152" s="965"/>
      <c r="F152" s="965"/>
      <c r="G152" s="965"/>
      <c r="H152" s="965"/>
      <c r="I152" s="965"/>
      <c r="J152" s="965"/>
      <c r="K152" s="965"/>
      <c r="L152" s="965"/>
    </row>
    <row r="153" spans="1:12">
      <c r="A153" s="965"/>
      <c r="B153" s="965"/>
      <c r="C153" s="965"/>
      <c r="D153" s="965"/>
      <c r="E153" s="965"/>
      <c r="F153" s="965"/>
      <c r="G153" s="965"/>
      <c r="H153" s="965"/>
      <c r="I153" s="965"/>
      <c r="J153" s="965"/>
      <c r="K153" s="965"/>
      <c r="L153" s="965"/>
    </row>
    <row r="154" spans="1:12">
      <c r="A154" s="965"/>
      <c r="B154" s="965"/>
      <c r="C154" s="965"/>
      <c r="D154" s="965"/>
      <c r="E154" s="965"/>
      <c r="F154" s="965"/>
      <c r="G154" s="965"/>
      <c r="H154" s="965"/>
      <c r="I154" s="965"/>
      <c r="J154" s="965"/>
      <c r="K154" s="965"/>
      <c r="L154" s="965"/>
    </row>
    <row r="155" spans="1:12">
      <c r="A155" s="965"/>
      <c r="B155" s="965"/>
      <c r="C155" s="965"/>
      <c r="D155" s="965"/>
      <c r="E155" s="965"/>
      <c r="F155" s="965"/>
      <c r="G155" s="965"/>
      <c r="H155" s="965"/>
      <c r="I155" s="965"/>
      <c r="J155" s="965"/>
      <c r="K155" s="965"/>
      <c r="L155" s="965"/>
    </row>
    <row r="156" spans="1:12">
      <c r="A156" s="965"/>
      <c r="B156" s="965"/>
      <c r="C156" s="965"/>
      <c r="D156" s="965"/>
      <c r="E156" s="965"/>
      <c r="F156" s="965"/>
      <c r="G156" s="965"/>
      <c r="H156" s="965"/>
      <c r="I156" s="965"/>
      <c r="J156" s="965"/>
      <c r="K156" s="965"/>
      <c r="L156" s="965"/>
    </row>
    <row r="157" spans="1:12">
      <c r="A157" s="965"/>
      <c r="B157" s="965"/>
      <c r="C157" s="965"/>
      <c r="D157" s="965"/>
      <c r="E157" s="965"/>
      <c r="F157" s="965"/>
      <c r="G157" s="965"/>
      <c r="H157" s="965"/>
      <c r="I157" s="965"/>
      <c r="J157" s="965"/>
      <c r="K157" s="965"/>
      <c r="L157" s="965"/>
    </row>
    <row r="158" spans="1:12">
      <c r="A158" s="965"/>
      <c r="B158" s="965"/>
      <c r="C158" s="965"/>
      <c r="D158" s="965"/>
      <c r="E158" s="965"/>
      <c r="F158" s="965"/>
      <c r="G158" s="965"/>
      <c r="H158" s="965"/>
      <c r="I158" s="965"/>
      <c r="J158" s="965"/>
      <c r="K158" s="965"/>
      <c r="L158" s="965"/>
    </row>
    <row r="159" spans="1:12">
      <c r="A159" s="965"/>
      <c r="B159" s="965"/>
      <c r="C159" s="965"/>
      <c r="D159" s="965"/>
      <c r="E159" s="965"/>
      <c r="F159" s="965"/>
      <c r="G159" s="965"/>
      <c r="H159" s="965"/>
      <c r="I159" s="965"/>
      <c r="J159" s="965"/>
      <c r="K159" s="965"/>
      <c r="L159" s="965"/>
    </row>
    <row r="160" spans="1:12">
      <c r="A160" s="965"/>
      <c r="B160" s="965"/>
      <c r="C160" s="965"/>
      <c r="D160" s="965"/>
      <c r="E160" s="965"/>
      <c r="F160" s="965"/>
      <c r="G160" s="965"/>
      <c r="H160" s="965"/>
      <c r="I160" s="965"/>
      <c r="J160" s="965"/>
      <c r="K160" s="965"/>
      <c r="L160" s="965"/>
    </row>
    <row r="161" spans="1:12">
      <c r="A161" s="965"/>
      <c r="B161" s="965"/>
      <c r="C161" s="965"/>
      <c r="D161" s="965"/>
      <c r="E161" s="965"/>
      <c r="F161" s="965"/>
      <c r="G161" s="965"/>
      <c r="H161" s="965"/>
      <c r="I161" s="965"/>
      <c r="J161" s="965"/>
      <c r="K161" s="965"/>
      <c r="L161" s="965"/>
    </row>
    <row r="162" spans="1:12">
      <c r="A162" s="965"/>
      <c r="B162" s="965"/>
      <c r="C162" s="965"/>
      <c r="D162" s="965"/>
      <c r="E162" s="965"/>
      <c r="F162" s="965"/>
      <c r="G162" s="965"/>
      <c r="H162" s="965"/>
      <c r="I162" s="965"/>
      <c r="J162" s="965"/>
      <c r="K162" s="965"/>
      <c r="L162" s="965"/>
    </row>
    <row r="163" spans="1:12">
      <c r="A163" s="965"/>
      <c r="B163" s="965"/>
      <c r="C163" s="965"/>
      <c r="D163" s="965"/>
      <c r="E163" s="965"/>
      <c r="F163" s="965"/>
      <c r="G163" s="965"/>
      <c r="H163" s="965"/>
      <c r="I163" s="965"/>
      <c r="J163" s="965"/>
      <c r="K163" s="965"/>
      <c r="L163" s="965"/>
    </row>
    <row r="164" spans="1:12">
      <c r="A164" s="965"/>
      <c r="B164" s="965"/>
      <c r="C164" s="965"/>
      <c r="D164" s="965"/>
      <c r="E164" s="965"/>
      <c r="F164" s="965"/>
      <c r="G164" s="965"/>
      <c r="H164" s="965"/>
      <c r="I164" s="965"/>
      <c r="J164" s="965"/>
      <c r="K164" s="965"/>
      <c r="L164" s="965"/>
    </row>
    <row r="165" spans="1:12">
      <c r="A165" s="965"/>
      <c r="B165" s="965"/>
      <c r="C165" s="965"/>
      <c r="D165" s="965"/>
      <c r="E165" s="965"/>
      <c r="F165" s="965"/>
      <c r="G165" s="965"/>
      <c r="H165" s="965"/>
      <c r="I165" s="965"/>
      <c r="J165" s="965"/>
      <c r="K165" s="965"/>
      <c r="L165" s="965"/>
    </row>
    <row r="166" spans="1:12">
      <c r="A166" s="965"/>
      <c r="B166" s="965"/>
      <c r="C166" s="965"/>
      <c r="D166" s="965"/>
      <c r="E166" s="965"/>
      <c r="F166" s="965"/>
      <c r="G166" s="965"/>
      <c r="H166" s="965"/>
      <c r="I166" s="965"/>
      <c r="J166" s="965"/>
      <c r="K166" s="965"/>
      <c r="L166" s="965"/>
    </row>
    <row r="167" spans="1:12">
      <c r="A167" s="965"/>
      <c r="B167" s="965"/>
      <c r="C167" s="965"/>
      <c r="D167" s="965"/>
      <c r="E167" s="965"/>
      <c r="F167" s="965"/>
      <c r="G167" s="965"/>
      <c r="H167" s="965"/>
      <c r="I167" s="965"/>
      <c r="J167" s="965"/>
      <c r="K167" s="965"/>
      <c r="L167" s="965"/>
    </row>
    <row r="168" spans="1:12">
      <c r="A168" s="965"/>
      <c r="B168" s="965"/>
      <c r="C168" s="965"/>
      <c r="D168" s="965"/>
      <c r="E168" s="965"/>
      <c r="F168" s="965"/>
      <c r="G168" s="965"/>
      <c r="H168" s="965"/>
      <c r="I168" s="965"/>
      <c r="J168" s="965"/>
      <c r="K168" s="965"/>
      <c r="L168" s="965"/>
    </row>
    <row r="169" spans="1:12">
      <c r="A169" s="965"/>
      <c r="B169" s="965"/>
      <c r="C169" s="965"/>
      <c r="D169" s="965"/>
      <c r="E169" s="965"/>
      <c r="F169" s="965"/>
      <c r="G169" s="965"/>
      <c r="H169" s="965"/>
      <c r="I169" s="965"/>
      <c r="J169" s="965"/>
      <c r="K169" s="965"/>
      <c r="L169" s="965"/>
    </row>
    <row r="170" spans="1:12">
      <c r="A170" s="965"/>
      <c r="B170" s="965"/>
      <c r="C170" s="965"/>
      <c r="D170" s="965"/>
      <c r="E170" s="965"/>
      <c r="F170" s="965"/>
      <c r="G170" s="965"/>
      <c r="H170" s="965"/>
      <c r="I170" s="965"/>
      <c r="J170" s="965"/>
      <c r="K170" s="965"/>
      <c r="L170" s="965"/>
    </row>
    <row r="171" spans="1:12">
      <c r="A171" s="965"/>
      <c r="B171" s="965"/>
      <c r="C171" s="965"/>
      <c r="D171" s="965"/>
      <c r="E171" s="965"/>
      <c r="F171" s="965"/>
      <c r="G171" s="965"/>
      <c r="H171" s="965"/>
      <c r="I171" s="965"/>
      <c r="J171" s="965"/>
      <c r="K171" s="965"/>
      <c r="L171" s="965"/>
    </row>
    <row r="172" spans="1:12">
      <c r="A172" s="965"/>
      <c r="B172" s="965"/>
      <c r="C172" s="965"/>
      <c r="D172" s="965"/>
      <c r="E172" s="965"/>
      <c r="F172" s="965"/>
      <c r="G172" s="965"/>
      <c r="H172" s="965"/>
      <c r="I172" s="965"/>
      <c r="J172" s="965"/>
      <c r="K172" s="965"/>
      <c r="L172" s="965"/>
    </row>
    <row r="173" spans="1:12">
      <c r="A173" s="965"/>
      <c r="B173" s="965"/>
      <c r="C173" s="965"/>
      <c r="D173" s="965"/>
      <c r="E173" s="965"/>
      <c r="F173" s="965"/>
      <c r="G173" s="965"/>
      <c r="H173" s="965"/>
      <c r="I173" s="965"/>
      <c r="J173" s="965"/>
      <c r="K173" s="965"/>
      <c r="L173" s="965"/>
    </row>
    <row r="174" spans="1:12">
      <c r="A174" s="965"/>
      <c r="B174" s="965"/>
      <c r="C174" s="965"/>
      <c r="D174" s="965"/>
      <c r="E174" s="965"/>
      <c r="F174" s="965"/>
      <c r="G174" s="965"/>
      <c r="H174" s="965"/>
      <c r="I174" s="965"/>
      <c r="J174" s="965"/>
      <c r="K174" s="965"/>
      <c r="L174" s="965"/>
    </row>
    <row r="175" spans="1:12">
      <c r="A175" s="965"/>
      <c r="B175" s="965"/>
      <c r="C175" s="965"/>
      <c r="D175" s="965"/>
      <c r="E175" s="965"/>
      <c r="F175" s="965"/>
      <c r="G175" s="965"/>
      <c r="H175" s="965"/>
      <c r="I175" s="965"/>
      <c r="J175" s="965"/>
      <c r="K175" s="965"/>
      <c r="L175" s="965"/>
    </row>
    <row r="176" spans="1:12">
      <c r="A176" s="965"/>
      <c r="B176" s="965"/>
      <c r="C176" s="965"/>
      <c r="D176" s="965"/>
      <c r="E176" s="965"/>
      <c r="F176" s="965"/>
      <c r="G176" s="965"/>
      <c r="H176" s="965"/>
      <c r="I176" s="965"/>
      <c r="J176" s="965"/>
      <c r="K176" s="965"/>
      <c r="L176" s="965"/>
    </row>
    <row r="177" spans="1:12">
      <c r="A177" s="965"/>
      <c r="B177" s="965"/>
      <c r="C177" s="965"/>
      <c r="D177" s="965"/>
      <c r="E177" s="965"/>
      <c r="F177" s="965"/>
      <c r="G177" s="965"/>
      <c r="H177" s="965"/>
      <c r="I177" s="965"/>
      <c r="J177" s="965"/>
      <c r="K177" s="965"/>
      <c r="L177" s="965"/>
    </row>
    <row r="178" spans="1:12">
      <c r="A178" s="965"/>
      <c r="B178" s="965"/>
      <c r="C178" s="965"/>
      <c r="D178" s="965"/>
      <c r="E178" s="965"/>
      <c r="F178" s="965"/>
      <c r="G178" s="965"/>
      <c r="H178" s="965"/>
      <c r="I178" s="965"/>
      <c r="J178" s="965"/>
      <c r="K178" s="965"/>
      <c r="L178" s="965"/>
    </row>
    <row r="179" spans="1:12">
      <c r="A179" s="965"/>
      <c r="B179" s="965"/>
      <c r="C179" s="965"/>
      <c r="D179" s="965"/>
      <c r="E179" s="965"/>
      <c r="F179" s="965"/>
      <c r="G179" s="965"/>
      <c r="H179" s="965"/>
      <c r="I179" s="965"/>
      <c r="J179" s="965"/>
      <c r="K179" s="965"/>
      <c r="L179" s="965"/>
    </row>
    <row r="180" spans="1:12">
      <c r="A180" s="965"/>
      <c r="B180" s="965"/>
      <c r="C180" s="965"/>
      <c r="D180" s="965"/>
      <c r="E180" s="965"/>
      <c r="F180" s="965"/>
      <c r="G180" s="965"/>
      <c r="H180" s="965"/>
      <c r="I180" s="965"/>
      <c r="J180" s="965"/>
      <c r="K180" s="965"/>
      <c r="L180" s="965"/>
    </row>
    <row r="181" spans="1:12">
      <c r="A181" s="965"/>
      <c r="B181" s="965"/>
      <c r="C181" s="965"/>
      <c r="D181" s="965"/>
      <c r="E181" s="965"/>
      <c r="F181" s="965"/>
      <c r="G181" s="965"/>
      <c r="H181" s="965"/>
      <c r="I181" s="965"/>
      <c r="J181" s="965"/>
      <c r="K181" s="965"/>
      <c r="L181" s="965"/>
    </row>
    <row r="182" spans="1:12">
      <c r="A182" s="965"/>
      <c r="B182" s="965"/>
      <c r="C182" s="965"/>
      <c r="D182" s="965"/>
      <c r="E182" s="965"/>
      <c r="F182" s="965"/>
      <c r="G182" s="965"/>
      <c r="H182" s="965"/>
      <c r="I182" s="965"/>
      <c r="J182" s="965"/>
      <c r="K182" s="965"/>
      <c r="L182" s="965"/>
    </row>
    <row r="183" spans="1:12">
      <c r="A183" s="965"/>
      <c r="B183" s="965"/>
      <c r="C183" s="965"/>
      <c r="D183" s="965"/>
      <c r="E183" s="965"/>
      <c r="F183" s="965"/>
      <c r="G183" s="965"/>
      <c r="H183" s="965"/>
      <c r="I183" s="965"/>
      <c r="J183" s="965"/>
      <c r="K183" s="965"/>
      <c r="L183" s="965"/>
    </row>
    <row r="184" spans="1:12">
      <c r="A184" s="965"/>
      <c r="B184" s="965"/>
      <c r="C184" s="965"/>
      <c r="D184" s="965"/>
      <c r="E184" s="965"/>
      <c r="F184" s="965"/>
      <c r="G184" s="965"/>
      <c r="H184" s="965"/>
      <c r="I184" s="965"/>
      <c r="J184" s="965"/>
      <c r="K184" s="965"/>
      <c r="L184" s="965"/>
    </row>
    <row r="185" spans="1:12">
      <c r="A185" s="965"/>
      <c r="B185" s="965"/>
      <c r="C185" s="965"/>
      <c r="D185" s="965"/>
      <c r="E185" s="965"/>
      <c r="F185" s="965"/>
      <c r="G185" s="965"/>
      <c r="H185" s="965"/>
      <c r="I185" s="965"/>
      <c r="J185" s="965"/>
      <c r="K185" s="965"/>
      <c r="L185" s="965"/>
    </row>
    <row r="186" spans="1:12">
      <c r="A186" s="965"/>
      <c r="B186" s="965"/>
      <c r="C186" s="965"/>
      <c r="D186" s="965"/>
      <c r="E186" s="965"/>
      <c r="F186" s="965"/>
      <c r="G186" s="965"/>
      <c r="H186" s="965"/>
      <c r="I186" s="965"/>
      <c r="J186" s="965"/>
      <c r="K186" s="965"/>
      <c r="L186" s="965"/>
    </row>
    <row r="187" spans="1:12">
      <c r="A187" s="965"/>
      <c r="B187" s="965"/>
      <c r="C187" s="965"/>
      <c r="D187" s="965"/>
      <c r="E187" s="965"/>
      <c r="F187" s="965"/>
      <c r="G187" s="965"/>
      <c r="H187" s="965"/>
      <c r="I187" s="965"/>
      <c r="J187" s="965"/>
      <c r="K187" s="965"/>
      <c r="L187" s="965"/>
    </row>
    <row r="188" spans="1:12">
      <c r="A188" s="965"/>
      <c r="B188" s="965"/>
      <c r="C188" s="965"/>
      <c r="D188" s="965"/>
      <c r="E188" s="965"/>
      <c r="F188" s="965"/>
      <c r="G188" s="965"/>
      <c r="H188" s="965"/>
      <c r="I188" s="965"/>
      <c r="J188" s="965"/>
      <c r="K188" s="965"/>
      <c r="L188" s="965"/>
    </row>
    <row r="189" spans="1:12">
      <c r="A189" s="965"/>
      <c r="B189" s="965"/>
      <c r="C189" s="965"/>
      <c r="D189" s="965"/>
      <c r="E189" s="965"/>
      <c r="F189" s="965"/>
      <c r="G189" s="965"/>
      <c r="H189" s="965"/>
      <c r="I189" s="965"/>
      <c r="J189" s="965"/>
      <c r="K189" s="965"/>
      <c r="L189" s="965"/>
    </row>
    <row r="190" spans="1:12">
      <c r="A190" s="965"/>
      <c r="B190" s="965"/>
      <c r="C190" s="965"/>
      <c r="D190" s="965"/>
      <c r="E190" s="965"/>
      <c r="F190" s="965"/>
      <c r="G190" s="965"/>
      <c r="H190" s="965"/>
      <c r="I190" s="965"/>
      <c r="J190" s="965"/>
      <c r="K190" s="965"/>
      <c r="L190" s="965"/>
    </row>
    <row r="191" spans="1:12">
      <c r="A191" s="965"/>
      <c r="B191" s="965"/>
      <c r="C191" s="965"/>
      <c r="D191" s="965"/>
      <c r="E191" s="965"/>
      <c r="F191" s="965"/>
      <c r="G191" s="965"/>
      <c r="H191" s="965"/>
      <c r="I191" s="965"/>
      <c r="J191" s="965"/>
      <c r="K191" s="965"/>
      <c r="L191" s="965"/>
    </row>
    <row r="192" spans="1:12">
      <c r="A192" s="965"/>
      <c r="B192" s="965"/>
      <c r="C192" s="965"/>
      <c r="D192" s="965"/>
      <c r="E192" s="965"/>
      <c r="F192" s="965"/>
      <c r="G192" s="965"/>
      <c r="H192" s="965"/>
      <c r="I192" s="965"/>
      <c r="J192" s="965"/>
      <c r="K192" s="965"/>
      <c r="L192" s="965"/>
    </row>
    <row r="193" spans="1:12">
      <c r="A193" s="965"/>
      <c r="B193" s="965"/>
      <c r="C193" s="965"/>
      <c r="D193" s="965"/>
      <c r="E193" s="965"/>
      <c r="F193" s="965"/>
      <c r="G193" s="965"/>
      <c r="H193" s="965"/>
      <c r="I193" s="965"/>
      <c r="J193" s="965"/>
      <c r="K193" s="965"/>
      <c r="L193" s="965"/>
    </row>
    <row r="194" spans="1:12">
      <c r="A194" s="965"/>
      <c r="B194" s="965"/>
      <c r="C194" s="965"/>
      <c r="D194" s="965"/>
      <c r="E194" s="965"/>
      <c r="F194" s="965"/>
      <c r="G194" s="965"/>
      <c r="H194" s="965"/>
      <c r="I194" s="965"/>
      <c r="J194" s="965"/>
      <c r="K194" s="965"/>
      <c r="L194" s="965"/>
    </row>
    <row r="195" spans="1:12">
      <c r="A195" s="965"/>
      <c r="B195" s="965"/>
      <c r="C195" s="965"/>
      <c r="D195" s="965"/>
      <c r="E195" s="965"/>
      <c r="F195" s="965"/>
      <c r="G195" s="965"/>
      <c r="H195" s="965"/>
      <c r="I195" s="965"/>
      <c r="J195" s="965"/>
      <c r="K195" s="965"/>
      <c r="L195" s="965"/>
    </row>
    <row r="196" spans="1:12">
      <c r="A196" s="965"/>
      <c r="B196" s="965"/>
      <c r="C196" s="965"/>
      <c r="D196" s="965"/>
      <c r="E196" s="965"/>
      <c r="F196" s="965"/>
      <c r="G196" s="965"/>
      <c r="H196" s="965"/>
      <c r="I196" s="965"/>
      <c r="J196" s="965"/>
      <c r="K196" s="965"/>
      <c r="L196" s="965"/>
    </row>
    <row r="197" spans="1:12">
      <c r="A197" s="965"/>
      <c r="B197" s="965"/>
      <c r="C197" s="965"/>
      <c r="D197" s="965"/>
      <c r="E197" s="965"/>
      <c r="F197" s="965"/>
      <c r="G197" s="965"/>
      <c r="H197" s="965"/>
      <c r="I197" s="965"/>
      <c r="J197" s="965"/>
      <c r="K197" s="965"/>
      <c r="L197" s="965"/>
    </row>
    <row r="198" spans="1:12">
      <c r="A198" s="965"/>
      <c r="B198" s="965"/>
      <c r="C198" s="965"/>
      <c r="D198" s="965"/>
      <c r="E198" s="965"/>
      <c r="F198" s="965"/>
      <c r="G198" s="965"/>
      <c r="H198" s="965"/>
      <c r="I198" s="965"/>
      <c r="J198" s="965"/>
      <c r="K198" s="965"/>
      <c r="L198" s="965"/>
    </row>
    <row r="199" spans="1:12">
      <c r="A199" s="965"/>
      <c r="B199" s="965"/>
      <c r="C199" s="965"/>
      <c r="D199" s="965"/>
      <c r="E199" s="965"/>
      <c r="F199" s="965"/>
      <c r="G199" s="965"/>
      <c r="H199" s="965"/>
      <c r="I199" s="965"/>
      <c r="J199" s="965"/>
      <c r="K199" s="965"/>
      <c r="L199" s="965"/>
    </row>
    <row r="200" spans="1:12">
      <c r="A200" s="965"/>
      <c r="B200" s="965"/>
      <c r="C200" s="965"/>
      <c r="D200" s="965"/>
      <c r="E200" s="965"/>
      <c r="F200" s="965"/>
      <c r="G200" s="965"/>
      <c r="H200" s="965"/>
      <c r="I200" s="965"/>
      <c r="J200" s="965"/>
      <c r="K200" s="965"/>
      <c r="L200" s="965"/>
    </row>
    <row r="201" spans="1:12">
      <c r="A201" s="965"/>
      <c r="B201" s="965"/>
      <c r="C201" s="965"/>
      <c r="D201" s="965"/>
      <c r="E201" s="965"/>
      <c r="F201" s="965"/>
      <c r="G201" s="965"/>
      <c r="H201" s="965"/>
      <c r="I201" s="965"/>
      <c r="J201" s="965"/>
      <c r="K201" s="965"/>
      <c r="L201" s="965"/>
    </row>
    <row r="202" spans="1:12">
      <c r="A202" s="965"/>
      <c r="B202" s="965"/>
      <c r="C202" s="965"/>
      <c r="D202" s="965"/>
      <c r="E202" s="965"/>
      <c r="F202" s="965"/>
      <c r="G202" s="965"/>
      <c r="H202" s="965"/>
      <c r="I202" s="965"/>
      <c r="J202" s="965"/>
      <c r="K202" s="965"/>
      <c r="L202" s="965"/>
    </row>
    <row r="203" spans="1:12">
      <c r="A203" s="965"/>
      <c r="B203" s="965"/>
      <c r="C203" s="965"/>
      <c r="D203" s="965"/>
      <c r="E203" s="965"/>
      <c r="F203" s="965"/>
      <c r="G203" s="965"/>
      <c r="H203" s="965"/>
      <c r="I203" s="965"/>
      <c r="J203" s="965"/>
      <c r="K203" s="965"/>
      <c r="L203" s="965"/>
    </row>
    <row r="204" spans="1:12">
      <c r="A204" s="965"/>
      <c r="B204" s="965"/>
      <c r="C204" s="965"/>
      <c r="D204" s="965"/>
      <c r="E204" s="965"/>
      <c r="F204" s="965"/>
      <c r="G204" s="965"/>
      <c r="H204" s="965"/>
      <c r="I204" s="965"/>
      <c r="J204" s="965"/>
      <c r="K204" s="965"/>
      <c r="L204" s="965"/>
    </row>
    <row r="205" spans="1:12">
      <c r="A205" s="965"/>
      <c r="B205" s="965"/>
      <c r="C205" s="965"/>
      <c r="D205" s="965"/>
      <c r="E205" s="965"/>
      <c r="F205" s="965"/>
      <c r="G205" s="965"/>
      <c r="H205" s="965"/>
      <c r="I205" s="965"/>
      <c r="J205" s="965"/>
      <c r="K205" s="965"/>
      <c r="L205" s="965"/>
    </row>
    <row r="206" spans="1:12">
      <c r="A206" s="965"/>
      <c r="B206" s="965"/>
      <c r="C206" s="965"/>
      <c r="D206" s="965"/>
      <c r="E206" s="965"/>
      <c r="F206" s="965"/>
      <c r="G206" s="965"/>
      <c r="H206" s="965"/>
      <c r="I206" s="965"/>
      <c r="J206" s="965"/>
      <c r="K206" s="965"/>
      <c r="L206" s="965"/>
    </row>
    <row r="207" spans="1:12">
      <c r="A207" s="965"/>
      <c r="B207" s="965"/>
      <c r="C207" s="965"/>
      <c r="D207" s="965"/>
      <c r="E207" s="965"/>
      <c r="F207" s="965"/>
      <c r="G207" s="965"/>
      <c r="H207" s="965"/>
      <c r="I207" s="965"/>
      <c r="J207" s="965"/>
      <c r="K207" s="965"/>
      <c r="L207" s="965"/>
    </row>
    <row r="208" spans="1:12">
      <c r="A208" s="965"/>
      <c r="B208" s="965"/>
      <c r="C208" s="965"/>
      <c r="D208" s="965"/>
      <c r="E208" s="965"/>
      <c r="F208" s="965"/>
      <c r="G208" s="965"/>
      <c r="H208" s="965"/>
      <c r="I208" s="965"/>
      <c r="J208" s="965"/>
      <c r="K208" s="965"/>
      <c r="L208" s="965"/>
    </row>
    <row r="209" spans="1:12">
      <c r="A209" s="965"/>
      <c r="B209" s="965"/>
      <c r="C209" s="965"/>
      <c r="D209" s="965"/>
      <c r="E209" s="965"/>
      <c r="F209" s="965"/>
      <c r="G209" s="965"/>
      <c r="H209" s="965"/>
      <c r="I209" s="965"/>
      <c r="J209" s="965"/>
      <c r="K209" s="965"/>
      <c r="L209" s="965"/>
    </row>
    <row r="210" spans="1:12">
      <c r="A210" s="965"/>
      <c r="B210" s="965"/>
      <c r="C210" s="965"/>
      <c r="D210" s="965"/>
      <c r="E210" s="965"/>
      <c r="F210" s="965"/>
      <c r="G210" s="965"/>
      <c r="H210" s="965"/>
      <c r="I210" s="965"/>
      <c r="J210" s="965"/>
      <c r="K210" s="965"/>
      <c r="L210" s="965"/>
    </row>
    <row r="211" spans="1:12">
      <c r="A211" s="965"/>
      <c r="B211" s="965"/>
      <c r="C211" s="965"/>
      <c r="D211" s="965"/>
      <c r="E211" s="965"/>
      <c r="F211" s="965"/>
      <c r="G211" s="965"/>
      <c r="H211" s="965"/>
      <c r="I211" s="965"/>
      <c r="J211" s="965"/>
      <c r="K211" s="965"/>
      <c r="L211" s="965"/>
    </row>
    <row r="212" spans="1:12">
      <c r="A212" s="965"/>
      <c r="B212" s="965"/>
      <c r="C212" s="965"/>
      <c r="D212" s="965"/>
      <c r="E212" s="965"/>
      <c r="F212" s="965"/>
      <c r="G212" s="965"/>
      <c r="H212" s="965"/>
      <c r="I212" s="965"/>
      <c r="J212" s="965"/>
      <c r="K212" s="965"/>
      <c r="L212" s="965"/>
    </row>
    <row r="213" spans="1:12">
      <c r="A213" s="965"/>
      <c r="B213" s="965"/>
      <c r="C213" s="965"/>
      <c r="D213" s="965"/>
      <c r="E213" s="965"/>
      <c r="F213" s="965"/>
      <c r="G213" s="965"/>
      <c r="H213" s="965"/>
      <c r="I213" s="965"/>
      <c r="J213" s="965"/>
      <c r="K213" s="965"/>
      <c r="L213" s="965"/>
    </row>
    <row r="214" spans="1:12">
      <c r="A214" s="965"/>
      <c r="B214" s="965"/>
      <c r="C214" s="965"/>
      <c r="D214" s="965"/>
      <c r="E214" s="965"/>
      <c r="F214" s="965"/>
      <c r="G214" s="965"/>
      <c r="H214" s="965"/>
      <c r="I214" s="965"/>
      <c r="J214" s="965"/>
      <c r="K214" s="965"/>
      <c r="L214" s="965"/>
    </row>
    <row r="215" spans="1:12">
      <c r="A215" s="965"/>
      <c r="B215" s="965"/>
      <c r="C215" s="965"/>
      <c r="D215" s="965"/>
      <c r="E215" s="965"/>
      <c r="F215" s="965"/>
      <c r="G215" s="965"/>
      <c r="H215" s="965"/>
      <c r="I215" s="965"/>
      <c r="J215" s="965"/>
      <c r="K215" s="965"/>
      <c r="L215" s="965"/>
    </row>
    <row r="216" spans="1:12">
      <c r="A216" s="965"/>
      <c r="B216" s="965"/>
      <c r="C216" s="965"/>
      <c r="D216" s="965"/>
      <c r="E216" s="965"/>
      <c r="F216" s="965"/>
      <c r="G216" s="965"/>
      <c r="H216" s="965"/>
      <c r="I216" s="965"/>
      <c r="J216" s="965"/>
      <c r="K216" s="965"/>
      <c r="L216" s="965"/>
    </row>
    <row r="217" spans="1:12">
      <c r="A217" s="965"/>
      <c r="B217" s="965"/>
      <c r="C217" s="965"/>
      <c r="D217" s="965"/>
      <c r="E217" s="965"/>
      <c r="F217" s="965"/>
      <c r="G217" s="965"/>
      <c r="H217" s="965"/>
      <c r="I217" s="965"/>
      <c r="J217" s="965"/>
      <c r="K217" s="965"/>
      <c r="L217" s="965"/>
    </row>
    <row r="218" spans="1:12">
      <c r="A218" s="965"/>
      <c r="B218" s="965"/>
      <c r="C218" s="965"/>
      <c r="D218" s="965"/>
      <c r="E218" s="965"/>
      <c r="F218" s="965"/>
      <c r="G218" s="965"/>
      <c r="H218" s="965"/>
      <c r="I218" s="965"/>
      <c r="J218" s="965"/>
      <c r="K218" s="965"/>
      <c r="L218" s="965"/>
    </row>
    <row r="219" spans="1:12">
      <c r="A219" s="965"/>
      <c r="B219" s="965"/>
      <c r="C219" s="965"/>
      <c r="D219" s="965"/>
      <c r="E219" s="965"/>
      <c r="F219" s="965"/>
      <c r="G219" s="965"/>
      <c r="H219" s="965"/>
      <c r="I219" s="965"/>
      <c r="J219" s="965"/>
      <c r="K219" s="965"/>
      <c r="L219" s="965"/>
    </row>
    <row r="220" spans="1:12">
      <c r="A220" s="965"/>
      <c r="B220" s="965"/>
      <c r="C220" s="965"/>
      <c r="D220" s="965"/>
      <c r="E220" s="965"/>
      <c r="F220" s="965"/>
      <c r="G220" s="965"/>
      <c r="H220" s="965"/>
      <c r="I220" s="965"/>
      <c r="J220" s="965"/>
      <c r="K220" s="965"/>
      <c r="L220" s="965"/>
    </row>
    <row r="221" spans="1:12">
      <c r="A221" s="965"/>
      <c r="B221" s="965"/>
      <c r="C221" s="965"/>
      <c r="D221" s="965"/>
      <c r="E221" s="965"/>
      <c r="F221" s="965"/>
      <c r="G221" s="965"/>
      <c r="H221" s="965"/>
      <c r="I221" s="965"/>
      <c r="J221" s="965"/>
      <c r="K221" s="965"/>
      <c r="L221" s="965"/>
    </row>
    <row r="222" spans="1:12">
      <c r="A222" s="965"/>
      <c r="B222" s="965"/>
      <c r="C222" s="965"/>
      <c r="D222" s="965"/>
      <c r="E222" s="965"/>
      <c r="F222" s="965"/>
      <c r="G222" s="965"/>
      <c r="H222" s="965"/>
      <c r="I222" s="965"/>
      <c r="J222" s="965"/>
      <c r="K222" s="965"/>
      <c r="L222" s="965"/>
    </row>
    <row r="223" spans="1:12">
      <c r="A223" s="965"/>
      <c r="B223" s="965"/>
      <c r="C223" s="965"/>
      <c r="D223" s="965"/>
      <c r="E223" s="965"/>
      <c r="F223" s="965"/>
      <c r="G223" s="965"/>
      <c r="H223" s="965"/>
      <c r="I223" s="965"/>
      <c r="J223" s="965"/>
      <c r="K223" s="965"/>
      <c r="L223" s="965"/>
    </row>
    <row r="224" spans="1:12">
      <c r="A224" s="965"/>
      <c r="B224" s="965"/>
      <c r="C224" s="965"/>
      <c r="D224" s="965"/>
      <c r="E224" s="965"/>
      <c r="F224" s="965"/>
      <c r="G224" s="965"/>
      <c r="H224" s="965"/>
      <c r="I224" s="965"/>
      <c r="J224" s="965"/>
      <c r="K224" s="965"/>
      <c r="L224" s="965"/>
    </row>
    <row r="225" spans="1:12">
      <c r="A225" s="965"/>
      <c r="B225" s="965"/>
      <c r="C225" s="965"/>
      <c r="D225" s="965"/>
      <c r="E225" s="965"/>
      <c r="F225" s="965"/>
      <c r="G225" s="965"/>
      <c r="H225" s="965"/>
      <c r="I225" s="965"/>
      <c r="J225" s="965"/>
      <c r="K225" s="965"/>
      <c r="L225" s="965"/>
    </row>
    <row r="226" spans="1:12">
      <c r="A226" s="965"/>
      <c r="B226" s="965"/>
      <c r="C226" s="965"/>
      <c r="D226" s="965"/>
      <c r="E226" s="965"/>
      <c r="F226" s="965"/>
      <c r="G226" s="965"/>
      <c r="H226" s="965"/>
      <c r="I226" s="965"/>
      <c r="J226" s="965"/>
      <c r="K226" s="965"/>
      <c r="L226" s="965"/>
    </row>
    <row r="227" spans="1:12">
      <c r="A227" s="965"/>
      <c r="B227" s="965"/>
      <c r="C227" s="965"/>
      <c r="D227" s="965"/>
      <c r="E227" s="965"/>
      <c r="F227" s="965"/>
      <c r="G227" s="965"/>
      <c r="H227" s="965"/>
      <c r="I227" s="965"/>
      <c r="J227" s="965"/>
      <c r="K227" s="965"/>
      <c r="L227" s="965"/>
    </row>
    <row r="228" spans="1:12">
      <c r="A228" s="965"/>
      <c r="B228" s="965"/>
      <c r="C228" s="965"/>
      <c r="D228" s="965"/>
      <c r="E228" s="965"/>
      <c r="F228" s="965"/>
      <c r="G228" s="965"/>
      <c r="H228" s="965"/>
      <c r="I228" s="965"/>
      <c r="J228" s="965"/>
      <c r="K228" s="965"/>
      <c r="L228" s="965"/>
    </row>
    <row r="229" spans="1:12">
      <c r="A229" s="965"/>
      <c r="B229" s="965"/>
      <c r="C229" s="965"/>
      <c r="D229" s="965"/>
      <c r="E229" s="965"/>
      <c r="F229" s="965"/>
      <c r="G229" s="965"/>
      <c r="H229" s="965"/>
      <c r="I229" s="965"/>
      <c r="J229" s="965"/>
      <c r="K229" s="965"/>
      <c r="L229" s="965"/>
    </row>
    <row r="230" spans="1:12">
      <c r="A230" s="965"/>
      <c r="B230" s="965"/>
      <c r="C230" s="965"/>
      <c r="D230" s="965"/>
      <c r="E230" s="965"/>
      <c r="F230" s="965"/>
      <c r="G230" s="965"/>
      <c r="H230" s="965"/>
      <c r="I230" s="965"/>
      <c r="J230" s="965"/>
      <c r="K230" s="965"/>
      <c r="L230" s="965"/>
    </row>
    <row r="231" spans="1:12">
      <c r="A231" s="965"/>
      <c r="B231" s="965"/>
      <c r="C231" s="965"/>
      <c r="D231" s="965"/>
      <c r="E231" s="965"/>
      <c r="F231" s="965"/>
      <c r="G231" s="965"/>
      <c r="H231" s="965"/>
      <c r="I231" s="965"/>
      <c r="J231" s="965"/>
      <c r="K231" s="965"/>
      <c r="L231" s="965"/>
    </row>
    <row r="232" spans="1:12">
      <c r="A232" s="965"/>
      <c r="B232" s="965"/>
      <c r="C232" s="965"/>
      <c r="D232" s="965"/>
      <c r="E232" s="965"/>
      <c r="F232" s="965"/>
      <c r="G232" s="965"/>
      <c r="H232" s="965"/>
      <c r="I232" s="965"/>
      <c r="J232" s="965"/>
      <c r="K232" s="965"/>
      <c r="L232" s="965"/>
    </row>
    <row r="233" spans="1:12">
      <c r="A233" s="965"/>
      <c r="B233" s="965"/>
      <c r="C233" s="965"/>
      <c r="D233" s="965"/>
      <c r="E233" s="965"/>
      <c r="F233" s="965"/>
      <c r="G233" s="965"/>
      <c r="H233" s="965"/>
      <c r="I233" s="965"/>
      <c r="J233" s="965"/>
      <c r="K233" s="965"/>
      <c r="L233" s="965"/>
    </row>
    <row r="234" spans="1:12">
      <c r="A234" s="965"/>
      <c r="B234" s="965"/>
      <c r="C234" s="965"/>
      <c r="D234" s="965"/>
      <c r="E234" s="965"/>
      <c r="F234" s="965"/>
      <c r="G234" s="965"/>
      <c r="H234" s="965"/>
      <c r="I234" s="965"/>
      <c r="J234" s="965"/>
      <c r="K234" s="965"/>
      <c r="L234" s="965"/>
    </row>
    <row r="235" spans="1:12">
      <c r="A235" s="965"/>
      <c r="B235" s="965"/>
      <c r="C235" s="965"/>
      <c r="D235" s="965"/>
      <c r="E235" s="965"/>
      <c r="F235" s="965"/>
      <c r="G235" s="965"/>
      <c r="H235" s="965"/>
      <c r="I235" s="965"/>
      <c r="J235" s="965"/>
      <c r="K235" s="965"/>
      <c r="L235" s="965"/>
    </row>
    <row r="236" spans="1:12">
      <c r="A236" s="965"/>
      <c r="B236" s="965"/>
      <c r="C236" s="965"/>
      <c r="D236" s="965"/>
      <c r="E236" s="965"/>
      <c r="F236" s="965"/>
      <c r="G236" s="965"/>
      <c r="H236" s="965"/>
      <c r="I236" s="965"/>
      <c r="J236" s="965"/>
      <c r="K236" s="965"/>
      <c r="L236" s="965"/>
    </row>
    <row r="237" spans="1:12">
      <c r="A237" s="965"/>
      <c r="B237" s="965"/>
      <c r="C237" s="965"/>
      <c r="D237" s="965"/>
      <c r="E237" s="965"/>
      <c r="F237" s="965"/>
      <c r="G237" s="965"/>
      <c r="H237" s="965"/>
      <c r="I237" s="965"/>
      <c r="J237" s="965"/>
      <c r="K237" s="965"/>
      <c r="L237" s="965"/>
    </row>
    <row r="238" spans="1:12">
      <c r="A238" s="965"/>
      <c r="B238" s="965"/>
      <c r="C238" s="965"/>
      <c r="D238" s="965"/>
      <c r="E238" s="965"/>
      <c r="F238" s="965"/>
      <c r="G238" s="965"/>
      <c r="H238" s="965"/>
      <c r="I238" s="965"/>
      <c r="J238" s="965"/>
      <c r="K238" s="965"/>
      <c r="L238" s="965"/>
    </row>
    <row r="239" spans="1:12">
      <c r="A239" s="965"/>
      <c r="B239" s="965"/>
      <c r="C239" s="965"/>
      <c r="D239" s="965"/>
      <c r="E239" s="965"/>
      <c r="F239" s="965"/>
      <c r="G239" s="965"/>
      <c r="H239" s="965"/>
      <c r="I239" s="965"/>
      <c r="J239" s="965"/>
      <c r="K239" s="965"/>
      <c r="L239" s="965"/>
    </row>
    <row r="240" spans="1:12">
      <c r="A240" s="965"/>
      <c r="B240" s="965"/>
      <c r="C240" s="965"/>
      <c r="D240" s="965"/>
      <c r="E240" s="965"/>
      <c r="F240" s="965"/>
      <c r="G240" s="965"/>
      <c r="H240" s="965"/>
      <c r="I240" s="965"/>
      <c r="J240" s="965"/>
      <c r="K240" s="965"/>
      <c r="L240" s="965"/>
    </row>
    <row r="241" spans="1:12">
      <c r="A241" s="965"/>
      <c r="B241" s="965"/>
      <c r="C241" s="965"/>
      <c r="D241" s="965"/>
      <c r="E241" s="965"/>
      <c r="F241" s="965"/>
      <c r="G241" s="965"/>
      <c r="H241" s="965"/>
      <c r="I241" s="965"/>
      <c r="J241" s="965"/>
      <c r="K241" s="965"/>
      <c r="L241" s="965"/>
    </row>
    <row r="242" spans="1:12">
      <c r="A242" s="965"/>
      <c r="B242" s="965"/>
      <c r="C242" s="965"/>
      <c r="D242" s="965"/>
      <c r="E242" s="965"/>
      <c r="F242" s="965"/>
      <c r="G242" s="965"/>
      <c r="H242" s="965"/>
      <c r="I242" s="965"/>
      <c r="J242" s="965"/>
      <c r="K242" s="965"/>
      <c r="L242" s="965"/>
    </row>
    <row r="243" spans="1:12">
      <c r="A243" s="965"/>
      <c r="B243" s="965"/>
      <c r="C243" s="965"/>
      <c r="D243" s="965"/>
      <c r="E243" s="965"/>
      <c r="F243" s="965"/>
      <c r="G243" s="965"/>
      <c r="H243" s="965"/>
      <c r="I243" s="965"/>
      <c r="J243" s="965"/>
      <c r="K243" s="965"/>
      <c r="L243" s="965"/>
    </row>
    <row r="244" spans="1:12">
      <c r="A244" s="965"/>
      <c r="B244" s="965"/>
      <c r="C244" s="965"/>
      <c r="D244" s="965"/>
      <c r="E244" s="965"/>
      <c r="F244" s="965"/>
      <c r="G244" s="965"/>
      <c r="H244" s="965"/>
      <c r="I244" s="965"/>
      <c r="J244" s="965"/>
      <c r="K244" s="965"/>
      <c r="L244" s="965"/>
    </row>
    <row r="245" spans="1:12">
      <c r="A245" s="965"/>
      <c r="B245" s="965"/>
      <c r="C245" s="965"/>
      <c r="D245" s="965"/>
      <c r="E245" s="965"/>
      <c r="F245" s="965"/>
      <c r="G245" s="965"/>
      <c r="H245" s="965"/>
      <c r="I245" s="965"/>
      <c r="J245" s="965"/>
      <c r="K245" s="965"/>
      <c r="L245" s="965"/>
    </row>
    <row r="246" spans="1:12">
      <c r="A246" s="965"/>
      <c r="B246" s="965"/>
      <c r="C246" s="965"/>
      <c r="D246" s="965"/>
      <c r="E246" s="965"/>
      <c r="F246" s="965"/>
      <c r="G246" s="965"/>
      <c r="H246" s="965"/>
      <c r="I246" s="965"/>
      <c r="J246" s="965"/>
      <c r="K246" s="965"/>
      <c r="L246" s="965"/>
    </row>
    <row r="247" spans="1:12">
      <c r="A247" s="965"/>
      <c r="B247" s="965"/>
      <c r="C247" s="965"/>
      <c r="D247" s="965"/>
      <c r="E247" s="965"/>
      <c r="F247" s="965"/>
      <c r="G247" s="965"/>
      <c r="H247" s="965"/>
      <c r="I247" s="965"/>
      <c r="J247" s="965"/>
      <c r="K247" s="965"/>
      <c r="L247" s="965"/>
    </row>
    <row r="248" spans="1:12">
      <c r="A248" s="965"/>
      <c r="B248" s="965"/>
      <c r="C248" s="965"/>
      <c r="D248" s="965"/>
      <c r="E248" s="965"/>
      <c r="F248" s="965"/>
      <c r="G248" s="965"/>
      <c r="H248" s="965"/>
      <c r="I248" s="965"/>
      <c r="J248" s="965"/>
      <c r="K248" s="965"/>
      <c r="L248" s="965"/>
    </row>
    <row r="249" spans="1:12">
      <c r="A249" s="965"/>
      <c r="B249" s="965"/>
      <c r="C249" s="965"/>
      <c r="D249" s="965"/>
      <c r="E249" s="965"/>
      <c r="F249" s="965"/>
      <c r="G249" s="965"/>
      <c r="H249" s="965"/>
      <c r="I249" s="965"/>
      <c r="J249" s="965"/>
      <c r="K249" s="965"/>
      <c r="L249" s="965"/>
    </row>
    <row r="250" spans="1:12">
      <c r="A250" s="965"/>
      <c r="B250" s="965"/>
      <c r="C250" s="965"/>
      <c r="D250" s="965"/>
      <c r="E250" s="965"/>
      <c r="F250" s="965"/>
      <c r="G250" s="965"/>
      <c r="H250" s="965"/>
      <c r="I250" s="965"/>
      <c r="J250" s="965"/>
      <c r="K250" s="965"/>
      <c r="L250" s="965"/>
    </row>
    <row r="251" spans="1:12">
      <c r="A251" s="965"/>
      <c r="B251" s="965"/>
      <c r="C251" s="965"/>
      <c r="D251" s="965"/>
      <c r="E251" s="965"/>
      <c r="F251" s="965"/>
      <c r="G251" s="965"/>
      <c r="H251" s="965"/>
      <c r="I251" s="965"/>
      <c r="J251" s="965"/>
      <c r="K251" s="965"/>
      <c r="L251" s="965"/>
    </row>
    <row r="252" spans="1:12">
      <c r="A252" s="965"/>
      <c r="B252" s="965"/>
      <c r="C252" s="965"/>
      <c r="D252" s="965"/>
      <c r="E252" s="965"/>
      <c r="F252" s="965"/>
      <c r="G252" s="965"/>
      <c r="H252" s="965"/>
      <c r="I252" s="965"/>
      <c r="J252" s="965"/>
      <c r="K252" s="965"/>
      <c r="L252" s="965"/>
    </row>
    <row r="253" spans="1:12">
      <c r="A253" s="965"/>
      <c r="B253" s="965"/>
      <c r="C253" s="965"/>
      <c r="D253" s="965"/>
      <c r="E253" s="965"/>
      <c r="F253" s="965"/>
      <c r="G253" s="965"/>
      <c r="H253" s="965"/>
      <c r="I253" s="965"/>
      <c r="J253" s="965"/>
      <c r="K253" s="965"/>
      <c r="L253" s="965"/>
    </row>
    <row r="254" spans="1:12">
      <c r="A254" s="965"/>
      <c r="B254" s="965"/>
      <c r="C254" s="965"/>
      <c r="D254" s="965"/>
      <c r="E254" s="965"/>
      <c r="F254" s="965"/>
      <c r="G254" s="965"/>
      <c r="H254" s="965"/>
      <c r="I254" s="965"/>
      <c r="J254" s="965"/>
      <c r="K254" s="965"/>
      <c r="L254" s="965"/>
    </row>
    <row r="255" spans="1:12">
      <c r="A255" s="965"/>
      <c r="B255" s="965"/>
      <c r="C255" s="965"/>
      <c r="D255" s="965"/>
      <c r="E255" s="965"/>
      <c r="F255" s="965"/>
      <c r="G255" s="965"/>
      <c r="H255" s="965"/>
      <c r="I255" s="965"/>
      <c r="J255" s="965"/>
      <c r="K255" s="965"/>
      <c r="L255" s="965"/>
    </row>
    <row r="256" spans="1:12">
      <c r="A256" s="965"/>
      <c r="B256" s="965"/>
      <c r="C256" s="965"/>
      <c r="D256" s="965"/>
      <c r="E256" s="965"/>
      <c r="F256" s="965"/>
      <c r="G256" s="965"/>
      <c r="H256" s="965"/>
      <c r="I256" s="965"/>
      <c r="J256" s="965"/>
      <c r="K256" s="965"/>
      <c r="L256" s="965"/>
    </row>
    <row r="257" spans="1:12">
      <c r="A257" s="965"/>
      <c r="B257" s="965"/>
      <c r="C257" s="965"/>
      <c r="D257" s="965"/>
      <c r="E257" s="965"/>
      <c r="F257" s="965"/>
      <c r="G257" s="965"/>
      <c r="H257" s="965"/>
      <c r="I257" s="965"/>
      <c r="J257" s="965"/>
      <c r="K257" s="965"/>
      <c r="L257" s="965"/>
    </row>
    <row r="258" spans="1:12">
      <c r="A258" s="965"/>
      <c r="B258" s="965"/>
      <c r="C258" s="965"/>
      <c r="D258" s="965"/>
      <c r="E258" s="965"/>
      <c r="F258" s="965"/>
      <c r="G258" s="965"/>
      <c r="H258" s="965"/>
      <c r="I258" s="965"/>
      <c r="J258" s="965"/>
      <c r="K258" s="965"/>
      <c r="L258" s="965"/>
    </row>
    <row r="259" spans="1:12">
      <c r="A259" s="965"/>
      <c r="B259" s="965"/>
      <c r="C259" s="965"/>
      <c r="D259" s="965"/>
      <c r="E259" s="965"/>
      <c r="F259" s="965"/>
      <c r="G259" s="965"/>
      <c r="H259" s="965"/>
      <c r="I259" s="965"/>
      <c r="J259" s="965"/>
      <c r="K259" s="965"/>
      <c r="L259" s="965"/>
    </row>
    <row r="260" spans="1:12">
      <c r="A260" s="965"/>
      <c r="B260" s="965"/>
      <c r="C260" s="965"/>
      <c r="D260" s="965"/>
      <c r="E260" s="965"/>
      <c r="F260" s="965"/>
      <c r="G260" s="965"/>
      <c r="H260" s="965"/>
      <c r="I260" s="965"/>
      <c r="J260" s="965"/>
      <c r="K260" s="965"/>
      <c r="L260" s="965"/>
    </row>
    <row r="261" spans="1:12">
      <c r="A261" s="965"/>
      <c r="B261" s="965"/>
      <c r="C261" s="965"/>
      <c r="D261" s="965"/>
      <c r="E261" s="965"/>
      <c r="F261" s="965"/>
      <c r="G261" s="965"/>
      <c r="H261" s="965"/>
      <c r="I261" s="965"/>
      <c r="J261" s="965"/>
      <c r="K261" s="965"/>
      <c r="L261" s="965"/>
    </row>
    <row r="262" spans="1:12">
      <c r="A262" s="965"/>
      <c r="B262" s="965"/>
      <c r="C262" s="965"/>
      <c r="D262" s="965"/>
      <c r="E262" s="965"/>
      <c r="F262" s="965"/>
      <c r="G262" s="965"/>
      <c r="H262" s="965"/>
      <c r="I262" s="965"/>
      <c r="J262" s="965"/>
      <c r="K262" s="965"/>
      <c r="L262" s="965"/>
    </row>
    <row r="263" spans="1:12">
      <c r="A263" s="965"/>
      <c r="B263" s="965"/>
      <c r="C263" s="965"/>
      <c r="D263" s="965"/>
      <c r="E263" s="965"/>
      <c r="F263" s="965"/>
      <c r="G263" s="965"/>
      <c r="H263" s="965"/>
      <c r="I263" s="965"/>
      <c r="J263" s="965"/>
      <c r="K263" s="965"/>
      <c r="L263" s="965"/>
    </row>
    <row r="264" spans="1:12">
      <c r="A264" s="965"/>
      <c r="B264" s="965"/>
      <c r="C264" s="965"/>
      <c r="D264" s="965"/>
      <c r="E264" s="965"/>
      <c r="F264" s="965"/>
      <c r="G264" s="965"/>
      <c r="H264" s="965"/>
      <c r="I264" s="965"/>
      <c r="J264" s="965"/>
      <c r="K264" s="965"/>
      <c r="L264" s="965"/>
    </row>
    <row r="265" spans="1:12">
      <c r="A265" s="965"/>
      <c r="B265" s="965"/>
      <c r="C265" s="965"/>
      <c r="D265" s="965"/>
      <c r="E265" s="965"/>
      <c r="F265" s="965"/>
      <c r="G265" s="965"/>
      <c r="H265" s="965"/>
      <c r="I265" s="965"/>
      <c r="J265" s="965"/>
      <c r="K265" s="965"/>
      <c r="L265" s="965"/>
    </row>
    <row r="266" spans="1:12">
      <c r="A266" s="965"/>
      <c r="B266" s="965"/>
      <c r="C266" s="965"/>
      <c r="D266" s="965"/>
      <c r="E266" s="965"/>
      <c r="F266" s="965"/>
      <c r="G266" s="965"/>
      <c r="H266" s="965"/>
      <c r="I266" s="965"/>
      <c r="J266" s="965"/>
      <c r="K266" s="965"/>
      <c r="L266" s="965"/>
    </row>
    <row r="267" spans="1:12">
      <c r="A267" s="965"/>
      <c r="B267" s="965"/>
      <c r="C267" s="965"/>
      <c r="D267" s="965"/>
      <c r="E267" s="965"/>
      <c r="F267" s="965"/>
      <c r="G267" s="965"/>
      <c r="H267" s="965"/>
      <c r="I267" s="965"/>
      <c r="J267" s="965"/>
      <c r="K267" s="965"/>
      <c r="L267" s="965"/>
    </row>
    <row r="268" spans="1:12">
      <c r="A268" s="965"/>
      <c r="B268" s="965"/>
      <c r="C268" s="965"/>
      <c r="D268" s="965"/>
      <c r="E268" s="965"/>
      <c r="F268" s="965"/>
      <c r="G268" s="965"/>
      <c r="H268" s="965"/>
      <c r="I268" s="965"/>
      <c r="J268" s="965"/>
      <c r="K268" s="965"/>
      <c r="L268" s="965"/>
    </row>
    <row r="269" spans="1:12">
      <c r="A269" s="965"/>
      <c r="B269" s="965"/>
      <c r="C269" s="965"/>
      <c r="D269" s="965"/>
      <c r="E269" s="965"/>
      <c r="F269" s="965"/>
      <c r="G269" s="965"/>
      <c r="H269" s="965"/>
      <c r="I269" s="965"/>
      <c r="J269" s="965"/>
      <c r="K269" s="965"/>
      <c r="L269" s="965"/>
    </row>
    <row r="270" spans="1:12">
      <c r="A270" s="965"/>
      <c r="B270" s="965"/>
      <c r="C270" s="965"/>
      <c r="D270" s="965"/>
      <c r="E270" s="965"/>
      <c r="F270" s="965"/>
      <c r="G270" s="965"/>
      <c r="H270" s="965"/>
      <c r="I270" s="965"/>
      <c r="J270" s="965"/>
      <c r="K270" s="965"/>
      <c r="L270" s="965"/>
    </row>
    <row r="271" spans="1:12">
      <c r="A271" s="965"/>
      <c r="B271" s="965"/>
      <c r="C271" s="965"/>
      <c r="D271" s="965"/>
      <c r="E271" s="965"/>
      <c r="F271" s="965"/>
      <c r="G271" s="965"/>
      <c r="H271" s="965"/>
      <c r="I271" s="965"/>
      <c r="J271" s="965"/>
      <c r="K271" s="965"/>
      <c r="L271" s="965"/>
    </row>
    <row r="272" spans="1:12">
      <c r="A272" s="965"/>
      <c r="B272" s="965"/>
      <c r="C272" s="965"/>
      <c r="D272" s="965"/>
      <c r="E272" s="965"/>
      <c r="F272" s="965"/>
      <c r="G272" s="965"/>
      <c r="H272" s="965"/>
      <c r="I272" s="965"/>
      <c r="J272" s="965"/>
      <c r="K272" s="965"/>
      <c r="L272" s="965"/>
    </row>
    <row r="273" spans="1:12">
      <c r="A273" s="965"/>
      <c r="B273" s="965"/>
      <c r="C273" s="965"/>
      <c r="D273" s="965"/>
      <c r="E273" s="965"/>
      <c r="F273" s="965"/>
      <c r="G273" s="965"/>
      <c r="H273" s="965"/>
      <c r="I273" s="965"/>
      <c r="J273" s="965"/>
      <c r="K273" s="965"/>
      <c r="L273" s="965"/>
    </row>
    <row r="274" spans="1:12">
      <c r="A274" s="965"/>
      <c r="B274" s="965"/>
      <c r="C274" s="965"/>
      <c r="D274" s="965"/>
      <c r="E274" s="965"/>
      <c r="F274" s="965"/>
      <c r="G274" s="965"/>
      <c r="H274" s="965"/>
      <c r="I274" s="965"/>
      <c r="J274" s="965"/>
      <c r="K274" s="965"/>
      <c r="L274" s="965"/>
    </row>
    <row r="275" spans="1:12">
      <c r="A275" s="965"/>
      <c r="B275" s="965"/>
      <c r="C275" s="965"/>
      <c r="D275" s="965"/>
      <c r="E275" s="965"/>
      <c r="F275" s="965"/>
      <c r="G275" s="965"/>
      <c r="H275" s="965"/>
      <c r="I275" s="965"/>
      <c r="J275" s="965"/>
      <c r="K275" s="965"/>
      <c r="L275" s="965"/>
    </row>
    <row r="276" spans="1:12">
      <c r="A276" s="965"/>
      <c r="B276" s="965"/>
      <c r="C276" s="965"/>
      <c r="D276" s="965"/>
      <c r="E276" s="965"/>
      <c r="F276" s="965"/>
      <c r="G276" s="965"/>
      <c r="H276" s="965"/>
      <c r="I276" s="965"/>
      <c r="J276" s="965"/>
      <c r="K276" s="965"/>
      <c r="L276" s="965"/>
    </row>
    <row r="277" spans="1:12">
      <c r="A277" s="965"/>
      <c r="B277" s="965"/>
      <c r="C277" s="965"/>
      <c r="D277" s="965"/>
      <c r="E277" s="965"/>
      <c r="F277" s="965"/>
      <c r="G277" s="965"/>
      <c r="H277" s="965"/>
      <c r="I277" s="965"/>
      <c r="J277" s="965"/>
      <c r="K277" s="965"/>
      <c r="L277" s="965"/>
    </row>
    <row r="278" spans="1:12">
      <c r="A278" s="965"/>
      <c r="B278" s="965"/>
      <c r="C278" s="965"/>
      <c r="D278" s="965"/>
      <c r="E278" s="965"/>
      <c r="F278" s="965"/>
      <c r="G278" s="965"/>
      <c r="H278" s="965"/>
      <c r="I278" s="965"/>
      <c r="J278" s="965"/>
      <c r="K278" s="965"/>
      <c r="L278" s="965"/>
    </row>
    <row r="279" spans="1:12">
      <c r="A279" s="965"/>
      <c r="B279" s="965"/>
      <c r="C279" s="965"/>
      <c r="D279" s="965"/>
      <c r="E279" s="965"/>
      <c r="F279" s="965"/>
      <c r="G279" s="965"/>
      <c r="H279" s="965"/>
      <c r="I279" s="965"/>
      <c r="J279" s="965"/>
      <c r="K279" s="965"/>
      <c r="L279" s="965"/>
    </row>
    <row r="280" spans="1:12">
      <c r="A280" s="965"/>
      <c r="B280" s="965"/>
      <c r="C280" s="965"/>
      <c r="D280" s="965"/>
      <c r="E280" s="965"/>
      <c r="F280" s="965"/>
      <c r="G280" s="965"/>
      <c r="H280" s="965"/>
      <c r="I280" s="965"/>
      <c r="J280" s="965"/>
      <c r="K280" s="965"/>
      <c r="L280" s="965"/>
    </row>
    <row r="281" spans="1:12">
      <c r="A281" s="965"/>
      <c r="B281" s="965"/>
      <c r="C281" s="965"/>
      <c r="D281" s="965"/>
      <c r="E281" s="965"/>
      <c r="F281" s="965"/>
      <c r="G281" s="965"/>
      <c r="H281" s="965"/>
      <c r="I281" s="965"/>
      <c r="J281" s="965"/>
      <c r="K281" s="965"/>
      <c r="L281" s="965"/>
    </row>
    <row r="282" spans="1:12">
      <c r="A282" s="965"/>
      <c r="B282" s="965"/>
      <c r="C282" s="965"/>
      <c r="D282" s="965"/>
      <c r="E282" s="965"/>
      <c r="F282" s="965"/>
      <c r="G282" s="965"/>
      <c r="H282" s="965"/>
      <c r="I282" s="965"/>
      <c r="J282" s="965"/>
      <c r="K282" s="965"/>
      <c r="L282" s="965"/>
    </row>
    <row r="283" spans="1:12">
      <c r="A283" s="965"/>
      <c r="B283" s="965"/>
      <c r="C283" s="965"/>
      <c r="D283" s="965"/>
      <c r="E283" s="965"/>
      <c r="F283" s="965"/>
      <c r="G283" s="965"/>
      <c r="H283" s="965"/>
      <c r="I283" s="965"/>
      <c r="J283" s="965"/>
      <c r="K283" s="965"/>
      <c r="L283" s="965"/>
    </row>
    <row r="284" spans="1:12">
      <c r="A284" s="965"/>
      <c r="B284" s="965"/>
      <c r="C284" s="965"/>
      <c r="D284" s="965"/>
      <c r="E284" s="965"/>
      <c r="F284" s="965"/>
      <c r="G284" s="965"/>
      <c r="H284" s="965"/>
      <c r="I284" s="965"/>
      <c r="J284" s="965"/>
      <c r="K284" s="965"/>
      <c r="L284" s="965"/>
    </row>
    <row r="285" spans="1:12">
      <c r="A285" s="965"/>
      <c r="B285" s="965"/>
      <c r="C285" s="965"/>
      <c r="D285" s="965"/>
      <c r="E285" s="965"/>
      <c r="F285" s="965"/>
      <c r="G285" s="965"/>
      <c r="H285" s="965"/>
      <c r="I285" s="965"/>
      <c r="J285" s="965"/>
      <c r="K285" s="965"/>
      <c r="L285" s="965"/>
    </row>
    <row r="286" spans="1:12">
      <c r="A286" s="965"/>
      <c r="B286" s="965"/>
      <c r="C286" s="965"/>
      <c r="D286" s="965"/>
      <c r="E286" s="965"/>
      <c r="F286" s="965"/>
      <c r="G286" s="965"/>
      <c r="H286" s="965"/>
      <c r="I286" s="965"/>
      <c r="J286" s="965"/>
      <c r="K286" s="965"/>
      <c r="L286" s="965"/>
    </row>
    <row r="287" spans="1:12">
      <c r="A287" s="965"/>
      <c r="B287" s="965"/>
      <c r="C287" s="965"/>
      <c r="D287" s="965"/>
      <c r="E287" s="965"/>
      <c r="F287" s="965"/>
      <c r="G287" s="965"/>
      <c r="H287" s="965"/>
      <c r="I287" s="965"/>
      <c r="J287" s="965"/>
      <c r="K287" s="965"/>
      <c r="L287" s="965"/>
    </row>
    <row r="288" spans="1:12">
      <c r="A288" s="965"/>
      <c r="B288" s="965"/>
      <c r="C288" s="965"/>
      <c r="D288" s="965"/>
      <c r="E288" s="965"/>
      <c r="F288" s="965"/>
      <c r="G288" s="965"/>
      <c r="H288" s="965"/>
      <c r="I288" s="965"/>
      <c r="J288" s="965"/>
      <c r="K288" s="965"/>
      <c r="L288" s="965"/>
    </row>
    <row r="289" spans="1:12">
      <c r="A289" s="965"/>
      <c r="B289" s="965"/>
      <c r="C289" s="965"/>
      <c r="D289" s="965"/>
      <c r="E289" s="965"/>
      <c r="F289" s="965"/>
      <c r="G289" s="965"/>
      <c r="H289" s="965"/>
      <c r="I289" s="965"/>
      <c r="J289" s="965"/>
      <c r="K289" s="965"/>
      <c r="L289" s="965"/>
    </row>
    <row r="290" spans="1:12">
      <c r="A290" s="965"/>
      <c r="B290" s="965"/>
      <c r="C290" s="965"/>
      <c r="D290" s="965"/>
      <c r="E290" s="965"/>
      <c r="F290" s="965"/>
      <c r="G290" s="965"/>
      <c r="H290" s="965"/>
      <c r="I290" s="965"/>
      <c r="J290" s="965"/>
      <c r="K290" s="965"/>
      <c r="L290" s="965"/>
    </row>
    <row r="291" spans="1:12">
      <c r="A291" s="965"/>
      <c r="B291" s="965"/>
      <c r="C291" s="965"/>
      <c r="D291" s="965"/>
      <c r="E291" s="965"/>
      <c r="F291" s="965"/>
      <c r="G291" s="965"/>
      <c r="H291" s="965"/>
      <c r="I291" s="965"/>
      <c r="J291" s="965"/>
      <c r="K291" s="965"/>
      <c r="L291" s="965"/>
    </row>
    <row r="292" spans="1:12">
      <c r="A292" s="965"/>
      <c r="B292" s="965"/>
      <c r="C292" s="965"/>
      <c r="D292" s="965"/>
      <c r="E292" s="965"/>
      <c r="F292" s="965"/>
      <c r="G292" s="965"/>
      <c r="H292" s="965"/>
      <c r="I292" s="965"/>
      <c r="J292" s="965"/>
      <c r="K292" s="965"/>
      <c r="L292" s="965"/>
    </row>
    <row r="293" spans="1:12">
      <c r="A293" s="965"/>
      <c r="B293" s="965"/>
      <c r="C293" s="965"/>
      <c r="D293" s="965"/>
      <c r="E293" s="965"/>
      <c r="F293" s="965"/>
      <c r="G293" s="965"/>
      <c r="H293" s="965"/>
      <c r="I293" s="965"/>
      <c r="J293" s="965"/>
      <c r="K293" s="965"/>
      <c r="L293" s="965"/>
    </row>
    <row r="294" spans="1:12">
      <c r="A294" s="965"/>
      <c r="B294" s="965"/>
      <c r="C294" s="965"/>
      <c r="D294" s="965"/>
      <c r="E294" s="965"/>
      <c r="F294" s="965"/>
      <c r="G294" s="965"/>
      <c r="H294" s="965"/>
      <c r="I294" s="965"/>
      <c r="J294" s="965"/>
      <c r="K294" s="965"/>
      <c r="L294" s="965"/>
    </row>
    <row r="295" spans="1:12">
      <c r="A295" s="965"/>
      <c r="B295" s="965"/>
      <c r="C295" s="965"/>
      <c r="D295" s="965"/>
      <c r="E295" s="965"/>
      <c r="F295" s="965"/>
      <c r="G295" s="965"/>
      <c r="H295" s="965"/>
      <c r="I295" s="965"/>
      <c r="J295" s="965"/>
      <c r="K295" s="965"/>
      <c r="L295" s="965"/>
    </row>
    <row r="296" spans="1:12">
      <c r="A296" s="965"/>
      <c r="B296" s="965"/>
      <c r="C296" s="965"/>
      <c r="D296" s="965"/>
      <c r="E296" s="965"/>
      <c r="F296" s="965"/>
      <c r="G296" s="965"/>
      <c r="H296" s="965"/>
      <c r="I296" s="965"/>
      <c r="J296" s="965"/>
      <c r="K296" s="965"/>
      <c r="L296" s="965"/>
    </row>
    <row r="297" spans="1:12">
      <c r="A297" s="965"/>
      <c r="B297" s="965"/>
      <c r="C297" s="965"/>
      <c r="D297" s="965"/>
      <c r="E297" s="965"/>
      <c r="F297" s="965"/>
      <c r="G297" s="965"/>
      <c r="H297" s="965"/>
      <c r="I297" s="965"/>
      <c r="J297" s="965"/>
      <c r="K297" s="965"/>
      <c r="L297" s="965"/>
    </row>
    <row r="298" spans="1:12">
      <c r="A298" s="965"/>
      <c r="B298" s="965"/>
      <c r="C298" s="965"/>
      <c r="D298" s="965"/>
      <c r="E298" s="965"/>
      <c r="F298" s="965"/>
      <c r="G298" s="965"/>
      <c r="H298" s="965"/>
      <c r="I298" s="965"/>
      <c r="J298" s="965"/>
      <c r="K298" s="965"/>
      <c r="L298" s="965"/>
    </row>
    <row r="299" spans="1:12">
      <c r="A299" s="965"/>
      <c r="B299" s="965"/>
      <c r="C299" s="965"/>
      <c r="D299" s="965"/>
      <c r="E299" s="965"/>
      <c r="F299" s="965"/>
      <c r="G299" s="965"/>
      <c r="H299" s="965"/>
      <c r="I299" s="965"/>
      <c r="J299" s="965"/>
      <c r="K299" s="965"/>
      <c r="L299" s="965"/>
    </row>
    <row r="300" spans="1:12">
      <c r="A300" s="965"/>
      <c r="B300" s="965"/>
      <c r="C300" s="965"/>
      <c r="D300" s="965"/>
      <c r="E300" s="965"/>
      <c r="F300" s="965"/>
      <c r="G300" s="965"/>
      <c r="H300" s="965"/>
      <c r="I300" s="965"/>
      <c r="J300" s="965"/>
      <c r="K300" s="965"/>
      <c r="L300" s="965"/>
    </row>
    <row r="301" spans="1:12">
      <c r="A301" s="965"/>
      <c r="B301" s="965"/>
      <c r="C301" s="965"/>
      <c r="D301" s="965"/>
      <c r="E301" s="965"/>
      <c r="F301" s="965"/>
      <c r="G301" s="965"/>
      <c r="H301" s="965"/>
      <c r="I301" s="965"/>
      <c r="J301" s="965"/>
      <c r="K301" s="965"/>
      <c r="L301" s="965"/>
    </row>
    <row r="302" spans="1:12">
      <c r="A302" s="965"/>
      <c r="B302" s="965"/>
      <c r="C302" s="965"/>
      <c r="D302" s="965"/>
      <c r="E302" s="965"/>
      <c r="F302" s="965"/>
      <c r="G302" s="965"/>
      <c r="H302" s="965"/>
      <c r="I302" s="965"/>
      <c r="J302" s="965"/>
      <c r="K302" s="965"/>
      <c r="L302" s="965"/>
    </row>
    <row r="303" spans="1:12">
      <c r="A303" s="965"/>
      <c r="B303" s="965"/>
      <c r="C303" s="965"/>
      <c r="D303" s="965"/>
      <c r="E303" s="965"/>
      <c r="F303" s="965"/>
      <c r="G303" s="965"/>
      <c r="H303" s="965"/>
      <c r="I303" s="965"/>
      <c r="J303" s="965"/>
      <c r="K303" s="965"/>
      <c r="L303" s="965"/>
    </row>
    <row r="304" spans="1:12">
      <c r="A304" s="965"/>
      <c r="B304" s="965"/>
      <c r="C304" s="965"/>
      <c r="D304" s="965"/>
      <c r="E304" s="965"/>
      <c r="F304" s="965"/>
      <c r="G304" s="965"/>
      <c r="H304" s="965"/>
      <c r="I304" s="965"/>
      <c r="J304" s="965"/>
      <c r="K304" s="965"/>
      <c r="L304" s="965"/>
    </row>
    <row r="305" spans="1:12">
      <c r="A305" s="965"/>
      <c r="B305" s="965"/>
      <c r="C305" s="965"/>
      <c r="D305" s="965"/>
      <c r="E305" s="965"/>
      <c r="F305" s="965"/>
      <c r="G305" s="965"/>
      <c r="H305" s="965"/>
      <c r="I305" s="965"/>
      <c r="J305" s="965"/>
      <c r="K305" s="965"/>
      <c r="L305" s="965"/>
    </row>
    <row r="306" spans="1:12">
      <c r="A306" s="965"/>
      <c r="B306" s="965"/>
      <c r="C306" s="965"/>
      <c r="D306" s="965"/>
      <c r="E306" s="965"/>
      <c r="F306" s="965"/>
      <c r="G306" s="965"/>
      <c r="H306" s="965"/>
      <c r="I306" s="965"/>
      <c r="J306" s="965"/>
      <c r="K306" s="965"/>
      <c r="L306" s="965"/>
    </row>
    <row r="307" spans="1:12">
      <c r="A307" s="965"/>
      <c r="B307" s="965"/>
      <c r="C307" s="965"/>
      <c r="D307" s="965"/>
      <c r="E307" s="965"/>
      <c r="F307" s="965"/>
      <c r="G307" s="965"/>
      <c r="H307" s="965"/>
      <c r="I307" s="965"/>
      <c r="J307" s="965"/>
      <c r="K307" s="965"/>
      <c r="L307" s="965"/>
    </row>
    <row r="308" spans="1:12">
      <c r="A308" s="965"/>
      <c r="B308" s="965"/>
      <c r="C308" s="965"/>
      <c r="D308" s="965"/>
      <c r="E308" s="965"/>
      <c r="F308" s="965"/>
      <c r="G308" s="965"/>
      <c r="H308" s="965"/>
      <c r="I308" s="965"/>
      <c r="J308" s="965"/>
      <c r="K308" s="965"/>
      <c r="L308" s="965"/>
    </row>
    <row r="309" spans="1:12">
      <c r="A309" s="965"/>
      <c r="B309" s="965"/>
      <c r="C309" s="965"/>
      <c r="D309" s="965"/>
      <c r="E309" s="965"/>
      <c r="F309" s="965"/>
      <c r="G309" s="965"/>
      <c r="H309" s="965"/>
      <c r="I309" s="965"/>
      <c r="J309" s="965"/>
      <c r="K309" s="965"/>
      <c r="L309" s="965"/>
    </row>
    <row r="310" spans="1:12">
      <c r="A310" s="965"/>
      <c r="B310" s="965"/>
      <c r="C310" s="965"/>
      <c r="D310" s="965"/>
      <c r="E310" s="965"/>
      <c r="F310" s="965"/>
      <c r="G310" s="965"/>
      <c r="H310" s="965"/>
      <c r="I310" s="965"/>
      <c r="J310" s="965"/>
      <c r="K310" s="965"/>
      <c r="L310" s="965"/>
    </row>
    <row r="311" spans="1:12">
      <c r="A311" s="965"/>
      <c r="B311" s="965"/>
      <c r="C311" s="965"/>
      <c r="D311" s="965"/>
      <c r="E311" s="965"/>
      <c r="F311" s="965"/>
      <c r="G311" s="965"/>
      <c r="H311" s="965"/>
      <c r="I311" s="965"/>
      <c r="J311" s="965"/>
      <c r="K311" s="965"/>
      <c r="L311" s="965"/>
    </row>
    <row r="312" spans="1:12">
      <c r="A312" s="965"/>
      <c r="B312" s="965"/>
      <c r="C312" s="965"/>
      <c r="D312" s="965"/>
      <c r="E312" s="965"/>
      <c r="F312" s="965"/>
      <c r="G312" s="965"/>
      <c r="H312" s="965"/>
      <c r="I312" s="965"/>
      <c r="J312" s="965"/>
      <c r="K312" s="965"/>
      <c r="L312" s="965"/>
    </row>
    <row r="313" spans="1:12">
      <c r="A313" s="965"/>
      <c r="B313" s="965"/>
      <c r="C313" s="965"/>
      <c r="D313" s="965"/>
      <c r="E313" s="965"/>
      <c r="F313" s="965"/>
      <c r="G313" s="965"/>
      <c r="H313" s="965"/>
      <c r="I313" s="965"/>
      <c r="J313" s="965"/>
      <c r="K313" s="965"/>
      <c r="L313" s="965"/>
    </row>
    <row r="314" spans="1:12">
      <c r="A314" s="965"/>
      <c r="B314" s="965"/>
      <c r="C314" s="965"/>
      <c r="D314" s="965"/>
      <c r="E314" s="965"/>
      <c r="F314" s="965"/>
      <c r="G314" s="965"/>
      <c r="H314" s="965"/>
      <c r="I314" s="965"/>
      <c r="J314" s="965"/>
      <c r="K314" s="965"/>
      <c r="L314" s="965"/>
    </row>
    <row r="315" spans="1:12">
      <c r="A315" s="965"/>
      <c r="B315" s="965"/>
      <c r="C315" s="965"/>
      <c r="D315" s="965"/>
      <c r="E315" s="965"/>
      <c r="F315" s="965"/>
      <c r="G315" s="965"/>
      <c r="H315" s="965"/>
      <c r="I315" s="965"/>
      <c r="J315" s="965"/>
      <c r="K315" s="965"/>
      <c r="L315" s="965"/>
    </row>
    <row r="316" spans="1:12">
      <c r="A316" s="965"/>
      <c r="B316" s="965"/>
      <c r="C316" s="965"/>
      <c r="D316" s="965"/>
      <c r="E316" s="965"/>
      <c r="F316" s="965"/>
      <c r="G316" s="965"/>
      <c r="H316" s="965"/>
      <c r="I316" s="965"/>
      <c r="J316" s="965"/>
      <c r="K316" s="965"/>
      <c r="L316" s="965"/>
    </row>
    <row r="317" spans="1:12">
      <c r="A317" s="965"/>
      <c r="B317" s="965"/>
      <c r="C317" s="965"/>
      <c r="D317" s="965"/>
      <c r="E317" s="965"/>
      <c r="F317" s="965"/>
      <c r="G317" s="965"/>
      <c r="H317" s="965"/>
      <c r="I317" s="965"/>
      <c r="J317" s="965"/>
      <c r="K317" s="965"/>
      <c r="L317" s="965"/>
    </row>
    <row r="318" spans="1:12">
      <c r="A318" s="965"/>
      <c r="B318" s="965"/>
      <c r="C318" s="965"/>
      <c r="D318" s="965"/>
      <c r="E318" s="965"/>
      <c r="F318" s="965"/>
      <c r="G318" s="965"/>
      <c r="H318" s="965"/>
      <c r="I318" s="965"/>
      <c r="J318" s="965"/>
      <c r="K318" s="965"/>
      <c r="L318" s="965"/>
    </row>
    <row r="319" spans="1:12">
      <c r="A319" s="965"/>
      <c r="B319" s="965"/>
      <c r="C319" s="965"/>
      <c r="D319" s="965"/>
      <c r="E319" s="965"/>
      <c r="F319" s="965"/>
      <c r="G319" s="965"/>
      <c r="H319" s="965"/>
      <c r="I319" s="965"/>
      <c r="J319" s="965"/>
      <c r="K319" s="965"/>
      <c r="L319" s="965"/>
    </row>
    <row r="320" spans="1:12">
      <c r="A320" s="965"/>
      <c r="B320" s="965"/>
      <c r="C320" s="965"/>
      <c r="D320" s="965"/>
      <c r="E320" s="965"/>
      <c r="F320" s="965"/>
      <c r="G320" s="965"/>
      <c r="H320" s="965"/>
      <c r="I320" s="965"/>
      <c r="J320" s="965"/>
      <c r="K320" s="965"/>
      <c r="L320" s="965"/>
    </row>
    <row r="321" spans="1:12">
      <c r="A321" s="965"/>
      <c r="B321" s="965"/>
      <c r="C321" s="965"/>
      <c r="D321" s="965"/>
      <c r="E321" s="965"/>
      <c r="F321" s="965"/>
      <c r="G321" s="965"/>
      <c r="H321" s="965"/>
      <c r="I321" s="965"/>
      <c r="J321" s="965"/>
      <c r="K321" s="965"/>
      <c r="L321" s="965"/>
    </row>
    <row r="322" spans="1:12">
      <c r="A322" s="965"/>
      <c r="B322" s="965"/>
      <c r="C322" s="965"/>
      <c r="D322" s="965"/>
      <c r="E322" s="965"/>
      <c r="F322" s="965"/>
      <c r="G322" s="965"/>
      <c r="H322" s="965"/>
      <c r="I322" s="965"/>
      <c r="J322" s="965"/>
      <c r="K322" s="965"/>
      <c r="L322" s="965"/>
    </row>
    <row r="323" spans="1:12">
      <c r="A323" s="965"/>
      <c r="B323" s="965"/>
      <c r="C323" s="965"/>
      <c r="D323" s="965"/>
      <c r="E323" s="965"/>
      <c r="F323" s="965"/>
      <c r="G323" s="965"/>
      <c r="H323" s="965"/>
      <c r="I323" s="965"/>
      <c r="J323" s="965"/>
      <c r="K323" s="965"/>
      <c r="L323" s="965"/>
    </row>
    <row r="324" spans="1:12">
      <c r="A324" s="965"/>
      <c r="B324" s="965"/>
      <c r="C324" s="965"/>
      <c r="D324" s="965"/>
      <c r="E324" s="965"/>
      <c r="F324" s="965"/>
      <c r="G324" s="965"/>
      <c r="H324" s="965"/>
      <c r="I324" s="965"/>
      <c r="J324" s="965"/>
      <c r="K324" s="965"/>
      <c r="L324" s="965"/>
    </row>
    <row r="325" spans="1:12">
      <c r="A325" s="965"/>
      <c r="B325" s="965"/>
      <c r="C325" s="965"/>
      <c r="D325" s="965"/>
      <c r="E325" s="965"/>
      <c r="F325" s="965"/>
      <c r="G325" s="965"/>
      <c r="H325" s="965"/>
      <c r="I325" s="965"/>
      <c r="J325" s="965"/>
      <c r="K325" s="965"/>
      <c r="L325" s="965"/>
    </row>
    <row r="326" spans="1:12">
      <c r="A326" s="965"/>
      <c r="B326" s="965"/>
      <c r="C326" s="965"/>
      <c r="D326" s="965"/>
      <c r="E326" s="965"/>
      <c r="F326" s="965"/>
      <c r="G326" s="965"/>
      <c r="H326" s="965"/>
      <c r="I326" s="965"/>
      <c r="J326" s="965"/>
      <c r="K326" s="965"/>
      <c r="L326" s="965"/>
    </row>
    <row r="327" spans="1:12">
      <c r="A327" s="965"/>
      <c r="B327" s="965"/>
      <c r="C327" s="965"/>
      <c r="D327" s="965"/>
      <c r="E327" s="965"/>
      <c r="F327" s="965"/>
      <c r="G327" s="965"/>
      <c r="H327" s="965"/>
      <c r="I327" s="965"/>
      <c r="J327" s="965"/>
      <c r="K327" s="965"/>
      <c r="L327" s="965"/>
    </row>
    <row r="328" spans="1:12">
      <c r="A328" s="965"/>
      <c r="B328" s="965"/>
      <c r="C328" s="965"/>
      <c r="D328" s="965"/>
      <c r="E328" s="965"/>
      <c r="F328" s="965"/>
      <c r="G328" s="965"/>
      <c r="H328" s="965"/>
      <c r="I328" s="965"/>
      <c r="J328" s="965"/>
      <c r="K328" s="965"/>
      <c r="L328" s="965"/>
    </row>
    <row r="329" spans="1:12">
      <c r="A329" s="965"/>
      <c r="B329" s="965"/>
      <c r="C329" s="965"/>
      <c r="D329" s="965"/>
      <c r="E329" s="965"/>
      <c r="F329" s="965"/>
      <c r="G329" s="965"/>
      <c r="H329" s="965"/>
      <c r="I329" s="965"/>
      <c r="J329" s="965"/>
      <c r="K329" s="965"/>
      <c r="L329" s="965"/>
    </row>
    <row r="330" spans="1:12">
      <c r="A330" s="965"/>
      <c r="B330" s="965"/>
      <c r="C330" s="965"/>
      <c r="D330" s="965"/>
      <c r="E330" s="965"/>
      <c r="F330" s="965"/>
      <c r="G330" s="965"/>
      <c r="H330" s="965"/>
      <c r="I330" s="965"/>
      <c r="J330" s="965"/>
      <c r="K330" s="965"/>
      <c r="L330" s="965"/>
    </row>
    <row r="331" spans="1:12">
      <c r="A331" s="965"/>
      <c r="B331" s="965"/>
      <c r="C331" s="965"/>
      <c r="D331" s="965"/>
      <c r="E331" s="965"/>
      <c r="F331" s="965"/>
      <c r="G331" s="965"/>
      <c r="H331" s="965"/>
      <c r="I331" s="965"/>
      <c r="J331" s="965"/>
      <c r="K331" s="965"/>
      <c r="L331" s="965"/>
    </row>
    <row r="332" spans="1:12">
      <c r="A332" s="965"/>
      <c r="B332" s="965"/>
      <c r="C332" s="965"/>
      <c r="D332" s="965"/>
      <c r="E332" s="965"/>
      <c r="F332" s="965"/>
      <c r="G332" s="965"/>
      <c r="H332" s="965"/>
      <c r="I332" s="965"/>
      <c r="J332" s="965"/>
      <c r="K332" s="965"/>
      <c r="L332" s="965"/>
    </row>
    <row r="333" spans="1:12">
      <c r="A333" s="965"/>
      <c r="B333" s="965"/>
      <c r="C333" s="965"/>
      <c r="D333" s="965"/>
      <c r="E333" s="965"/>
      <c r="F333" s="965"/>
      <c r="G333" s="965"/>
      <c r="H333" s="965"/>
      <c r="I333" s="965"/>
      <c r="J333" s="965"/>
      <c r="K333" s="965"/>
      <c r="L333" s="965"/>
    </row>
    <row r="334" spans="1:12">
      <c r="A334" s="965"/>
      <c r="B334" s="965"/>
      <c r="C334" s="965"/>
      <c r="D334" s="965"/>
      <c r="E334" s="965"/>
      <c r="F334" s="965"/>
      <c r="G334" s="965"/>
      <c r="H334" s="965"/>
      <c r="I334" s="965"/>
      <c r="J334" s="965"/>
      <c r="K334" s="965"/>
      <c r="L334" s="965"/>
    </row>
    <row r="335" spans="1:12">
      <c r="A335" s="965"/>
      <c r="B335" s="965"/>
      <c r="C335" s="965"/>
      <c r="D335" s="965"/>
      <c r="E335" s="965"/>
      <c r="F335" s="965"/>
      <c r="G335" s="965"/>
      <c r="H335" s="965"/>
      <c r="I335" s="965"/>
      <c r="J335" s="965"/>
      <c r="K335" s="965"/>
      <c r="L335" s="965"/>
    </row>
    <row r="336" spans="1:12">
      <c r="A336" s="965"/>
      <c r="B336" s="965"/>
      <c r="C336" s="965"/>
      <c r="D336" s="965"/>
      <c r="E336" s="965"/>
      <c r="F336" s="965"/>
      <c r="G336" s="965"/>
      <c r="H336" s="965"/>
      <c r="I336" s="965"/>
      <c r="J336" s="965"/>
      <c r="K336" s="965"/>
      <c r="L336" s="965"/>
    </row>
    <row r="337" spans="1:12">
      <c r="A337" s="965"/>
      <c r="B337" s="965"/>
      <c r="C337" s="965"/>
      <c r="D337" s="965"/>
      <c r="E337" s="965"/>
      <c r="F337" s="965"/>
      <c r="G337" s="965"/>
      <c r="H337" s="965"/>
      <c r="I337" s="965"/>
      <c r="J337" s="965"/>
      <c r="K337" s="965"/>
      <c r="L337" s="965"/>
    </row>
    <row r="338" spans="1:12">
      <c r="A338" s="965"/>
      <c r="B338" s="965"/>
      <c r="C338" s="965"/>
      <c r="D338" s="965"/>
      <c r="E338" s="965"/>
      <c r="F338" s="965"/>
      <c r="G338" s="965"/>
      <c r="H338" s="965"/>
      <c r="I338" s="965"/>
      <c r="J338" s="965"/>
      <c r="K338" s="965"/>
      <c r="L338" s="965"/>
    </row>
    <row r="339" spans="1:12">
      <c r="A339" s="965"/>
      <c r="B339" s="965"/>
      <c r="C339" s="965"/>
      <c r="D339" s="965"/>
      <c r="E339" s="965"/>
      <c r="F339" s="965"/>
      <c r="G339" s="965"/>
      <c r="H339" s="965"/>
      <c r="I339" s="965"/>
      <c r="J339" s="965"/>
      <c r="K339" s="965"/>
      <c r="L339" s="965"/>
    </row>
    <row r="340" spans="1:12">
      <c r="A340" s="965"/>
      <c r="B340" s="965"/>
      <c r="C340" s="965"/>
      <c r="D340" s="965"/>
      <c r="E340" s="965"/>
      <c r="F340" s="965"/>
      <c r="G340" s="965"/>
      <c r="H340" s="965"/>
      <c r="I340" s="965"/>
      <c r="J340" s="965"/>
      <c r="K340" s="965"/>
      <c r="L340" s="965"/>
    </row>
    <row r="341" spans="1:12">
      <c r="A341" s="965"/>
      <c r="B341" s="965"/>
      <c r="C341" s="965"/>
      <c r="D341" s="965"/>
      <c r="E341" s="965"/>
      <c r="F341" s="965"/>
      <c r="G341" s="965"/>
      <c r="H341" s="965"/>
      <c r="I341" s="965"/>
      <c r="J341" s="965"/>
      <c r="K341" s="965"/>
      <c r="L341" s="965"/>
    </row>
    <row r="342" spans="1:12">
      <c r="A342" s="965"/>
      <c r="B342" s="965"/>
      <c r="C342" s="965"/>
      <c r="D342" s="965"/>
      <c r="E342" s="965"/>
      <c r="F342" s="965"/>
      <c r="G342" s="965"/>
      <c r="H342" s="965"/>
      <c r="I342" s="965"/>
      <c r="J342" s="965"/>
      <c r="K342" s="965"/>
      <c r="L342" s="965"/>
    </row>
    <row r="343" spans="1:12">
      <c r="A343" s="965"/>
      <c r="B343" s="965"/>
      <c r="C343" s="965"/>
      <c r="D343" s="965"/>
      <c r="E343" s="965"/>
      <c r="F343" s="965"/>
      <c r="G343" s="965"/>
      <c r="H343" s="965"/>
      <c r="I343" s="965"/>
      <c r="J343" s="965"/>
      <c r="K343" s="965"/>
      <c r="L343" s="965"/>
    </row>
    <row r="344" spans="1:12">
      <c r="A344" s="965"/>
      <c r="B344" s="965"/>
      <c r="C344" s="965"/>
      <c r="D344" s="965"/>
      <c r="E344" s="965"/>
      <c r="F344" s="965"/>
      <c r="G344" s="965"/>
      <c r="H344" s="965"/>
      <c r="I344" s="965"/>
      <c r="J344" s="965"/>
      <c r="K344" s="965"/>
      <c r="L344" s="965"/>
    </row>
    <row r="345" spans="1:12">
      <c r="A345" s="965"/>
      <c r="B345" s="965"/>
      <c r="C345" s="965"/>
      <c r="D345" s="965"/>
      <c r="E345" s="965"/>
      <c r="F345" s="965"/>
      <c r="G345" s="965"/>
      <c r="H345" s="965"/>
      <c r="I345" s="965"/>
      <c r="J345" s="965"/>
      <c r="K345" s="965"/>
      <c r="L345" s="965"/>
    </row>
    <row r="346" spans="1:12">
      <c r="A346" s="965"/>
      <c r="B346" s="965"/>
      <c r="C346" s="965"/>
      <c r="D346" s="965"/>
      <c r="E346" s="965"/>
      <c r="F346" s="965"/>
      <c r="G346" s="965"/>
      <c r="H346" s="965"/>
      <c r="I346" s="965"/>
      <c r="J346" s="965"/>
      <c r="K346" s="965"/>
      <c r="L346" s="965"/>
    </row>
    <row r="347" spans="1:12">
      <c r="A347" s="965"/>
      <c r="B347" s="965"/>
      <c r="C347" s="965"/>
      <c r="D347" s="965"/>
      <c r="E347" s="965"/>
      <c r="F347" s="965"/>
      <c r="G347" s="965"/>
      <c r="H347" s="965"/>
      <c r="I347" s="965"/>
      <c r="J347" s="965"/>
      <c r="K347" s="965"/>
      <c r="L347" s="965"/>
    </row>
    <row r="348" spans="1:12">
      <c r="A348" s="965"/>
      <c r="B348" s="965"/>
      <c r="C348" s="965"/>
      <c r="D348" s="965"/>
      <c r="E348" s="965"/>
      <c r="F348" s="965"/>
      <c r="G348" s="965"/>
      <c r="H348" s="965"/>
      <c r="I348" s="965"/>
      <c r="J348" s="965"/>
      <c r="K348" s="965"/>
      <c r="L348" s="965"/>
    </row>
    <row r="349" spans="1:12">
      <c r="A349" s="965"/>
      <c r="B349" s="965"/>
      <c r="C349" s="965"/>
      <c r="D349" s="965"/>
      <c r="E349" s="965"/>
      <c r="F349" s="965"/>
      <c r="G349" s="965"/>
      <c r="H349" s="965"/>
      <c r="I349" s="965"/>
      <c r="J349" s="965"/>
      <c r="K349" s="965"/>
      <c r="L349" s="965"/>
    </row>
    <row r="350" spans="1:12">
      <c r="A350" s="965"/>
      <c r="B350" s="965"/>
      <c r="C350" s="965"/>
      <c r="D350" s="965"/>
      <c r="E350" s="965"/>
      <c r="F350" s="965"/>
      <c r="G350" s="965"/>
      <c r="H350" s="965"/>
      <c r="I350" s="965"/>
      <c r="J350" s="965"/>
      <c r="K350" s="965"/>
      <c r="L350" s="965"/>
    </row>
    <row r="351" spans="1:12">
      <c r="A351" s="965"/>
      <c r="B351" s="965"/>
      <c r="C351" s="965"/>
      <c r="D351" s="965"/>
      <c r="E351" s="965"/>
      <c r="F351" s="965"/>
      <c r="G351" s="965"/>
      <c r="H351" s="965"/>
      <c r="I351" s="965"/>
      <c r="J351" s="965"/>
      <c r="K351" s="965"/>
      <c r="L351" s="965"/>
    </row>
    <row r="352" spans="1:12">
      <c r="A352" s="965"/>
      <c r="B352" s="965"/>
      <c r="C352" s="965"/>
      <c r="D352" s="965"/>
      <c r="E352" s="965"/>
      <c r="F352" s="965"/>
      <c r="G352" s="965"/>
      <c r="H352" s="965"/>
      <c r="I352" s="965"/>
      <c r="J352" s="965"/>
      <c r="K352" s="965"/>
      <c r="L352" s="965"/>
    </row>
    <row r="353" spans="1:12">
      <c r="A353" s="965"/>
      <c r="B353" s="965"/>
      <c r="C353" s="965"/>
      <c r="D353" s="965"/>
      <c r="E353" s="965"/>
      <c r="F353" s="965"/>
      <c r="G353" s="965"/>
      <c r="H353" s="965"/>
      <c r="I353" s="965"/>
      <c r="J353" s="965"/>
      <c r="K353" s="965"/>
      <c r="L353" s="965"/>
    </row>
    <row r="354" spans="1:12">
      <c r="A354" s="965"/>
      <c r="B354" s="965"/>
      <c r="C354" s="965"/>
      <c r="D354" s="965"/>
      <c r="E354" s="965"/>
      <c r="F354" s="965"/>
      <c r="G354" s="965"/>
      <c r="H354" s="965"/>
      <c r="I354" s="965"/>
      <c r="J354" s="965"/>
      <c r="K354" s="965"/>
      <c r="L354" s="965"/>
    </row>
    <row r="355" spans="1:12">
      <c r="A355" s="965"/>
      <c r="B355" s="965"/>
      <c r="C355" s="965"/>
      <c r="D355" s="965"/>
      <c r="E355" s="965"/>
      <c r="F355" s="965"/>
      <c r="G355" s="965"/>
      <c r="H355" s="965"/>
      <c r="I355" s="965"/>
      <c r="J355" s="965"/>
      <c r="K355" s="965"/>
      <c r="L355" s="965"/>
    </row>
    <row r="356" spans="1:12">
      <c r="A356" s="965"/>
      <c r="B356" s="965"/>
      <c r="C356" s="965"/>
      <c r="D356" s="965"/>
      <c r="E356" s="965"/>
      <c r="F356" s="965"/>
      <c r="G356" s="965"/>
      <c r="H356" s="965"/>
      <c r="I356" s="965"/>
      <c r="J356" s="965"/>
      <c r="K356" s="965"/>
      <c r="L356" s="965"/>
    </row>
    <row r="357" spans="1:12">
      <c r="A357" s="965"/>
      <c r="B357" s="965"/>
      <c r="C357" s="965"/>
      <c r="D357" s="965"/>
      <c r="E357" s="965"/>
      <c r="F357" s="965"/>
      <c r="G357" s="965"/>
      <c r="H357" s="965"/>
      <c r="I357" s="965"/>
      <c r="J357" s="965"/>
      <c r="K357" s="965"/>
      <c r="L357" s="965"/>
    </row>
    <row r="358" spans="1:12">
      <c r="A358" s="965"/>
      <c r="B358" s="965"/>
      <c r="C358" s="965"/>
      <c r="D358" s="965"/>
      <c r="E358" s="965"/>
      <c r="F358" s="965"/>
      <c r="G358" s="965"/>
      <c r="H358" s="965"/>
      <c r="I358" s="965"/>
      <c r="J358" s="965"/>
      <c r="K358" s="965"/>
      <c r="L358" s="965"/>
    </row>
    <row r="359" spans="1:12">
      <c r="A359" s="965"/>
      <c r="B359" s="965"/>
      <c r="C359" s="965"/>
      <c r="D359" s="965"/>
      <c r="E359" s="965"/>
      <c r="F359" s="965"/>
      <c r="G359" s="965"/>
      <c r="H359" s="965"/>
      <c r="I359" s="965"/>
      <c r="J359" s="965"/>
      <c r="K359" s="965"/>
      <c r="L359" s="965"/>
    </row>
    <row r="360" spans="1:12">
      <c r="A360" s="965"/>
      <c r="B360" s="965"/>
      <c r="C360" s="965"/>
      <c r="D360" s="965"/>
      <c r="E360" s="965"/>
      <c r="F360" s="965"/>
      <c r="G360" s="965"/>
      <c r="H360" s="965"/>
      <c r="I360" s="965"/>
      <c r="J360" s="965"/>
      <c r="K360" s="965"/>
      <c r="L360" s="965"/>
    </row>
    <row r="361" spans="1:12">
      <c r="A361" s="965"/>
      <c r="B361" s="965"/>
      <c r="C361" s="965"/>
      <c r="D361" s="965"/>
      <c r="E361" s="965"/>
      <c r="F361" s="965"/>
      <c r="G361" s="965"/>
      <c r="H361" s="965"/>
      <c r="I361" s="965"/>
      <c r="J361" s="965"/>
      <c r="K361" s="965"/>
      <c r="L361" s="965"/>
    </row>
    <row r="362" spans="1:12">
      <c r="A362" s="965"/>
      <c r="B362" s="965"/>
      <c r="C362" s="965"/>
      <c r="D362" s="965"/>
      <c r="E362" s="965"/>
      <c r="F362" s="965"/>
      <c r="G362" s="965"/>
      <c r="H362" s="965"/>
      <c r="I362" s="965"/>
      <c r="J362" s="965"/>
      <c r="K362" s="965"/>
      <c r="L362" s="965"/>
    </row>
    <row r="363" spans="1:12">
      <c r="A363" s="965"/>
      <c r="B363" s="965"/>
      <c r="C363" s="965"/>
      <c r="D363" s="965"/>
      <c r="E363" s="965"/>
      <c r="F363" s="965"/>
      <c r="G363" s="965"/>
      <c r="H363" s="965"/>
      <c r="I363" s="965"/>
      <c r="J363" s="965"/>
      <c r="K363" s="965"/>
      <c r="L363" s="965"/>
    </row>
    <row r="364" spans="1:12">
      <c r="A364" s="965"/>
      <c r="B364" s="965"/>
      <c r="C364" s="965"/>
      <c r="D364" s="965"/>
      <c r="E364" s="965"/>
      <c r="F364" s="965"/>
      <c r="G364" s="965"/>
      <c r="H364" s="965"/>
      <c r="I364" s="965"/>
      <c r="J364" s="965"/>
      <c r="K364" s="965"/>
      <c r="L364" s="965"/>
    </row>
    <row r="365" spans="1:12">
      <c r="A365" s="965"/>
      <c r="B365" s="965"/>
      <c r="C365" s="965"/>
      <c r="D365" s="965"/>
      <c r="E365" s="965"/>
      <c r="F365" s="965"/>
      <c r="G365" s="965"/>
      <c r="H365" s="965"/>
      <c r="I365" s="965"/>
      <c r="J365" s="965"/>
      <c r="K365" s="965"/>
      <c r="L365" s="965"/>
    </row>
    <row r="366" spans="1:12">
      <c r="A366" s="965"/>
      <c r="B366" s="965"/>
      <c r="C366" s="965"/>
      <c r="D366" s="965"/>
      <c r="E366" s="965"/>
      <c r="F366" s="965"/>
      <c r="G366" s="965"/>
      <c r="H366" s="965"/>
      <c r="I366" s="965"/>
      <c r="J366" s="965"/>
      <c r="K366" s="965"/>
      <c r="L366" s="965"/>
    </row>
    <row r="367" spans="1:12">
      <c r="A367" s="965"/>
      <c r="B367" s="965"/>
      <c r="C367" s="965"/>
      <c r="D367" s="965"/>
      <c r="E367" s="965"/>
      <c r="F367" s="965"/>
      <c r="G367" s="965"/>
      <c r="H367" s="965"/>
      <c r="I367" s="965"/>
      <c r="J367" s="965"/>
      <c r="K367" s="965"/>
      <c r="L367" s="965"/>
    </row>
    <row r="368" spans="1:12">
      <c r="A368" s="965"/>
      <c r="B368" s="965"/>
      <c r="C368" s="965"/>
      <c r="D368" s="965"/>
      <c r="E368" s="965"/>
      <c r="F368" s="965"/>
      <c r="G368" s="965"/>
      <c r="H368" s="965"/>
      <c r="I368" s="965"/>
      <c r="J368" s="965"/>
      <c r="K368" s="965"/>
      <c r="L368" s="965"/>
    </row>
    <row r="369" spans="1:12">
      <c r="A369" s="965"/>
      <c r="B369" s="965"/>
      <c r="C369" s="965"/>
      <c r="D369" s="965"/>
      <c r="E369" s="965"/>
      <c r="F369" s="965"/>
      <c r="G369" s="965"/>
      <c r="H369" s="965"/>
      <c r="I369" s="965"/>
      <c r="J369" s="965"/>
      <c r="K369" s="965"/>
      <c r="L369" s="965"/>
    </row>
    <row r="370" spans="1:12">
      <c r="A370" s="965"/>
      <c r="B370" s="965"/>
      <c r="C370" s="965"/>
      <c r="D370" s="965"/>
      <c r="E370" s="965"/>
      <c r="F370" s="965"/>
      <c r="G370" s="965"/>
      <c r="H370" s="965"/>
      <c r="I370" s="965"/>
      <c r="J370" s="965"/>
      <c r="K370" s="965"/>
      <c r="L370" s="965"/>
    </row>
    <row r="371" spans="1:12">
      <c r="A371" s="965"/>
      <c r="B371" s="965"/>
      <c r="C371" s="965"/>
      <c r="D371" s="965"/>
      <c r="E371" s="965"/>
      <c r="F371" s="965"/>
      <c r="G371" s="965"/>
      <c r="H371" s="965"/>
      <c r="I371" s="965"/>
      <c r="J371" s="965"/>
      <c r="K371" s="965"/>
      <c r="L371" s="965"/>
    </row>
    <row r="372" spans="1:12">
      <c r="A372" s="965"/>
      <c r="B372" s="965"/>
      <c r="C372" s="965"/>
      <c r="D372" s="965"/>
      <c r="E372" s="965"/>
      <c r="F372" s="965"/>
      <c r="G372" s="965"/>
      <c r="H372" s="965"/>
      <c r="I372" s="965"/>
      <c r="J372" s="965"/>
      <c r="K372" s="965"/>
      <c r="L372" s="965"/>
    </row>
    <row r="373" spans="1:12">
      <c r="A373" s="965"/>
      <c r="B373" s="965"/>
      <c r="C373" s="965"/>
      <c r="D373" s="965"/>
      <c r="E373" s="965"/>
      <c r="F373" s="965"/>
      <c r="G373" s="965"/>
      <c r="H373" s="965"/>
      <c r="I373" s="965"/>
      <c r="J373" s="965"/>
      <c r="K373" s="965"/>
      <c r="L373" s="965"/>
    </row>
    <row r="374" spans="1:12">
      <c r="A374" s="965"/>
      <c r="B374" s="965"/>
      <c r="C374" s="965"/>
      <c r="D374" s="965"/>
      <c r="E374" s="965"/>
      <c r="F374" s="965"/>
      <c r="G374" s="965"/>
      <c r="H374" s="965"/>
      <c r="I374" s="965"/>
      <c r="J374" s="965"/>
      <c r="K374" s="965"/>
      <c r="L374" s="965"/>
    </row>
    <row r="375" spans="1:12">
      <c r="A375" s="965"/>
      <c r="B375" s="965"/>
      <c r="C375" s="965"/>
      <c r="D375" s="965"/>
      <c r="E375" s="965"/>
      <c r="F375" s="965"/>
      <c r="G375" s="965"/>
      <c r="H375" s="965"/>
      <c r="I375" s="965"/>
      <c r="J375" s="965"/>
      <c r="K375" s="965"/>
      <c r="L375" s="965"/>
    </row>
    <row r="376" spans="1:12">
      <c r="A376" s="965"/>
      <c r="B376" s="965"/>
      <c r="C376" s="965"/>
      <c r="D376" s="965"/>
      <c r="E376" s="965"/>
      <c r="F376" s="965"/>
      <c r="G376" s="965"/>
      <c r="H376" s="965"/>
      <c r="I376" s="965"/>
      <c r="J376" s="965"/>
      <c r="K376" s="965"/>
      <c r="L376" s="965"/>
    </row>
    <row r="377" spans="1:12">
      <c r="A377" s="965"/>
      <c r="B377" s="965"/>
      <c r="C377" s="965"/>
      <c r="D377" s="965"/>
      <c r="E377" s="965"/>
      <c r="F377" s="965"/>
      <c r="G377" s="965"/>
      <c r="H377" s="965"/>
      <c r="I377" s="965"/>
      <c r="J377" s="965"/>
      <c r="K377" s="965"/>
      <c r="L377" s="965"/>
    </row>
    <row r="378" spans="1:12">
      <c r="A378" s="965"/>
      <c r="B378" s="965"/>
      <c r="C378" s="965"/>
      <c r="D378" s="965"/>
      <c r="E378" s="965"/>
      <c r="F378" s="965"/>
      <c r="G378" s="965"/>
      <c r="H378" s="965"/>
      <c r="I378" s="965"/>
      <c r="J378" s="965"/>
      <c r="K378" s="965"/>
      <c r="L378" s="965"/>
    </row>
    <row r="379" spans="1:12">
      <c r="A379" s="965"/>
      <c r="B379" s="965"/>
      <c r="C379" s="965"/>
      <c r="D379" s="965"/>
      <c r="E379" s="965"/>
      <c r="F379" s="965"/>
      <c r="G379" s="965"/>
      <c r="H379" s="965"/>
      <c r="I379" s="965"/>
      <c r="J379" s="965"/>
      <c r="K379" s="965"/>
      <c r="L379" s="965"/>
    </row>
    <row r="380" spans="1:12">
      <c r="A380" s="965"/>
      <c r="B380" s="965"/>
      <c r="C380" s="965"/>
      <c r="D380" s="965"/>
      <c r="E380" s="965"/>
      <c r="F380" s="965"/>
      <c r="G380" s="965"/>
      <c r="H380" s="965"/>
      <c r="I380" s="965"/>
      <c r="J380" s="965"/>
      <c r="K380" s="965"/>
      <c r="L380" s="965"/>
    </row>
    <row r="381" spans="1:12">
      <c r="A381" s="965"/>
      <c r="B381" s="965"/>
      <c r="C381" s="965"/>
      <c r="D381" s="965"/>
      <c r="E381" s="965"/>
      <c r="F381" s="965"/>
      <c r="G381" s="965"/>
      <c r="H381" s="965"/>
      <c r="I381" s="965"/>
      <c r="J381" s="965"/>
      <c r="K381" s="965"/>
      <c r="L381" s="965"/>
    </row>
    <row r="382" spans="1:12">
      <c r="A382" s="965"/>
      <c r="B382" s="965"/>
      <c r="C382" s="965"/>
      <c r="D382" s="965"/>
      <c r="E382" s="965"/>
      <c r="F382" s="965"/>
      <c r="G382" s="965"/>
      <c r="H382" s="965"/>
      <c r="I382" s="965"/>
      <c r="J382" s="965"/>
      <c r="K382" s="965"/>
      <c r="L382" s="965"/>
    </row>
    <row r="383" spans="1:12">
      <c r="A383" s="965"/>
      <c r="B383" s="965"/>
      <c r="C383" s="965"/>
      <c r="D383" s="965"/>
      <c r="E383" s="965"/>
      <c r="F383" s="965"/>
      <c r="G383" s="965"/>
      <c r="H383" s="965"/>
      <c r="I383" s="965"/>
      <c r="J383" s="965"/>
      <c r="K383" s="965"/>
      <c r="L383" s="965"/>
    </row>
    <row r="384" spans="1:12">
      <c r="A384" s="965"/>
      <c r="B384" s="965"/>
      <c r="C384" s="965"/>
      <c r="D384" s="965"/>
      <c r="E384" s="965"/>
      <c r="F384" s="965"/>
      <c r="G384" s="965"/>
      <c r="H384" s="965"/>
      <c r="I384" s="965"/>
      <c r="J384" s="965"/>
      <c r="K384" s="965"/>
      <c r="L384" s="965"/>
    </row>
    <row r="385" spans="1:12">
      <c r="A385" s="965"/>
      <c r="B385" s="965"/>
      <c r="C385" s="965"/>
      <c r="D385" s="965"/>
      <c r="E385" s="965"/>
      <c r="F385" s="965"/>
      <c r="G385" s="965"/>
      <c r="H385" s="965"/>
      <c r="I385" s="965"/>
      <c r="J385" s="965"/>
      <c r="K385" s="965"/>
      <c r="L385" s="965"/>
    </row>
    <row r="386" spans="1:12">
      <c r="A386" s="965"/>
      <c r="B386" s="965"/>
      <c r="C386" s="965"/>
      <c r="D386" s="965"/>
      <c r="E386" s="965"/>
      <c r="F386" s="965"/>
      <c r="G386" s="965"/>
      <c r="H386" s="965"/>
      <c r="I386" s="965"/>
      <c r="J386" s="965"/>
      <c r="K386" s="965"/>
      <c r="L386" s="965"/>
    </row>
    <row r="387" spans="1:12">
      <c r="A387" s="965"/>
      <c r="B387" s="965"/>
      <c r="C387" s="965"/>
      <c r="D387" s="965"/>
      <c r="E387" s="965"/>
      <c r="F387" s="965"/>
      <c r="G387" s="965"/>
      <c r="H387" s="965"/>
      <c r="I387" s="965"/>
      <c r="J387" s="965"/>
      <c r="K387" s="965"/>
      <c r="L387" s="965"/>
    </row>
    <row r="388" spans="1:12">
      <c r="A388" s="965"/>
      <c r="B388" s="965"/>
      <c r="C388" s="965"/>
      <c r="D388" s="965"/>
      <c r="E388" s="965"/>
      <c r="F388" s="965"/>
      <c r="G388" s="965"/>
      <c r="H388" s="965"/>
      <c r="I388" s="965"/>
      <c r="J388" s="965"/>
      <c r="K388" s="965"/>
      <c r="L388" s="965"/>
    </row>
    <row r="389" spans="1:12">
      <c r="A389" s="965"/>
      <c r="B389" s="965"/>
      <c r="C389" s="965"/>
      <c r="D389" s="965"/>
      <c r="E389" s="965"/>
      <c r="F389" s="965"/>
      <c r="G389" s="965"/>
      <c r="H389" s="965"/>
      <c r="I389" s="965"/>
      <c r="J389" s="965"/>
      <c r="K389" s="965"/>
      <c r="L389" s="965"/>
    </row>
    <row r="390" spans="1:12">
      <c r="A390" s="965"/>
      <c r="B390" s="965"/>
      <c r="C390" s="965"/>
      <c r="D390" s="965"/>
      <c r="E390" s="965"/>
      <c r="F390" s="965"/>
      <c r="G390" s="965"/>
      <c r="H390" s="965"/>
      <c r="I390" s="965"/>
      <c r="J390" s="965"/>
      <c r="K390" s="965"/>
      <c r="L390" s="965"/>
    </row>
    <row r="391" spans="1:12">
      <c r="A391" s="965"/>
      <c r="B391" s="965"/>
      <c r="C391" s="965"/>
      <c r="D391" s="965"/>
      <c r="E391" s="965"/>
      <c r="F391" s="965"/>
      <c r="G391" s="965"/>
      <c r="H391" s="965"/>
      <c r="I391" s="965"/>
      <c r="J391" s="965"/>
      <c r="K391" s="965"/>
      <c r="L391" s="965"/>
    </row>
    <row r="392" spans="1:12">
      <c r="A392" s="965"/>
      <c r="B392" s="965"/>
      <c r="C392" s="965"/>
      <c r="D392" s="965"/>
      <c r="E392" s="965"/>
      <c r="F392" s="965"/>
      <c r="G392" s="965"/>
      <c r="H392" s="965"/>
      <c r="I392" s="965"/>
      <c r="J392" s="965"/>
      <c r="K392" s="965"/>
      <c r="L392" s="965"/>
    </row>
    <row r="393" spans="1:12">
      <c r="A393" s="965"/>
      <c r="B393" s="965"/>
      <c r="C393" s="965"/>
      <c r="D393" s="965"/>
      <c r="E393" s="965"/>
      <c r="F393" s="965"/>
      <c r="G393" s="965"/>
      <c r="H393" s="965"/>
      <c r="I393" s="965"/>
      <c r="J393" s="965"/>
      <c r="K393" s="965"/>
      <c r="L393" s="965"/>
    </row>
    <row r="394" spans="1:12">
      <c r="A394" s="965"/>
      <c r="B394" s="965"/>
      <c r="C394" s="965"/>
      <c r="D394" s="965"/>
      <c r="E394" s="965"/>
      <c r="F394" s="965"/>
      <c r="G394" s="965"/>
      <c r="H394" s="965"/>
      <c r="I394" s="965"/>
      <c r="J394" s="965"/>
      <c r="K394" s="965"/>
      <c r="L394" s="965"/>
    </row>
    <row r="395" spans="1:12">
      <c r="A395" s="965"/>
      <c r="B395" s="965"/>
      <c r="C395" s="965"/>
      <c r="D395" s="965"/>
      <c r="E395" s="965"/>
      <c r="F395" s="965"/>
      <c r="G395" s="965"/>
      <c r="H395" s="965"/>
      <c r="I395" s="965"/>
      <c r="J395" s="965"/>
      <c r="K395" s="965"/>
      <c r="L395" s="965"/>
    </row>
    <row r="396" spans="1:12">
      <c r="A396" s="965"/>
      <c r="B396" s="965"/>
      <c r="C396" s="965"/>
      <c r="D396" s="965"/>
      <c r="E396" s="965"/>
      <c r="F396" s="965"/>
      <c r="G396" s="965"/>
      <c r="H396" s="965"/>
      <c r="I396" s="965"/>
      <c r="J396" s="965"/>
      <c r="K396" s="965"/>
      <c r="L396" s="965"/>
    </row>
    <row r="397" spans="1:12">
      <c r="A397" s="965"/>
      <c r="B397" s="965"/>
      <c r="C397" s="965"/>
      <c r="D397" s="965"/>
      <c r="E397" s="965"/>
      <c r="F397" s="965"/>
      <c r="G397" s="965"/>
      <c r="H397" s="965"/>
      <c r="I397" s="965"/>
      <c r="J397" s="965"/>
      <c r="K397" s="965"/>
      <c r="L397" s="965"/>
    </row>
    <row r="398" spans="1:12">
      <c r="A398" s="965"/>
      <c r="B398" s="965"/>
      <c r="C398" s="965"/>
      <c r="D398" s="965"/>
      <c r="E398" s="965"/>
      <c r="F398" s="965"/>
      <c r="G398" s="965"/>
      <c r="H398" s="965"/>
      <c r="I398" s="965"/>
      <c r="J398" s="965"/>
      <c r="K398" s="965"/>
      <c r="L398" s="965"/>
    </row>
    <row r="399" spans="1:12">
      <c r="A399" s="965"/>
      <c r="B399" s="965"/>
      <c r="C399" s="965"/>
      <c r="D399" s="965"/>
      <c r="E399" s="965"/>
      <c r="F399" s="965"/>
      <c r="G399" s="965"/>
      <c r="H399" s="965"/>
      <c r="I399" s="965"/>
      <c r="J399" s="965"/>
      <c r="K399" s="965"/>
      <c r="L399" s="965"/>
    </row>
    <row r="400" spans="1:12">
      <c r="A400" s="965"/>
      <c r="B400" s="965"/>
      <c r="C400" s="965"/>
      <c r="D400" s="965"/>
      <c r="E400" s="965"/>
      <c r="F400" s="965"/>
      <c r="G400" s="965"/>
      <c r="H400" s="965"/>
      <c r="I400" s="965"/>
      <c r="J400" s="965"/>
      <c r="K400" s="965"/>
      <c r="L400" s="965"/>
    </row>
    <row r="401" spans="1:12">
      <c r="A401" s="965"/>
      <c r="B401" s="965"/>
      <c r="C401" s="965"/>
      <c r="D401" s="965"/>
      <c r="E401" s="965"/>
      <c r="F401" s="965"/>
      <c r="G401" s="965"/>
      <c r="H401" s="965"/>
      <c r="I401" s="965"/>
      <c r="J401" s="965"/>
      <c r="K401" s="965"/>
      <c r="L401" s="965"/>
    </row>
    <row r="402" spans="1:12">
      <c r="A402" s="965"/>
      <c r="B402" s="965"/>
      <c r="C402" s="965"/>
      <c r="D402" s="965"/>
      <c r="E402" s="965"/>
      <c r="F402" s="965"/>
      <c r="G402" s="965"/>
      <c r="H402" s="965"/>
      <c r="I402" s="965"/>
      <c r="J402" s="965"/>
      <c r="K402" s="965"/>
      <c r="L402" s="965"/>
    </row>
    <row r="403" spans="1:12">
      <c r="A403" s="965"/>
      <c r="B403" s="965"/>
      <c r="C403" s="965"/>
      <c r="D403" s="965"/>
      <c r="E403" s="965"/>
      <c r="F403" s="965"/>
      <c r="G403" s="965"/>
      <c r="H403" s="965"/>
      <c r="I403" s="965"/>
      <c r="J403" s="965"/>
      <c r="K403" s="965"/>
      <c r="L403" s="965"/>
    </row>
    <row r="404" spans="1:12">
      <c r="A404" s="965"/>
      <c r="B404" s="965"/>
      <c r="C404" s="965"/>
      <c r="D404" s="965"/>
      <c r="E404" s="965"/>
      <c r="F404" s="965"/>
      <c r="G404" s="965"/>
      <c r="H404" s="965"/>
      <c r="I404" s="965"/>
      <c r="J404" s="965"/>
      <c r="K404" s="965"/>
      <c r="L404" s="965"/>
    </row>
    <row r="405" spans="1:12">
      <c r="A405" s="965"/>
      <c r="B405" s="965"/>
      <c r="C405" s="965"/>
      <c r="D405" s="965"/>
      <c r="E405" s="965"/>
      <c r="F405" s="965"/>
      <c r="G405" s="965"/>
      <c r="H405" s="965"/>
      <c r="I405" s="965"/>
      <c r="J405" s="965"/>
      <c r="K405" s="965"/>
      <c r="L405" s="965"/>
    </row>
    <row r="406" spans="1:12">
      <c r="A406" s="965"/>
      <c r="B406" s="965"/>
      <c r="C406" s="965"/>
      <c r="D406" s="965"/>
      <c r="E406" s="965"/>
      <c r="F406" s="965"/>
      <c r="G406" s="965"/>
      <c r="H406" s="965"/>
      <c r="I406" s="965"/>
      <c r="J406" s="965"/>
      <c r="K406" s="965"/>
      <c r="L406" s="965"/>
    </row>
    <row r="407" spans="1:12">
      <c r="A407" s="965"/>
      <c r="B407" s="965"/>
      <c r="C407" s="965"/>
      <c r="D407" s="965"/>
      <c r="E407" s="965"/>
      <c r="F407" s="965"/>
      <c r="G407" s="965"/>
      <c r="H407" s="965"/>
      <c r="I407" s="965"/>
      <c r="J407" s="965"/>
      <c r="K407" s="965"/>
      <c r="L407" s="965"/>
    </row>
    <row r="408" spans="1:12">
      <c r="A408" s="965"/>
      <c r="B408" s="965"/>
      <c r="C408" s="965"/>
      <c r="D408" s="965"/>
      <c r="E408" s="965"/>
      <c r="F408" s="965"/>
      <c r="G408" s="965"/>
      <c r="H408" s="965"/>
      <c r="I408" s="965"/>
      <c r="J408" s="965"/>
      <c r="K408" s="965"/>
      <c r="L408" s="965"/>
    </row>
    <row r="409" spans="1:12">
      <c r="A409" s="965"/>
      <c r="B409" s="965"/>
      <c r="C409" s="965"/>
      <c r="D409" s="965"/>
      <c r="E409" s="965"/>
      <c r="F409" s="965"/>
      <c r="G409" s="965"/>
      <c r="H409" s="965"/>
      <c r="I409" s="965"/>
      <c r="J409" s="965"/>
      <c r="K409" s="965"/>
      <c r="L409" s="965"/>
    </row>
    <row r="410" spans="1:12">
      <c r="A410" s="965"/>
      <c r="B410" s="965"/>
      <c r="C410" s="965"/>
      <c r="D410" s="965"/>
      <c r="E410" s="965"/>
      <c r="F410" s="965"/>
      <c r="G410" s="965"/>
      <c r="H410" s="965"/>
      <c r="I410" s="965"/>
      <c r="J410" s="965"/>
      <c r="K410" s="965"/>
      <c r="L410" s="965"/>
    </row>
    <row r="411" spans="1:12">
      <c r="A411" s="965"/>
      <c r="B411" s="965"/>
      <c r="C411" s="965"/>
      <c r="D411" s="965"/>
      <c r="E411" s="965"/>
      <c r="F411" s="965"/>
      <c r="G411" s="965"/>
      <c r="H411" s="965"/>
      <c r="I411" s="965"/>
      <c r="J411" s="965"/>
      <c r="K411" s="965"/>
      <c r="L411" s="965"/>
    </row>
    <row r="412" spans="1:12">
      <c r="A412" s="965"/>
      <c r="B412" s="965"/>
      <c r="C412" s="965"/>
      <c r="D412" s="965"/>
      <c r="E412" s="965"/>
      <c r="F412" s="965"/>
      <c r="G412" s="965"/>
      <c r="H412" s="965"/>
      <c r="I412" s="965"/>
      <c r="J412" s="965"/>
      <c r="K412" s="965"/>
      <c r="L412" s="965"/>
    </row>
    <row r="413" spans="1:12">
      <c r="A413" s="965"/>
      <c r="B413" s="965"/>
      <c r="C413" s="965"/>
      <c r="D413" s="965"/>
      <c r="E413" s="965"/>
      <c r="F413" s="965"/>
      <c r="G413" s="965"/>
      <c r="H413" s="965"/>
      <c r="I413" s="965"/>
      <c r="J413" s="965"/>
      <c r="K413" s="965"/>
      <c r="L413" s="965"/>
    </row>
    <row r="414" spans="1:12">
      <c r="A414" s="965"/>
      <c r="B414" s="965"/>
      <c r="C414" s="965"/>
      <c r="D414" s="965"/>
      <c r="E414" s="965"/>
      <c r="F414" s="965"/>
      <c r="G414" s="965"/>
      <c r="H414" s="965"/>
      <c r="I414" s="965"/>
      <c r="J414" s="965"/>
      <c r="K414" s="965"/>
      <c r="L414" s="965"/>
    </row>
    <row r="415" spans="1:12">
      <c r="A415" s="965"/>
      <c r="B415" s="965"/>
      <c r="C415" s="965"/>
      <c r="D415" s="965"/>
      <c r="E415" s="965"/>
      <c r="F415" s="965"/>
      <c r="G415" s="965"/>
      <c r="H415" s="965"/>
      <c r="I415" s="965"/>
      <c r="J415" s="965"/>
      <c r="K415" s="965"/>
      <c r="L415" s="965"/>
    </row>
    <row r="416" spans="1:12">
      <c r="A416" s="965"/>
      <c r="B416" s="965"/>
      <c r="C416" s="965"/>
      <c r="D416" s="965"/>
      <c r="E416" s="965"/>
      <c r="F416" s="965"/>
      <c r="G416" s="965"/>
      <c r="H416" s="965"/>
      <c r="I416" s="965"/>
      <c r="J416" s="965"/>
      <c r="K416" s="965"/>
      <c r="L416" s="965"/>
    </row>
    <row r="417" spans="1:12">
      <c r="A417" s="965"/>
      <c r="B417" s="965"/>
      <c r="C417" s="965"/>
      <c r="D417" s="965"/>
      <c r="E417" s="965"/>
      <c r="F417" s="965"/>
      <c r="G417" s="965"/>
      <c r="H417" s="965"/>
      <c r="I417" s="965"/>
      <c r="J417" s="965"/>
      <c r="K417" s="965"/>
      <c r="L417" s="965"/>
    </row>
    <row r="418" spans="1:12">
      <c r="A418" s="965"/>
      <c r="B418" s="965"/>
      <c r="C418" s="965"/>
      <c r="D418" s="965"/>
      <c r="E418" s="965"/>
      <c r="F418" s="965"/>
      <c r="G418" s="965"/>
      <c r="H418" s="965"/>
      <c r="I418" s="965"/>
      <c r="J418" s="965"/>
      <c r="K418" s="965"/>
      <c r="L418" s="965"/>
    </row>
  </sheetData>
  <mergeCells count="2">
    <mergeCell ref="A1:K1"/>
    <mergeCell ref="H29:K29"/>
  </mergeCells>
  <pageMargins left="0.7" right="0.7" top="0.75" bottom="0.75" header="0.3" footer="0.3"/>
  <pageSetup paperSize="9" scale="96" orientation="landscape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337"/>
  <sheetViews>
    <sheetView showGridLines="0" workbookViewId="0">
      <selection sqref="A1:K1"/>
    </sheetView>
  </sheetViews>
  <sheetFormatPr defaultColWidth="9" defaultRowHeight="15"/>
  <cols>
    <col min="1" max="1" width="48.28515625" style="964" customWidth="1"/>
    <col min="2" max="2" width="9.140625" style="964" customWidth="1"/>
    <col min="3" max="16384" width="9" style="964"/>
  </cols>
  <sheetData>
    <row r="1" spans="1:15">
      <c r="A1" s="1769" t="s">
        <v>1206</v>
      </c>
      <c r="B1" s="1769"/>
      <c r="C1" s="1769"/>
      <c r="D1" s="1769"/>
      <c r="E1" s="1769"/>
      <c r="F1" s="1769"/>
      <c r="G1" s="1769"/>
      <c r="H1" s="1769"/>
      <c r="I1" s="1769"/>
      <c r="J1" s="1769"/>
      <c r="K1" s="1769"/>
    </row>
    <row r="2" spans="1:15">
      <c r="A2" s="982"/>
      <c r="B2" s="981">
        <v>2010</v>
      </c>
      <c r="C2" s="981">
        <v>2011</v>
      </c>
      <c r="D2" s="981">
        <v>2012</v>
      </c>
      <c r="E2" s="981">
        <v>2013</v>
      </c>
      <c r="F2" s="981">
        <v>2014</v>
      </c>
      <c r="G2" s="981">
        <v>2015</v>
      </c>
      <c r="H2" s="981" t="s">
        <v>541</v>
      </c>
      <c r="I2" s="981" t="s">
        <v>542</v>
      </c>
      <c r="J2" s="981" t="s">
        <v>543</v>
      </c>
      <c r="K2" s="981" t="s">
        <v>544</v>
      </c>
      <c r="L2" s="967"/>
      <c r="N2" s="3"/>
      <c r="O2" s="109"/>
    </row>
    <row r="3" spans="1:15">
      <c r="A3" s="979" t="s">
        <v>882</v>
      </c>
      <c r="B3" s="1289"/>
      <c r="C3" s="978">
        <f t="shared" ref="C3:K3" si="0">C14-B14</f>
        <v>2.4749965767785298</v>
      </c>
      <c r="D3" s="978">
        <f t="shared" si="0"/>
        <v>8.4892228657084061</v>
      </c>
      <c r="E3" s="978">
        <f t="shared" si="0"/>
        <v>2.5742977531301463</v>
      </c>
      <c r="F3" s="978">
        <f t="shared" si="0"/>
        <v>-1.1158417658485007</v>
      </c>
      <c r="G3" s="978">
        <f t="shared" si="0"/>
        <v>-1.1444923379871881</v>
      </c>
      <c r="H3" s="978">
        <f t="shared" si="0"/>
        <v>0.98604885645402618</v>
      </c>
      <c r="I3" s="978">
        <f t="shared" si="0"/>
        <v>-0.68550022580844683</v>
      </c>
      <c r="J3" s="980">
        <f t="shared" si="0"/>
        <v>-1.1354234078142156</v>
      </c>
      <c r="K3" s="980">
        <f t="shared" si="0"/>
        <v>-2.3657551027668973</v>
      </c>
      <c r="L3" s="974"/>
      <c r="N3" s="3"/>
      <c r="O3" s="109"/>
    </row>
    <row r="4" spans="1:15">
      <c r="A4" s="977" t="s">
        <v>881</v>
      </c>
      <c r="B4" s="1286"/>
      <c r="C4" s="971">
        <f t="shared" ref="C4:K4" si="1">C15-B15</f>
        <v>-1.4254093244765107</v>
      </c>
      <c r="D4" s="971">
        <f t="shared" si="1"/>
        <v>2.7201416133793286</v>
      </c>
      <c r="E4" s="971">
        <f t="shared" si="1"/>
        <v>0.80840871811331994</v>
      </c>
      <c r="F4" s="971">
        <f t="shared" si="1"/>
        <v>-1.8727261590637791</v>
      </c>
      <c r="G4" s="971">
        <f t="shared" si="1"/>
        <v>-0.20758782488632832</v>
      </c>
      <c r="H4" s="971">
        <f t="shared" si="1"/>
        <v>0.295838374092531</v>
      </c>
      <c r="I4" s="971">
        <f t="shared" si="1"/>
        <v>-0.44720427274407193</v>
      </c>
      <c r="J4" s="970">
        <f t="shared" si="1"/>
        <v>0.32438421385500682</v>
      </c>
      <c r="K4" s="970">
        <f t="shared" si="1"/>
        <v>0.32054082116561489</v>
      </c>
      <c r="L4" s="974"/>
      <c r="N4" s="3"/>
      <c r="O4" s="109"/>
    </row>
    <row r="5" spans="1:15">
      <c r="A5" s="979" t="s">
        <v>880</v>
      </c>
      <c r="B5" s="1289"/>
      <c r="C5" s="978">
        <f t="shared" ref="C5:K5" si="2">C3-C4</f>
        <v>3.9004059012550405</v>
      </c>
      <c r="D5" s="978">
        <f t="shared" si="2"/>
        <v>5.7690812523290775</v>
      </c>
      <c r="E5" s="978">
        <f t="shared" si="2"/>
        <v>1.7658890350168264</v>
      </c>
      <c r="F5" s="978">
        <f t="shared" si="2"/>
        <v>0.75688439321527845</v>
      </c>
      <c r="G5" s="978">
        <f t="shared" si="2"/>
        <v>-0.93690451310085976</v>
      </c>
      <c r="H5" s="978">
        <f t="shared" si="2"/>
        <v>0.69021048236149518</v>
      </c>
      <c r="I5" s="978">
        <f t="shared" si="2"/>
        <v>-0.2382959530643749</v>
      </c>
      <c r="J5" s="980">
        <f t="shared" si="2"/>
        <v>-1.4598076216692224</v>
      </c>
      <c r="K5" s="980">
        <f t="shared" si="2"/>
        <v>-2.6862959239325122</v>
      </c>
      <c r="L5" s="974"/>
    </row>
    <row r="6" spans="1:15">
      <c r="A6" s="977" t="s">
        <v>879</v>
      </c>
      <c r="B6" s="1286"/>
      <c r="C6" s="971">
        <f t="shared" ref="C6:K6" si="3">C18+C20+C19</f>
        <v>0.14507498527479515</v>
      </c>
      <c r="D6" s="971">
        <f t="shared" si="3"/>
        <v>-0.78738060753608841</v>
      </c>
      <c r="E6" s="971">
        <f t="shared" si="3"/>
        <v>-0.86871214581413758</v>
      </c>
      <c r="F6" s="971">
        <f t="shared" si="3"/>
        <v>-0.33102834388463431</v>
      </c>
      <c r="G6" s="971">
        <f t="shared" si="3"/>
        <v>-2.3982630834739775</v>
      </c>
      <c r="H6" s="971">
        <f t="shared" si="3"/>
        <v>1.0282338715877803E-2</v>
      </c>
      <c r="I6" s="971">
        <f t="shared" si="3"/>
        <v>-0.13584901441279262</v>
      </c>
      <c r="J6" s="970">
        <f t="shared" si="3"/>
        <v>-0.13113890120573107</v>
      </c>
      <c r="K6" s="970">
        <f t="shared" si="3"/>
        <v>-0.1295329395460173</v>
      </c>
      <c r="L6" s="974"/>
    </row>
    <row r="7" spans="1:15">
      <c r="A7" s="976" t="s">
        <v>878</v>
      </c>
      <c r="B7" s="1288"/>
      <c r="C7" s="975">
        <f t="shared" ref="C7:K7" si="4">C5-C6</f>
        <v>3.7553309159802453</v>
      </c>
      <c r="D7" s="975">
        <f t="shared" si="4"/>
        <v>6.5564618598651663</v>
      </c>
      <c r="E7" s="975">
        <f t="shared" si="4"/>
        <v>2.634601180830964</v>
      </c>
      <c r="F7" s="975">
        <f t="shared" si="4"/>
        <v>1.0879127370999129</v>
      </c>
      <c r="G7" s="975">
        <f t="shared" si="4"/>
        <v>1.4613585703731178</v>
      </c>
      <c r="H7" s="975">
        <f t="shared" si="4"/>
        <v>0.67992814364561738</v>
      </c>
      <c r="I7" s="975">
        <f t="shared" si="4"/>
        <v>-0.10244693865158228</v>
      </c>
      <c r="J7" s="1287">
        <f t="shared" si="4"/>
        <v>-1.3286687204634913</v>
      </c>
      <c r="K7" s="1287">
        <f t="shared" si="4"/>
        <v>-2.556762984386495</v>
      </c>
      <c r="L7" s="974"/>
      <c r="M7" s="973"/>
      <c r="N7" s="973"/>
      <c r="O7" s="973"/>
    </row>
    <row r="8" spans="1:15">
      <c r="A8" s="972" t="s">
        <v>877</v>
      </c>
      <c r="B8" s="1286"/>
      <c r="C8" s="971">
        <f t="shared" ref="C8:K8" si="5">C21</f>
        <v>0.24440017443704409</v>
      </c>
      <c r="D8" s="971">
        <f t="shared" si="5"/>
        <v>1.8175121781513679</v>
      </c>
      <c r="E8" s="971">
        <f t="shared" si="5"/>
        <v>0.5403741949227383</v>
      </c>
      <c r="F8" s="971">
        <f t="shared" si="5"/>
        <v>0.13457390153808488</v>
      </c>
      <c r="G8" s="971">
        <f t="shared" si="5"/>
        <v>-0.14742214585642097</v>
      </c>
      <c r="H8" s="971">
        <f t="shared" si="5"/>
        <v>0</v>
      </c>
      <c r="I8" s="971">
        <f t="shared" si="5"/>
        <v>0</v>
      </c>
      <c r="J8" s="971">
        <f t="shared" si="5"/>
        <v>0</v>
      </c>
      <c r="K8" s="971">
        <f t="shared" si="5"/>
        <v>0</v>
      </c>
      <c r="L8" s="967"/>
    </row>
    <row r="9" spans="1:15">
      <c r="A9" s="969" t="s">
        <v>876</v>
      </c>
      <c r="B9" s="1285"/>
      <c r="C9" s="968">
        <f t="shared" ref="C9:K9" si="6">C7-C8</f>
        <v>3.5109307415432012</v>
      </c>
      <c r="D9" s="968">
        <f t="shared" si="6"/>
        <v>4.7389496817137982</v>
      </c>
      <c r="E9" s="968">
        <f t="shared" si="6"/>
        <v>2.0942269859082256</v>
      </c>
      <c r="F9" s="968">
        <f t="shared" si="6"/>
        <v>0.95333883556182797</v>
      </c>
      <c r="G9" s="968">
        <f t="shared" si="6"/>
        <v>1.6087807162295387</v>
      </c>
      <c r="H9" s="968">
        <f t="shared" si="6"/>
        <v>0.67992814364561738</v>
      </c>
      <c r="I9" s="968">
        <f t="shared" si="6"/>
        <v>-0.10244693865158228</v>
      </c>
      <c r="J9" s="968">
        <f t="shared" si="6"/>
        <v>-1.3286687204634913</v>
      </c>
      <c r="K9" s="968">
        <f t="shared" si="6"/>
        <v>-2.556762984386495</v>
      </c>
      <c r="L9" s="967"/>
    </row>
    <row r="10" spans="1:15">
      <c r="A10" s="965"/>
      <c r="B10" s="966"/>
      <c r="C10" s="966"/>
      <c r="D10" s="966"/>
      <c r="E10" s="966"/>
      <c r="F10" s="966"/>
      <c r="G10" s="966"/>
      <c r="H10" s="1770" t="s">
        <v>1170</v>
      </c>
      <c r="I10" s="1770"/>
      <c r="J10" s="1770"/>
      <c r="K10" s="1770"/>
    </row>
    <row r="11" spans="1:15">
      <c r="A11" s="965"/>
      <c r="B11" s="965"/>
      <c r="C11" s="965"/>
      <c r="D11" s="965"/>
      <c r="E11" s="965"/>
      <c r="F11" s="965"/>
      <c r="G11" s="965"/>
      <c r="H11" s="965"/>
      <c r="I11" s="965"/>
      <c r="J11" s="965"/>
      <c r="K11" s="965"/>
    </row>
    <row r="12" spans="1:15">
      <c r="A12" s="1769" t="s">
        <v>1205</v>
      </c>
      <c r="B12" s="1769"/>
      <c r="C12" s="1769"/>
      <c r="D12" s="1769"/>
      <c r="E12" s="1769"/>
      <c r="F12" s="1769"/>
      <c r="G12" s="1769"/>
      <c r="H12" s="1769"/>
      <c r="I12" s="1769"/>
      <c r="J12" s="1769"/>
      <c r="K12" s="1769"/>
    </row>
    <row r="13" spans="1:15">
      <c r="A13" s="982"/>
      <c r="B13" s="981">
        <v>2010</v>
      </c>
      <c r="C13" s="981">
        <v>2011</v>
      </c>
      <c r="D13" s="981">
        <v>2012</v>
      </c>
      <c r="E13" s="981">
        <v>2013</v>
      </c>
      <c r="F13" s="981">
        <v>2014</v>
      </c>
      <c r="G13" s="981">
        <v>2015</v>
      </c>
      <c r="H13" s="981" t="s">
        <v>541</v>
      </c>
      <c r="I13" s="981" t="s">
        <v>542</v>
      </c>
      <c r="J13" s="981" t="s">
        <v>543</v>
      </c>
      <c r="K13" s="981" t="s">
        <v>544</v>
      </c>
    </row>
    <row r="14" spans="1:15">
      <c r="A14" s="965" t="s">
        <v>1204</v>
      </c>
      <c r="B14" s="1282">
        <v>41.200669455571614</v>
      </c>
      <c r="C14" s="1282">
        <v>43.675666032350144</v>
      </c>
      <c r="D14" s="1282">
        <v>52.16488889805855</v>
      </c>
      <c r="E14" s="1282">
        <v>54.739186651188696</v>
      </c>
      <c r="F14" s="1282">
        <v>53.623344885340195</v>
      </c>
      <c r="G14" s="1282">
        <v>52.478852547353007</v>
      </c>
      <c r="H14" s="1282">
        <v>53.464901403807033</v>
      </c>
      <c r="I14" s="1282">
        <v>52.779401177998587</v>
      </c>
      <c r="J14" s="1282">
        <v>51.643977770184371</v>
      </c>
      <c r="K14" s="1282">
        <v>49.278222667417474</v>
      </c>
    </row>
    <row r="15" spans="1:15">
      <c r="A15" s="965" t="s">
        <v>1203</v>
      </c>
      <c r="B15" s="1282">
        <v>4.2613275981727661</v>
      </c>
      <c r="C15" s="1282">
        <v>2.8359182736962554</v>
      </c>
      <c r="D15" s="1282">
        <v>5.556059887075584</v>
      </c>
      <c r="E15" s="1282">
        <v>6.3644686051889039</v>
      </c>
      <c r="F15" s="1282">
        <v>4.4917424461251247</v>
      </c>
      <c r="G15" s="1282">
        <v>4.2841546212387964</v>
      </c>
      <c r="H15" s="1282">
        <v>4.5799929953313274</v>
      </c>
      <c r="I15" s="1282">
        <v>4.1327887225872555</v>
      </c>
      <c r="J15" s="1282">
        <v>4.4571729364422623</v>
      </c>
      <c r="K15" s="1282">
        <v>4.7777137576078772</v>
      </c>
    </row>
    <row r="16" spans="1:15">
      <c r="A16" s="965" t="s">
        <v>1202</v>
      </c>
      <c r="B16" s="1282">
        <v>36.939341857398851</v>
      </c>
      <c r="C16" s="1282">
        <v>40.839747758653893</v>
      </c>
      <c r="D16" s="1282">
        <v>46.608829010982966</v>
      </c>
      <c r="E16" s="1282">
        <v>48.374718045999792</v>
      </c>
      <c r="F16" s="1282">
        <v>49.131602439215065</v>
      </c>
      <c r="G16" s="1282">
        <v>48.194697926114216</v>
      </c>
      <c r="H16" s="1282">
        <v>48.884908408475702</v>
      </c>
      <c r="I16" s="1282">
        <v>48.646612455411329</v>
      </c>
      <c r="J16" s="1282">
        <v>47.186804833742109</v>
      </c>
      <c r="K16" s="1282">
        <v>44.500508909809597</v>
      </c>
    </row>
    <row r="17" spans="1:11">
      <c r="A17" s="965" t="s">
        <v>1201</v>
      </c>
      <c r="B17" s="1282">
        <f t="shared" ref="B17:K17" si="7">SUM(B18:B20)</f>
        <v>0.49894417208145336</v>
      </c>
      <c r="C17" s="1282">
        <f t="shared" si="7"/>
        <v>0.14507498527479512</v>
      </c>
      <c r="D17" s="1282">
        <f t="shared" si="7"/>
        <v>-0.78738060753608841</v>
      </c>
      <c r="E17" s="1282">
        <f t="shared" si="7"/>
        <v>-0.86871214581413758</v>
      </c>
      <c r="F17" s="1282">
        <f t="shared" si="7"/>
        <v>-0.33102834388463431</v>
      </c>
      <c r="G17" s="1282">
        <f t="shared" si="7"/>
        <v>-2.3982630834739775</v>
      </c>
      <c r="H17" s="1282">
        <f t="shared" si="7"/>
        <v>1.0282338715877803E-2</v>
      </c>
      <c r="I17" s="1282">
        <f t="shared" si="7"/>
        <v>-0.13584901441279262</v>
      </c>
      <c r="J17" s="1282">
        <f t="shared" si="7"/>
        <v>-0.13113890120573107</v>
      </c>
      <c r="K17" s="1282">
        <f t="shared" si="7"/>
        <v>-0.1295329395460173</v>
      </c>
    </row>
    <row r="18" spans="1:11">
      <c r="A18" s="1280" t="s">
        <v>1200</v>
      </c>
      <c r="B18" s="1282">
        <v>0.4464561324586806</v>
      </c>
      <c r="C18" s="1282">
        <v>-0.39559631416791263</v>
      </c>
      <c r="D18" s="1282">
        <v>-0.34818442028237984</v>
      </c>
      <c r="E18" s="1282">
        <v>-3.0011500622220071E-2</v>
      </c>
      <c r="F18" s="1282">
        <v>-0.14607143985758375</v>
      </c>
      <c r="G18" s="1282">
        <v>0</v>
      </c>
      <c r="H18" s="1282">
        <v>5.9126331019612038E-2</v>
      </c>
      <c r="I18" s="1282">
        <v>0</v>
      </c>
      <c r="J18" s="1282">
        <v>0</v>
      </c>
      <c r="K18" s="1282">
        <v>0</v>
      </c>
    </row>
    <row r="19" spans="1:11">
      <c r="A19" s="1280" t="s">
        <v>1199</v>
      </c>
      <c r="B19" s="1282">
        <v>-0.21665855250209759</v>
      </c>
      <c r="C19" s="1282">
        <v>-0.15530135698427802</v>
      </c>
      <c r="D19" s="1282">
        <v>-0.20159552153610213</v>
      </c>
      <c r="E19" s="1282">
        <v>-0.74735091976421708</v>
      </c>
      <c r="F19" s="1282">
        <v>-0.74129400492979258</v>
      </c>
      <c r="G19" s="1282">
        <v>-2.4024139382174123</v>
      </c>
      <c r="H19" s="1282">
        <v>-0.17537064529001525</v>
      </c>
      <c r="I19" s="1282">
        <v>-0.13584901441279262</v>
      </c>
      <c r="J19" s="1282">
        <v>-0.13113890120573107</v>
      </c>
      <c r="K19" s="1282">
        <v>-0.1295329395460173</v>
      </c>
    </row>
    <row r="20" spans="1:11">
      <c r="A20" s="1271" t="s">
        <v>1198</v>
      </c>
      <c r="B20" s="1282">
        <v>0.26914659212487035</v>
      </c>
      <c r="C20" s="1282">
        <v>0.6959726564269858</v>
      </c>
      <c r="D20" s="1282">
        <v>-0.23760066571760644</v>
      </c>
      <c r="E20" s="1282">
        <v>-9.1349725427700451E-2</v>
      </c>
      <c r="F20" s="1282">
        <v>0.55633710090274202</v>
      </c>
      <c r="G20" s="1282">
        <v>4.150854743434647E-3</v>
      </c>
      <c r="H20" s="1282">
        <v>0.12652665298628102</v>
      </c>
      <c r="I20" s="1282">
        <v>0</v>
      </c>
      <c r="J20" s="1282">
        <v>0</v>
      </c>
      <c r="K20" s="1282">
        <v>0</v>
      </c>
    </row>
    <row r="21" spans="1:11">
      <c r="A21" s="1284" t="s">
        <v>1197</v>
      </c>
      <c r="B21" s="1283"/>
      <c r="C21" s="1283">
        <v>0.24440017443704409</v>
      </c>
      <c r="D21" s="1283">
        <v>1.8175121781513679</v>
      </c>
      <c r="E21" s="1283">
        <v>0.5403741949227383</v>
      </c>
      <c r="F21" s="1283">
        <v>0.13457390153808488</v>
      </c>
      <c r="G21" s="1283">
        <v>-0.14742214585642097</v>
      </c>
      <c r="H21" s="1283">
        <v>0</v>
      </c>
      <c r="I21" s="1283">
        <v>0</v>
      </c>
      <c r="J21" s="1283">
        <v>0</v>
      </c>
      <c r="K21" s="1283">
        <v>0</v>
      </c>
    </row>
    <row r="22" spans="1:11">
      <c r="A22" s="965"/>
      <c r="B22" s="1282"/>
      <c r="C22" s="1282"/>
      <c r="D22" s="1282"/>
      <c r="E22" s="1282"/>
      <c r="F22" s="1282"/>
      <c r="G22" s="1282"/>
      <c r="H22" s="1282"/>
      <c r="I22" s="1282"/>
      <c r="J22" s="1282"/>
      <c r="K22" s="965"/>
    </row>
    <row r="23" spans="1:11">
      <c r="A23" s="965"/>
      <c r="B23" s="965"/>
      <c r="C23" s="965"/>
      <c r="D23" s="965"/>
      <c r="E23" s="965"/>
      <c r="F23" s="965"/>
      <c r="G23" s="965"/>
      <c r="H23" s="965"/>
      <c r="I23" s="965"/>
      <c r="J23" s="965"/>
      <c r="K23" s="965"/>
    </row>
    <row r="24" spans="1:11">
      <c r="A24" s="965"/>
      <c r="B24" s="965"/>
      <c r="C24" s="965"/>
      <c r="D24" s="965"/>
      <c r="E24" s="965"/>
      <c r="F24" s="965"/>
      <c r="G24" s="965"/>
      <c r="H24" s="965"/>
      <c r="I24" s="965"/>
      <c r="J24" s="965"/>
      <c r="K24" s="965"/>
    </row>
    <row r="25" spans="1:11">
      <c r="A25" s="965"/>
      <c r="B25" s="965"/>
      <c r="C25" s="965"/>
      <c r="D25" s="965"/>
      <c r="E25" s="965"/>
      <c r="F25" s="965"/>
      <c r="G25" s="965"/>
      <c r="H25" s="965"/>
      <c r="I25" s="965"/>
      <c r="J25" s="965"/>
      <c r="K25" s="965"/>
    </row>
    <row r="26" spans="1:11">
      <c r="A26" s="965"/>
      <c r="B26" s="965"/>
      <c r="C26" s="965"/>
      <c r="D26" s="965"/>
      <c r="E26" s="965"/>
      <c r="F26" s="965"/>
      <c r="G26" s="965"/>
      <c r="H26" s="965"/>
      <c r="I26" s="965"/>
      <c r="J26" s="965"/>
      <c r="K26" s="965"/>
    </row>
    <row r="27" spans="1:11">
      <c r="A27" s="965"/>
      <c r="B27" s="965"/>
      <c r="C27" s="965"/>
      <c r="D27" s="965"/>
      <c r="E27" s="965"/>
      <c r="F27" s="965"/>
      <c r="G27" s="965"/>
      <c r="H27" s="965"/>
      <c r="I27" s="965"/>
      <c r="J27" s="965"/>
      <c r="K27" s="965"/>
    </row>
    <row r="28" spans="1:11">
      <c r="A28" s="965"/>
      <c r="B28" s="965"/>
      <c r="C28" s="965"/>
      <c r="D28" s="965"/>
      <c r="E28" s="965"/>
      <c r="F28" s="965"/>
      <c r="G28" s="965"/>
      <c r="H28" s="965"/>
      <c r="I28" s="965"/>
      <c r="J28" s="965"/>
      <c r="K28" s="965"/>
    </row>
    <row r="29" spans="1:11">
      <c r="A29" s="965"/>
      <c r="B29" s="965"/>
      <c r="C29" s="965"/>
      <c r="D29" s="965"/>
      <c r="E29" s="965"/>
      <c r="F29" s="965"/>
      <c r="G29" s="965"/>
      <c r="H29" s="965"/>
      <c r="I29" s="965"/>
      <c r="J29" s="965"/>
      <c r="K29" s="965"/>
    </row>
    <row r="30" spans="1:11">
      <c r="A30" s="965"/>
      <c r="B30" s="965"/>
      <c r="C30" s="965"/>
      <c r="D30" s="965"/>
      <c r="E30" s="965"/>
      <c r="F30" s="965"/>
      <c r="G30" s="965"/>
      <c r="H30" s="965"/>
      <c r="I30" s="965"/>
      <c r="J30" s="965"/>
      <c r="K30" s="965"/>
    </row>
    <row r="31" spans="1:11">
      <c r="A31" s="965"/>
      <c r="B31" s="965"/>
      <c r="C31" s="965"/>
      <c r="D31" s="965"/>
      <c r="E31" s="965"/>
      <c r="F31" s="965"/>
      <c r="G31" s="965"/>
      <c r="H31" s="965"/>
      <c r="I31" s="965"/>
      <c r="J31" s="965"/>
      <c r="K31" s="965"/>
    </row>
    <row r="32" spans="1:11">
      <c r="A32" s="965"/>
      <c r="B32" s="965"/>
      <c r="C32" s="965"/>
      <c r="D32" s="965"/>
      <c r="E32" s="965"/>
      <c r="F32" s="965"/>
      <c r="G32" s="965"/>
      <c r="H32" s="965"/>
      <c r="I32" s="965"/>
      <c r="J32" s="965"/>
      <c r="K32" s="965"/>
    </row>
    <row r="33" spans="1:11">
      <c r="A33" s="965"/>
      <c r="B33" s="965"/>
      <c r="C33" s="965"/>
      <c r="D33" s="965"/>
      <c r="E33" s="965"/>
      <c r="F33" s="965"/>
      <c r="G33" s="965"/>
      <c r="H33" s="965"/>
      <c r="I33" s="965"/>
      <c r="J33" s="965"/>
      <c r="K33" s="965"/>
    </row>
    <row r="34" spans="1:11">
      <c r="A34" s="965"/>
      <c r="B34" s="965"/>
      <c r="C34" s="965"/>
      <c r="D34" s="965"/>
      <c r="E34" s="965"/>
      <c r="F34" s="965"/>
      <c r="G34" s="965"/>
      <c r="H34" s="965"/>
      <c r="I34" s="965"/>
      <c r="J34" s="965"/>
      <c r="K34" s="965"/>
    </row>
    <row r="35" spans="1:11">
      <c r="A35" s="965"/>
      <c r="B35" s="965"/>
      <c r="C35" s="965"/>
      <c r="D35" s="965"/>
      <c r="E35" s="965"/>
      <c r="F35" s="965"/>
      <c r="G35" s="965"/>
      <c r="H35" s="965"/>
      <c r="I35" s="965"/>
      <c r="J35" s="965"/>
      <c r="K35" s="965"/>
    </row>
    <row r="36" spans="1:11">
      <c r="A36" s="965"/>
      <c r="B36" s="965"/>
      <c r="C36" s="965"/>
      <c r="D36" s="965"/>
      <c r="E36" s="965"/>
      <c r="F36" s="965"/>
      <c r="G36" s="965"/>
      <c r="H36" s="965"/>
      <c r="I36" s="965"/>
      <c r="J36" s="965"/>
      <c r="K36" s="965"/>
    </row>
    <row r="37" spans="1:11">
      <c r="A37" s="965"/>
      <c r="B37" s="965"/>
      <c r="C37" s="965"/>
      <c r="D37" s="965"/>
      <c r="E37" s="965"/>
      <c r="F37" s="965"/>
      <c r="G37" s="965"/>
      <c r="H37" s="965"/>
      <c r="I37" s="965"/>
      <c r="J37" s="965"/>
      <c r="K37" s="965"/>
    </row>
    <row r="38" spans="1:11">
      <c r="A38" s="965"/>
      <c r="B38" s="965"/>
      <c r="C38" s="965"/>
      <c r="D38" s="965"/>
      <c r="E38" s="965"/>
      <c r="F38" s="965"/>
      <c r="G38" s="965"/>
      <c r="H38" s="965"/>
      <c r="I38" s="965"/>
      <c r="J38" s="965"/>
      <c r="K38" s="965"/>
    </row>
    <row r="39" spans="1:11">
      <c r="A39" s="965"/>
      <c r="B39" s="965"/>
      <c r="C39" s="965"/>
      <c r="D39" s="965"/>
      <c r="E39" s="965"/>
      <c r="F39" s="965"/>
      <c r="G39" s="965"/>
      <c r="H39" s="965"/>
      <c r="I39" s="965"/>
      <c r="J39" s="965"/>
      <c r="K39" s="965"/>
    </row>
    <row r="40" spans="1:11">
      <c r="A40" s="965"/>
      <c r="B40" s="965"/>
      <c r="C40" s="965"/>
      <c r="D40" s="965"/>
      <c r="E40" s="965"/>
      <c r="F40" s="965"/>
      <c r="G40" s="965"/>
      <c r="H40" s="965"/>
      <c r="I40" s="965"/>
      <c r="J40" s="965"/>
      <c r="K40" s="965"/>
    </row>
    <row r="41" spans="1:11">
      <c r="A41" s="965"/>
      <c r="B41" s="965"/>
      <c r="C41" s="965"/>
      <c r="D41" s="965"/>
      <c r="E41" s="965"/>
      <c r="F41" s="965"/>
      <c r="G41" s="965"/>
      <c r="H41" s="965"/>
      <c r="I41" s="965"/>
      <c r="J41" s="965"/>
      <c r="K41" s="965"/>
    </row>
    <row r="42" spans="1:11">
      <c r="A42" s="965"/>
      <c r="B42" s="965"/>
      <c r="C42" s="965"/>
      <c r="D42" s="965"/>
      <c r="E42" s="965"/>
      <c r="F42" s="965"/>
      <c r="G42" s="965"/>
      <c r="H42" s="965"/>
      <c r="I42" s="965"/>
      <c r="J42" s="965"/>
      <c r="K42" s="965"/>
    </row>
    <row r="43" spans="1:11">
      <c r="A43" s="965"/>
      <c r="B43" s="965"/>
      <c r="C43" s="965"/>
      <c r="D43" s="965"/>
      <c r="E43" s="965"/>
      <c r="F43" s="965"/>
      <c r="G43" s="965"/>
      <c r="H43" s="965"/>
      <c r="I43" s="965"/>
      <c r="J43" s="965"/>
      <c r="K43" s="965"/>
    </row>
    <row r="44" spans="1:11">
      <c r="A44" s="965"/>
      <c r="B44" s="965"/>
      <c r="C44" s="965"/>
      <c r="D44" s="965"/>
      <c r="E44" s="965"/>
      <c r="F44" s="965"/>
      <c r="G44" s="965"/>
      <c r="H44" s="965"/>
      <c r="I44" s="965"/>
      <c r="J44" s="965"/>
      <c r="K44" s="965"/>
    </row>
    <row r="45" spans="1:11">
      <c r="A45" s="965"/>
      <c r="B45" s="965"/>
      <c r="C45" s="965"/>
      <c r="D45" s="965"/>
      <c r="E45" s="965"/>
      <c r="F45" s="965"/>
      <c r="G45" s="965"/>
      <c r="H45" s="965"/>
      <c r="I45" s="965"/>
      <c r="J45" s="965"/>
      <c r="K45" s="965"/>
    </row>
    <row r="46" spans="1:11">
      <c r="A46" s="965"/>
      <c r="B46" s="965"/>
      <c r="C46" s="965"/>
      <c r="D46" s="965"/>
      <c r="E46" s="965"/>
      <c r="F46" s="965"/>
      <c r="G46" s="965"/>
      <c r="H46" s="965"/>
      <c r="I46" s="965"/>
      <c r="J46" s="965"/>
      <c r="K46" s="965"/>
    </row>
    <row r="47" spans="1:11">
      <c r="A47" s="965"/>
      <c r="B47" s="965"/>
      <c r="C47" s="965"/>
      <c r="D47" s="965"/>
      <c r="E47" s="965"/>
      <c r="F47" s="965"/>
      <c r="G47" s="965"/>
      <c r="H47" s="965"/>
      <c r="I47" s="965"/>
      <c r="J47" s="965"/>
      <c r="K47" s="965"/>
    </row>
    <row r="48" spans="1:11">
      <c r="A48" s="965"/>
      <c r="B48" s="965"/>
      <c r="C48" s="965"/>
      <c r="D48" s="965"/>
      <c r="E48" s="965"/>
      <c r="F48" s="965"/>
      <c r="G48" s="965"/>
      <c r="H48" s="965"/>
      <c r="I48" s="965"/>
      <c r="J48" s="965"/>
      <c r="K48" s="965"/>
    </row>
    <row r="49" spans="1:11">
      <c r="A49" s="965"/>
      <c r="B49" s="965"/>
      <c r="C49" s="965"/>
      <c r="D49" s="965"/>
      <c r="E49" s="965"/>
      <c r="F49" s="965"/>
      <c r="G49" s="965"/>
      <c r="H49" s="965"/>
      <c r="I49" s="965"/>
      <c r="J49" s="965"/>
      <c r="K49" s="965"/>
    </row>
    <row r="50" spans="1:11">
      <c r="A50" s="965"/>
      <c r="B50" s="965"/>
      <c r="C50" s="965"/>
      <c r="D50" s="965"/>
      <c r="E50" s="965"/>
      <c r="F50" s="965"/>
      <c r="G50" s="965"/>
      <c r="H50" s="965"/>
      <c r="I50" s="965"/>
      <c r="J50" s="965"/>
      <c r="K50" s="965"/>
    </row>
    <row r="51" spans="1:11">
      <c r="A51" s="965"/>
      <c r="B51" s="965"/>
      <c r="C51" s="965"/>
      <c r="D51" s="965"/>
      <c r="E51" s="965"/>
      <c r="F51" s="965"/>
      <c r="G51" s="965"/>
      <c r="H51" s="965"/>
      <c r="I51" s="965"/>
      <c r="J51" s="965"/>
      <c r="K51" s="965"/>
    </row>
    <row r="52" spans="1:11">
      <c r="A52" s="965"/>
      <c r="B52" s="965"/>
      <c r="C52" s="965"/>
      <c r="D52" s="965"/>
      <c r="E52" s="965"/>
      <c r="F52" s="965"/>
      <c r="G52" s="965"/>
      <c r="H52" s="965"/>
      <c r="I52" s="965"/>
      <c r="J52" s="965"/>
      <c r="K52" s="965"/>
    </row>
    <row r="53" spans="1:11">
      <c r="A53" s="965"/>
      <c r="B53" s="965"/>
      <c r="C53" s="965"/>
      <c r="D53" s="965"/>
      <c r="E53" s="965"/>
      <c r="F53" s="965"/>
      <c r="G53" s="965"/>
      <c r="H53" s="965"/>
      <c r="I53" s="965"/>
      <c r="J53" s="965"/>
      <c r="K53" s="965"/>
    </row>
    <row r="54" spans="1:11">
      <c r="A54" s="965"/>
      <c r="B54" s="965"/>
      <c r="C54" s="965"/>
      <c r="D54" s="965"/>
      <c r="E54" s="965"/>
      <c r="F54" s="965"/>
      <c r="G54" s="965"/>
      <c r="H54" s="965"/>
      <c r="I54" s="965"/>
      <c r="J54" s="965"/>
      <c r="K54" s="965"/>
    </row>
    <row r="55" spans="1:11">
      <c r="A55" s="965"/>
      <c r="B55" s="965"/>
      <c r="C55" s="965"/>
      <c r="D55" s="965"/>
      <c r="E55" s="965"/>
      <c r="F55" s="965"/>
      <c r="G55" s="965"/>
      <c r="H55" s="965"/>
      <c r="I55" s="965"/>
      <c r="J55" s="965"/>
      <c r="K55" s="965"/>
    </row>
    <row r="56" spans="1:11">
      <c r="A56" s="965"/>
      <c r="B56" s="965"/>
      <c r="C56" s="965"/>
      <c r="D56" s="965"/>
      <c r="E56" s="965"/>
      <c r="F56" s="965"/>
      <c r="G56" s="965"/>
      <c r="H56" s="965"/>
      <c r="I56" s="965"/>
      <c r="J56" s="965"/>
      <c r="K56" s="965"/>
    </row>
    <row r="57" spans="1:11">
      <c r="A57" s="965"/>
      <c r="B57" s="965"/>
      <c r="C57" s="965"/>
      <c r="D57" s="965"/>
      <c r="E57" s="965"/>
      <c r="F57" s="965"/>
      <c r="G57" s="965"/>
      <c r="H57" s="965"/>
      <c r="I57" s="965"/>
      <c r="J57" s="965"/>
      <c r="K57" s="965"/>
    </row>
    <row r="58" spans="1:11">
      <c r="A58" s="965"/>
      <c r="B58" s="965"/>
      <c r="C58" s="965"/>
      <c r="D58" s="965"/>
      <c r="E58" s="965"/>
      <c r="F58" s="965"/>
      <c r="G58" s="965"/>
      <c r="H58" s="965"/>
      <c r="I58" s="965"/>
      <c r="J58" s="965"/>
      <c r="K58" s="965"/>
    </row>
    <row r="59" spans="1:11">
      <c r="A59" s="965"/>
      <c r="B59" s="965"/>
      <c r="C59" s="965"/>
      <c r="D59" s="965"/>
      <c r="E59" s="965"/>
      <c r="F59" s="965"/>
      <c r="G59" s="965"/>
      <c r="H59" s="965"/>
      <c r="I59" s="965"/>
      <c r="J59" s="965"/>
      <c r="K59" s="965"/>
    </row>
    <row r="60" spans="1:11">
      <c r="A60" s="965"/>
      <c r="B60" s="965"/>
      <c r="C60" s="965"/>
      <c r="D60" s="965"/>
      <c r="E60" s="965"/>
      <c r="F60" s="965"/>
      <c r="G60" s="965"/>
      <c r="H60" s="965"/>
      <c r="I60" s="965"/>
      <c r="J60" s="965"/>
      <c r="K60" s="965"/>
    </row>
    <row r="61" spans="1:11">
      <c r="A61" s="965"/>
      <c r="B61" s="965"/>
      <c r="C61" s="965"/>
      <c r="D61" s="965"/>
      <c r="E61" s="965"/>
      <c r="F61" s="965"/>
      <c r="G61" s="965"/>
      <c r="H61" s="965"/>
      <c r="I61" s="965"/>
      <c r="J61" s="965"/>
      <c r="K61" s="965"/>
    </row>
    <row r="62" spans="1:11">
      <c r="A62" s="965"/>
      <c r="B62" s="965"/>
      <c r="C62" s="965"/>
      <c r="D62" s="965"/>
      <c r="E62" s="965"/>
      <c r="F62" s="965"/>
      <c r="G62" s="965"/>
      <c r="H62" s="965"/>
      <c r="I62" s="965"/>
      <c r="J62" s="965"/>
      <c r="K62" s="965"/>
    </row>
    <row r="63" spans="1:11">
      <c r="A63" s="965"/>
      <c r="B63" s="965"/>
      <c r="C63" s="965"/>
      <c r="D63" s="965"/>
      <c r="E63" s="965"/>
      <c r="F63" s="965"/>
      <c r="G63" s="965"/>
      <c r="H63" s="965"/>
      <c r="I63" s="965"/>
      <c r="J63" s="965"/>
      <c r="K63" s="965"/>
    </row>
    <row r="64" spans="1:11">
      <c r="A64" s="965"/>
      <c r="B64" s="965"/>
      <c r="C64" s="965"/>
      <c r="D64" s="965"/>
      <c r="E64" s="965"/>
      <c r="F64" s="965"/>
      <c r="G64" s="965"/>
      <c r="H64" s="965"/>
      <c r="I64" s="965"/>
      <c r="J64" s="965"/>
      <c r="K64" s="965"/>
    </row>
    <row r="65" spans="1:11">
      <c r="A65" s="965"/>
      <c r="B65" s="965"/>
      <c r="C65" s="965"/>
      <c r="D65" s="965"/>
      <c r="E65" s="965"/>
      <c r="F65" s="965"/>
      <c r="G65" s="965"/>
      <c r="H65" s="965"/>
      <c r="I65" s="965"/>
      <c r="J65" s="965"/>
      <c r="K65" s="965"/>
    </row>
    <row r="66" spans="1:11">
      <c r="A66" s="965"/>
      <c r="B66" s="965"/>
      <c r="C66" s="965"/>
      <c r="D66" s="965"/>
      <c r="E66" s="965"/>
      <c r="F66" s="965"/>
      <c r="G66" s="965"/>
      <c r="H66" s="965"/>
      <c r="I66" s="965"/>
      <c r="J66" s="965"/>
      <c r="K66" s="965"/>
    </row>
    <row r="67" spans="1:11">
      <c r="A67" s="965"/>
      <c r="B67" s="965"/>
      <c r="C67" s="965"/>
      <c r="D67" s="965"/>
      <c r="E67" s="965"/>
      <c r="F67" s="965"/>
      <c r="G67" s="965"/>
      <c r="H67" s="965"/>
      <c r="I67" s="965"/>
      <c r="J67" s="965"/>
      <c r="K67" s="965"/>
    </row>
    <row r="68" spans="1:11">
      <c r="A68" s="965"/>
      <c r="B68" s="965"/>
      <c r="C68" s="965"/>
      <c r="D68" s="965"/>
      <c r="E68" s="965"/>
      <c r="F68" s="965"/>
      <c r="G68" s="965"/>
      <c r="H68" s="965"/>
      <c r="I68" s="965"/>
      <c r="J68" s="965"/>
      <c r="K68" s="965"/>
    </row>
    <row r="69" spans="1:11">
      <c r="A69" s="965"/>
      <c r="B69" s="965"/>
      <c r="C69" s="965"/>
      <c r="D69" s="965"/>
      <c r="E69" s="965"/>
      <c r="F69" s="965"/>
      <c r="G69" s="965"/>
      <c r="H69" s="965"/>
      <c r="I69" s="965"/>
      <c r="J69" s="965"/>
      <c r="K69" s="965"/>
    </row>
    <row r="70" spans="1:11">
      <c r="A70" s="965"/>
      <c r="B70" s="965"/>
      <c r="C70" s="965"/>
      <c r="D70" s="965"/>
      <c r="E70" s="965"/>
      <c r="F70" s="965"/>
      <c r="G70" s="965"/>
      <c r="H70" s="965"/>
      <c r="I70" s="965"/>
      <c r="J70" s="965"/>
      <c r="K70" s="965"/>
    </row>
    <row r="71" spans="1:11">
      <c r="A71" s="965"/>
      <c r="B71" s="965"/>
      <c r="C71" s="965"/>
      <c r="D71" s="965"/>
      <c r="E71" s="965"/>
      <c r="F71" s="965"/>
      <c r="G71" s="965"/>
      <c r="H71" s="965"/>
      <c r="I71" s="965"/>
      <c r="J71" s="965"/>
      <c r="K71" s="965"/>
    </row>
    <row r="72" spans="1:11">
      <c r="A72" s="965"/>
      <c r="B72" s="965"/>
      <c r="C72" s="965"/>
      <c r="D72" s="965"/>
      <c r="E72" s="965"/>
      <c r="F72" s="965"/>
      <c r="G72" s="965"/>
      <c r="H72" s="965"/>
      <c r="I72" s="965"/>
      <c r="J72" s="965"/>
      <c r="K72" s="965"/>
    </row>
    <row r="73" spans="1:11">
      <c r="A73" s="965"/>
      <c r="B73" s="965"/>
      <c r="C73" s="965"/>
      <c r="D73" s="965"/>
      <c r="E73" s="965"/>
      <c r="F73" s="965"/>
      <c r="G73" s="965"/>
      <c r="H73" s="965"/>
      <c r="I73" s="965"/>
      <c r="J73" s="965"/>
      <c r="K73" s="965"/>
    </row>
    <row r="74" spans="1:11">
      <c r="A74" s="965"/>
      <c r="B74" s="965"/>
      <c r="C74" s="965"/>
      <c r="D74" s="965"/>
      <c r="E74" s="965"/>
      <c r="F74" s="965"/>
      <c r="G74" s="965"/>
      <c r="H74" s="965"/>
      <c r="I74" s="965"/>
      <c r="J74" s="965"/>
      <c r="K74" s="965"/>
    </row>
    <row r="75" spans="1:11">
      <c r="A75" s="965"/>
      <c r="B75" s="965"/>
      <c r="C75" s="965"/>
      <c r="D75" s="965"/>
      <c r="E75" s="965"/>
      <c r="F75" s="965"/>
      <c r="G75" s="965"/>
      <c r="H75" s="965"/>
      <c r="I75" s="965"/>
      <c r="J75" s="965"/>
      <c r="K75" s="965"/>
    </row>
    <row r="76" spans="1:11">
      <c r="A76" s="965"/>
      <c r="B76" s="965"/>
      <c r="C76" s="965"/>
      <c r="D76" s="965"/>
      <c r="E76" s="965"/>
      <c r="F76" s="965"/>
      <c r="G76" s="965"/>
      <c r="H76" s="965"/>
      <c r="I76" s="965"/>
      <c r="J76" s="965"/>
      <c r="K76" s="965"/>
    </row>
    <row r="77" spans="1:11">
      <c r="A77" s="965"/>
      <c r="B77" s="965"/>
      <c r="C77" s="965"/>
      <c r="D77" s="965"/>
      <c r="E77" s="965"/>
      <c r="F77" s="965"/>
      <c r="G77" s="965"/>
      <c r="H77" s="965"/>
      <c r="I77" s="965"/>
      <c r="J77" s="965"/>
      <c r="K77" s="965"/>
    </row>
    <row r="78" spans="1:11">
      <c r="A78" s="965"/>
      <c r="B78" s="965"/>
      <c r="C78" s="965"/>
      <c r="D78" s="965"/>
      <c r="E78" s="965"/>
      <c r="F78" s="965"/>
      <c r="G78" s="965"/>
      <c r="H78" s="965"/>
      <c r="I78" s="965"/>
      <c r="J78" s="965"/>
      <c r="K78" s="965"/>
    </row>
    <row r="79" spans="1:11">
      <c r="A79" s="965"/>
      <c r="B79" s="965"/>
      <c r="C79" s="965"/>
      <c r="D79" s="965"/>
      <c r="E79" s="965"/>
      <c r="F79" s="965"/>
      <c r="G79" s="965"/>
      <c r="H79" s="965"/>
      <c r="I79" s="965"/>
      <c r="J79" s="965"/>
      <c r="K79" s="965"/>
    </row>
    <row r="80" spans="1:11">
      <c r="A80" s="965"/>
      <c r="B80" s="965"/>
      <c r="C80" s="965"/>
      <c r="D80" s="965"/>
      <c r="E80" s="965"/>
      <c r="F80" s="965"/>
      <c r="G80" s="965"/>
      <c r="H80" s="965"/>
      <c r="I80" s="965"/>
      <c r="J80" s="965"/>
      <c r="K80" s="965"/>
    </row>
    <row r="81" spans="1:11">
      <c r="A81" s="965"/>
      <c r="B81" s="965"/>
      <c r="C81" s="965"/>
      <c r="D81" s="965"/>
      <c r="E81" s="965"/>
      <c r="F81" s="965"/>
      <c r="G81" s="965"/>
      <c r="H81" s="965"/>
      <c r="I81" s="965"/>
      <c r="J81" s="965"/>
      <c r="K81" s="965"/>
    </row>
    <row r="82" spans="1:11">
      <c r="A82" s="965"/>
      <c r="B82" s="965"/>
      <c r="C82" s="965"/>
      <c r="D82" s="965"/>
      <c r="E82" s="965"/>
      <c r="F82" s="965"/>
      <c r="G82" s="965"/>
      <c r="H82" s="965"/>
      <c r="I82" s="965"/>
      <c r="J82" s="965"/>
      <c r="K82" s="965"/>
    </row>
    <row r="83" spans="1:11">
      <c r="A83" s="965"/>
      <c r="B83" s="965"/>
      <c r="C83" s="965"/>
      <c r="D83" s="965"/>
      <c r="E83" s="965"/>
      <c r="F83" s="965"/>
      <c r="G83" s="965"/>
      <c r="H83" s="965"/>
      <c r="I83" s="965"/>
      <c r="J83" s="965"/>
      <c r="K83" s="965"/>
    </row>
    <row r="84" spans="1:11">
      <c r="A84" s="965"/>
      <c r="B84" s="965"/>
      <c r="C84" s="965"/>
      <c r="D84" s="965"/>
      <c r="E84" s="965"/>
      <c r="F84" s="965"/>
      <c r="G84" s="965"/>
      <c r="H84" s="965"/>
      <c r="I84" s="965"/>
      <c r="J84" s="965"/>
      <c r="K84" s="965"/>
    </row>
    <row r="85" spans="1:11">
      <c r="A85" s="965"/>
      <c r="B85" s="965"/>
      <c r="C85" s="965"/>
      <c r="D85" s="965"/>
      <c r="E85" s="965"/>
      <c r="F85" s="965"/>
      <c r="G85" s="965"/>
      <c r="H85" s="965"/>
      <c r="I85" s="965"/>
      <c r="J85" s="965"/>
      <c r="K85" s="965"/>
    </row>
    <row r="86" spans="1:11">
      <c r="A86" s="965"/>
      <c r="B86" s="965"/>
      <c r="C86" s="965"/>
      <c r="D86" s="965"/>
      <c r="E86" s="965"/>
      <c r="F86" s="965"/>
      <c r="G86" s="965"/>
      <c r="H86" s="965"/>
      <c r="I86" s="965"/>
      <c r="J86" s="965"/>
      <c r="K86" s="965"/>
    </row>
    <row r="87" spans="1:11">
      <c r="A87" s="965"/>
      <c r="B87" s="965"/>
      <c r="C87" s="965"/>
      <c r="D87" s="965"/>
      <c r="E87" s="965"/>
      <c r="F87" s="965"/>
      <c r="G87" s="965"/>
      <c r="H87" s="965"/>
      <c r="I87" s="965"/>
      <c r="J87" s="965"/>
      <c r="K87" s="965"/>
    </row>
    <row r="88" spans="1:11">
      <c r="A88" s="965"/>
      <c r="B88" s="965"/>
      <c r="C88" s="965"/>
      <c r="D88" s="965"/>
      <c r="E88" s="965"/>
      <c r="F88" s="965"/>
      <c r="G88" s="965"/>
      <c r="H88" s="965"/>
      <c r="I88" s="965"/>
      <c r="J88" s="965"/>
      <c r="K88" s="965"/>
    </row>
    <row r="89" spans="1:11">
      <c r="A89" s="965"/>
      <c r="B89" s="965"/>
      <c r="C89" s="965"/>
      <c r="D89" s="965"/>
      <c r="E89" s="965"/>
      <c r="F89" s="965"/>
      <c r="G89" s="965"/>
      <c r="H89" s="965"/>
      <c r="I89" s="965"/>
      <c r="J89" s="965"/>
      <c r="K89" s="965"/>
    </row>
    <row r="90" spans="1:11">
      <c r="A90" s="965"/>
      <c r="B90" s="965"/>
      <c r="C90" s="965"/>
      <c r="D90" s="965"/>
      <c r="E90" s="965"/>
      <c r="F90" s="965"/>
      <c r="G90" s="965"/>
      <c r="H90" s="965"/>
      <c r="I90" s="965"/>
      <c r="J90" s="965"/>
      <c r="K90" s="965"/>
    </row>
    <row r="91" spans="1:11">
      <c r="A91" s="965"/>
      <c r="B91" s="965"/>
      <c r="C91" s="965"/>
      <c r="D91" s="965"/>
      <c r="E91" s="965"/>
      <c r="F91" s="965"/>
      <c r="G91" s="965"/>
      <c r="H91" s="965"/>
      <c r="I91" s="965"/>
      <c r="J91" s="965"/>
      <c r="K91" s="965"/>
    </row>
    <row r="92" spans="1:11">
      <c r="A92" s="965"/>
      <c r="B92" s="965"/>
      <c r="C92" s="965"/>
      <c r="D92" s="965"/>
      <c r="E92" s="965"/>
      <c r="F92" s="965"/>
      <c r="G92" s="965"/>
      <c r="H92" s="965"/>
      <c r="I92" s="965"/>
      <c r="J92" s="965"/>
      <c r="K92" s="965"/>
    </row>
    <row r="93" spans="1:11">
      <c r="A93" s="965"/>
      <c r="B93" s="965"/>
      <c r="C93" s="965"/>
      <c r="D93" s="965"/>
      <c r="E93" s="965"/>
      <c r="F93" s="965"/>
      <c r="G93" s="965"/>
      <c r="H93" s="965"/>
      <c r="I93" s="965"/>
      <c r="J93" s="965"/>
      <c r="K93" s="965"/>
    </row>
    <row r="94" spans="1:11">
      <c r="A94" s="965"/>
      <c r="B94" s="965"/>
      <c r="C94" s="965"/>
      <c r="D94" s="965"/>
      <c r="E94" s="965"/>
      <c r="F94" s="965"/>
      <c r="G94" s="965"/>
      <c r="H94" s="965"/>
      <c r="I94" s="965"/>
      <c r="J94" s="965"/>
      <c r="K94" s="965"/>
    </row>
    <row r="95" spans="1:11">
      <c r="A95" s="965"/>
      <c r="B95" s="965"/>
      <c r="C95" s="965"/>
      <c r="D95" s="965"/>
      <c r="E95" s="965"/>
      <c r="F95" s="965"/>
      <c r="G95" s="965"/>
      <c r="H95" s="965"/>
      <c r="I95" s="965"/>
      <c r="J95" s="965"/>
      <c r="K95" s="965"/>
    </row>
    <row r="96" spans="1:11">
      <c r="A96" s="965"/>
      <c r="B96" s="965"/>
      <c r="C96" s="965"/>
      <c r="D96" s="965"/>
      <c r="E96" s="965"/>
      <c r="F96" s="965"/>
      <c r="G96" s="965"/>
      <c r="H96" s="965"/>
      <c r="I96" s="965"/>
      <c r="J96" s="965"/>
      <c r="K96" s="965"/>
    </row>
    <row r="97" spans="1:11">
      <c r="A97" s="965"/>
      <c r="B97" s="965"/>
      <c r="C97" s="965"/>
      <c r="D97" s="965"/>
      <c r="E97" s="965"/>
      <c r="F97" s="965"/>
      <c r="G97" s="965"/>
      <c r="H97" s="965"/>
      <c r="I97" s="965"/>
      <c r="J97" s="965"/>
      <c r="K97" s="965"/>
    </row>
    <row r="98" spans="1:11">
      <c r="A98" s="965"/>
      <c r="B98" s="965"/>
      <c r="C98" s="965"/>
      <c r="D98" s="965"/>
      <c r="E98" s="965"/>
      <c r="F98" s="965"/>
      <c r="G98" s="965"/>
      <c r="H98" s="965"/>
      <c r="I98" s="965"/>
      <c r="J98" s="965"/>
      <c r="K98" s="965"/>
    </row>
    <row r="99" spans="1:11">
      <c r="A99" s="965"/>
      <c r="B99" s="965"/>
      <c r="C99" s="965"/>
      <c r="D99" s="965"/>
      <c r="E99" s="965"/>
      <c r="F99" s="965"/>
      <c r="G99" s="965"/>
      <c r="H99" s="965"/>
      <c r="I99" s="965"/>
      <c r="J99" s="965"/>
      <c r="K99" s="965"/>
    </row>
    <row r="100" spans="1:11">
      <c r="A100" s="965"/>
      <c r="B100" s="965"/>
      <c r="C100" s="965"/>
      <c r="D100" s="965"/>
      <c r="E100" s="965"/>
      <c r="F100" s="965"/>
      <c r="G100" s="965"/>
      <c r="H100" s="965"/>
      <c r="I100" s="965"/>
      <c r="J100" s="965"/>
      <c r="K100" s="965"/>
    </row>
    <row r="101" spans="1:11">
      <c r="A101" s="965"/>
      <c r="B101" s="965"/>
      <c r="C101" s="965"/>
      <c r="D101" s="965"/>
      <c r="E101" s="965"/>
      <c r="F101" s="965"/>
      <c r="G101" s="965"/>
      <c r="H101" s="965"/>
      <c r="I101" s="965"/>
      <c r="J101" s="965"/>
      <c r="K101" s="965"/>
    </row>
    <row r="102" spans="1:11">
      <c r="A102" s="965"/>
      <c r="B102" s="965"/>
      <c r="C102" s="965"/>
      <c r="D102" s="965"/>
      <c r="E102" s="965"/>
      <c r="F102" s="965"/>
      <c r="G102" s="965"/>
      <c r="H102" s="965"/>
      <c r="I102" s="965"/>
      <c r="J102" s="965"/>
      <c r="K102" s="965"/>
    </row>
    <row r="103" spans="1:11">
      <c r="A103" s="965"/>
      <c r="B103" s="965"/>
      <c r="C103" s="965"/>
      <c r="D103" s="965"/>
      <c r="E103" s="965"/>
      <c r="F103" s="965"/>
      <c r="G103" s="965"/>
      <c r="H103" s="965"/>
      <c r="I103" s="965"/>
      <c r="J103" s="965"/>
      <c r="K103" s="965"/>
    </row>
    <row r="104" spans="1:11">
      <c r="A104" s="965"/>
      <c r="B104" s="965"/>
      <c r="C104" s="965"/>
      <c r="D104" s="965"/>
      <c r="E104" s="965"/>
      <c r="F104" s="965"/>
      <c r="G104" s="965"/>
      <c r="H104" s="965"/>
      <c r="I104" s="965"/>
      <c r="J104" s="965"/>
      <c r="K104" s="965"/>
    </row>
    <row r="105" spans="1:11">
      <c r="A105" s="965"/>
      <c r="B105" s="965"/>
      <c r="C105" s="965"/>
      <c r="D105" s="965"/>
      <c r="E105" s="965"/>
      <c r="F105" s="965"/>
      <c r="G105" s="965"/>
      <c r="H105" s="965"/>
      <c r="I105" s="965"/>
      <c r="J105" s="965"/>
      <c r="K105" s="965"/>
    </row>
    <row r="106" spans="1:11">
      <c r="A106" s="965"/>
      <c r="B106" s="965"/>
      <c r="C106" s="965"/>
      <c r="D106" s="965"/>
      <c r="E106" s="965"/>
      <c r="F106" s="965"/>
      <c r="G106" s="965"/>
      <c r="H106" s="965"/>
      <c r="I106" s="965"/>
      <c r="J106" s="965"/>
      <c r="K106" s="965"/>
    </row>
    <row r="107" spans="1:11">
      <c r="A107" s="965"/>
      <c r="B107" s="965"/>
      <c r="C107" s="965"/>
      <c r="D107" s="965"/>
      <c r="E107" s="965"/>
      <c r="F107" s="965"/>
      <c r="G107" s="965"/>
      <c r="H107" s="965"/>
      <c r="I107" s="965"/>
      <c r="J107" s="965"/>
      <c r="K107" s="965"/>
    </row>
    <row r="108" spans="1:11">
      <c r="A108" s="965"/>
      <c r="B108" s="965"/>
      <c r="C108" s="965"/>
      <c r="D108" s="965"/>
      <c r="E108" s="965"/>
      <c r="F108" s="965"/>
      <c r="G108" s="965"/>
      <c r="H108" s="965"/>
      <c r="I108" s="965"/>
      <c r="J108" s="965"/>
      <c r="K108" s="965"/>
    </row>
    <row r="109" spans="1:11">
      <c r="A109" s="965"/>
      <c r="B109" s="965"/>
      <c r="C109" s="965"/>
      <c r="D109" s="965"/>
      <c r="E109" s="965"/>
      <c r="F109" s="965"/>
      <c r="G109" s="965"/>
      <c r="H109" s="965"/>
      <c r="I109" s="965"/>
      <c r="J109" s="965"/>
      <c r="K109" s="965"/>
    </row>
    <row r="110" spans="1:11">
      <c r="A110" s="965"/>
      <c r="B110" s="965"/>
      <c r="C110" s="965"/>
      <c r="D110" s="965"/>
      <c r="E110" s="965"/>
      <c r="F110" s="965"/>
      <c r="G110" s="965"/>
      <c r="H110" s="965"/>
      <c r="I110" s="965"/>
      <c r="J110" s="965"/>
      <c r="K110" s="965"/>
    </row>
    <row r="111" spans="1:11">
      <c r="A111" s="965"/>
      <c r="B111" s="965"/>
      <c r="C111" s="965"/>
      <c r="D111" s="965"/>
      <c r="E111" s="965"/>
      <c r="F111" s="965"/>
      <c r="G111" s="965"/>
      <c r="H111" s="965"/>
      <c r="I111" s="965"/>
      <c r="J111" s="965"/>
      <c r="K111" s="965"/>
    </row>
    <row r="112" spans="1:11">
      <c r="A112" s="965"/>
      <c r="B112" s="965"/>
      <c r="C112" s="965"/>
      <c r="D112" s="965"/>
      <c r="E112" s="965"/>
      <c r="F112" s="965"/>
      <c r="G112" s="965"/>
      <c r="H112" s="965"/>
      <c r="I112" s="965"/>
      <c r="J112" s="965"/>
      <c r="K112" s="965"/>
    </row>
    <row r="113" spans="1:11">
      <c r="A113" s="965"/>
      <c r="B113" s="965"/>
      <c r="C113" s="965"/>
      <c r="D113" s="965"/>
      <c r="E113" s="965"/>
      <c r="F113" s="965"/>
      <c r="G113" s="965"/>
      <c r="H113" s="965"/>
      <c r="I113" s="965"/>
      <c r="J113" s="965"/>
      <c r="K113" s="965"/>
    </row>
    <row r="114" spans="1:11">
      <c r="A114" s="965"/>
      <c r="B114" s="965"/>
      <c r="C114" s="965"/>
      <c r="D114" s="965"/>
      <c r="E114" s="965"/>
      <c r="F114" s="965"/>
      <c r="G114" s="965"/>
      <c r="H114" s="965"/>
      <c r="I114" s="965"/>
      <c r="J114" s="965"/>
      <c r="K114" s="965"/>
    </row>
    <row r="115" spans="1:11">
      <c r="A115" s="965"/>
      <c r="B115" s="965"/>
      <c r="C115" s="965"/>
      <c r="D115" s="965"/>
      <c r="E115" s="965"/>
      <c r="F115" s="965"/>
      <c r="G115" s="965"/>
      <c r="H115" s="965"/>
      <c r="I115" s="965"/>
      <c r="J115" s="965"/>
      <c r="K115" s="965"/>
    </row>
    <row r="116" spans="1:11">
      <c r="A116" s="965"/>
      <c r="B116" s="965"/>
      <c r="C116" s="965"/>
      <c r="D116" s="965"/>
      <c r="E116" s="965"/>
      <c r="F116" s="965"/>
      <c r="G116" s="965"/>
      <c r="H116" s="965"/>
      <c r="I116" s="965"/>
      <c r="J116" s="965"/>
      <c r="K116" s="965"/>
    </row>
    <row r="117" spans="1:11">
      <c r="A117" s="965"/>
      <c r="B117" s="965"/>
      <c r="C117" s="965"/>
      <c r="D117" s="965"/>
      <c r="E117" s="965"/>
      <c r="F117" s="965"/>
      <c r="G117" s="965"/>
      <c r="H117" s="965"/>
      <c r="I117" s="965"/>
      <c r="J117" s="965"/>
      <c r="K117" s="965"/>
    </row>
    <row r="118" spans="1:11">
      <c r="A118" s="965"/>
      <c r="B118" s="965"/>
      <c r="C118" s="965"/>
      <c r="D118" s="965"/>
      <c r="E118" s="965"/>
      <c r="F118" s="965"/>
      <c r="G118" s="965"/>
      <c r="H118" s="965"/>
      <c r="I118" s="965"/>
      <c r="J118" s="965"/>
      <c r="K118" s="965"/>
    </row>
    <row r="119" spans="1:11">
      <c r="A119" s="965"/>
      <c r="B119" s="965"/>
      <c r="C119" s="965"/>
      <c r="D119" s="965"/>
      <c r="E119" s="965"/>
      <c r="F119" s="965"/>
      <c r="G119" s="965"/>
      <c r="H119" s="965"/>
      <c r="I119" s="965"/>
      <c r="J119" s="965"/>
      <c r="K119" s="965"/>
    </row>
    <row r="120" spans="1:11">
      <c r="A120" s="965"/>
      <c r="B120" s="965"/>
      <c r="C120" s="965"/>
      <c r="D120" s="965"/>
      <c r="E120" s="965"/>
      <c r="F120" s="965"/>
      <c r="G120" s="965"/>
      <c r="H120" s="965"/>
      <c r="I120" s="965"/>
      <c r="J120" s="965"/>
      <c r="K120" s="965"/>
    </row>
    <row r="121" spans="1:11">
      <c r="A121" s="965"/>
      <c r="B121" s="965"/>
      <c r="C121" s="965"/>
      <c r="D121" s="965"/>
      <c r="E121" s="965"/>
      <c r="F121" s="965"/>
      <c r="G121" s="965"/>
      <c r="H121" s="965"/>
      <c r="I121" s="965"/>
      <c r="J121" s="965"/>
      <c r="K121" s="965"/>
    </row>
    <row r="122" spans="1:11">
      <c r="A122" s="965"/>
      <c r="B122" s="965"/>
      <c r="C122" s="965"/>
      <c r="D122" s="965"/>
      <c r="E122" s="965"/>
      <c r="F122" s="965"/>
      <c r="G122" s="965"/>
      <c r="H122" s="965"/>
      <c r="I122" s="965"/>
      <c r="J122" s="965"/>
      <c r="K122" s="965"/>
    </row>
    <row r="123" spans="1:11">
      <c r="A123" s="965"/>
      <c r="B123" s="965"/>
      <c r="C123" s="965"/>
      <c r="D123" s="965"/>
      <c r="E123" s="965"/>
      <c r="F123" s="965"/>
      <c r="G123" s="965"/>
      <c r="H123" s="965"/>
      <c r="I123" s="965"/>
      <c r="J123" s="965"/>
      <c r="K123" s="965"/>
    </row>
    <row r="124" spans="1:11">
      <c r="A124" s="965"/>
      <c r="B124" s="965"/>
      <c r="C124" s="965"/>
      <c r="D124" s="965"/>
      <c r="E124" s="965"/>
      <c r="F124" s="965"/>
      <c r="G124" s="965"/>
      <c r="H124" s="965"/>
      <c r="I124" s="965"/>
      <c r="J124" s="965"/>
      <c r="K124" s="965"/>
    </row>
    <row r="125" spans="1:11">
      <c r="A125" s="965"/>
      <c r="B125" s="965"/>
      <c r="C125" s="965"/>
      <c r="D125" s="965"/>
      <c r="E125" s="965"/>
      <c r="F125" s="965"/>
      <c r="G125" s="965"/>
      <c r="H125" s="965"/>
      <c r="I125" s="965"/>
      <c r="J125" s="965"/>
      <c r="K125" s="965"/>
    </row>
    <row r="126" spans="1:11">
      <c r="A126" s="965"/>
      <c r="B126" s="965"/>
      <c r="C126" s="965"/>
      <c r="D126" s="965"/>
      <c r="E126" s="965"/>
      <c r="F126" s="965"/>
      <c r="G126" s="965"/>
      <c r="H126" s="965"/>
      <c r="I126" s="965"/>
      <c r="J126" s="965"/>
      <c r="K126" s="965"/>
    </row>
    <row r="127" spans="1:11">
      <c r="A127" s="965"/>
      <c r="B127" s="965"/>
      <c r="C127" s="965"/>
      <c r="D127" s="965"/>
      <c r="E127" s="965"/>
      <c r="F127" s="965"/>
      <c r="G127" s="965"/>
      <c r="H127" s="965"/>
      <c r="I127" s="965"/>
      <c r="J127" s="965"/>
      <c r="K127" s="965"/>
    </row>
    <row r="128" spans="1:11">
      <c r="A128" s="965"/>
      <c r="B128" s="965"/>
      <c r="C128" s="965"/>
      <c r="D128" s="965"/>
      <c r="E128" s="965"/>
      <c r="F128" s="965"/>
      <c r="G128" s="965"/>
      <c r="H128" s="965"/>
      <c r="I128" s="965"/>
      <c r="J128" s="965"/>
      <c r="K128" s="965"/>
    </row>
    <row r="129" spans="1:11">
      <c r="A129" s="965"/>
      <c r="B129" s="965"/>
      <c r="C129" s="965"/>
      <c r="D129" s="965"/>
      <c r="E129" s="965"/>
      <c r="F129" s="965"/>
      <c r="G129" s="965"/>
      <c r="H129" s="965"/>
      <c r="I129" s="965"/>
      <c r="J129" s="965"/>
      <c r="K129" s="965"/>
    </row>
    <row r="130" spans="1:11">
      <c r="A130" s="965"/>
      <c r="B130" s="965"/>
      <c r="C130" s="965"/>
      <c r="D130" s="965"/>
      <c r="E130" s="965"/>
      <c r="F130" s="965"/>
      <c r="G130" s="965"/>
      <c r="H130" s="965"/>
      <c r="I130" s="965"/>
      <c r="J130" s="965"/>
      <c r="K130" s="965"/>
    </row>
    <row r="131" spans="1:11">
      <c r="A131" s="965"/>
      <c r="B131" s="965"/>
      <c r="C131" s="965"/>
      <c r="D131" s="965"/>
      <c r="E131" s="965"/>
      <c r="F131" s="965"/>
      <c r="G131" s="965"/>
      <c r="H131" s="965"/>
      <c r="I131" s="965"/>
      <c r="J131" s="965"/>
      <c r="K131" s="965"/>
    </row>
    <row r="132" spans="1:11">
      <c r="A132" s="965"/>
      <c r="B132" s="965"/>
      <c r="C132" s="965"/>
      <c r="D132" s="965"/>
      <c r="E132" s="965"/>
      <c r="F132" s="965"/>
      <c r="G132" s="965"/>
      <c r="H132" s="965"/>
      <c r="I132" s="965"/>
      <c r="J132" s="965"/>
      <c r="K132" s="965"/>
    </row>
    <row r="133" spans="1:11">
      <c r="A133" s="965"/>
      <c r="B133" s="965"/>
      <c r="C133" s="965"/>
      <c r="D133" s="965"/>
      <c r="E133" s="965"/>
      <c r="F133" s="965"/>
      <c r="G133" s="965"/>
      <c r="H133" s="965"/>
      <c r="I133" s="965"/>
      <c r="J133" s="965"/>
      <c r="K133" s="965"/>
    </row>
    <row r="134" spans="1:11">
      <c r="A134" s="965"/>
      <c r="B134" s="965"/>
      <c r="C134" s="965"/>
      <c r="D134" s="965"/>
      <c r="E134" s="965"/>
      <c r="F134" s="965"/>
      <c r="G134" s="965"/>
      <c r="H134" s="965"/>
      <c r="I134" s="965"/>
      <c r="J134" s="965"/>
      <c r="K134" s="965"/>
    </row>
    <row r="135" spans="1:11">
      <c r="A135" s="965"/>
      <c r="B135" s="965"/>
      <c r="C135" s="965"/>
      <c r="D135" s="965"/>
      <c r="E135" s="965"/>
      <c r="F135" s="965"/>
      <c r="G135" s="965"/>
      <c r="H135" s="965"/>
      <c r="I135" s="965"/>
      <c r="J135" s="965"/>
      <c r="K135" s="965"/>
    </row>
    <row r="136" spans="1:11">
      <c r="A136" s="965"/>
      <c r="B136" s="965"/>
      <c r="C136" s="965"/>
      <c r="D136" s="965"/>
      <c r="E136" s="965"/>
      <c r="F136" s="965"/>
      <c r="G136" s="965"/>
      <c r="H136" s="965"/>
      <c r="I136" s="965"/>
      <c r="J136" s="965"/>
      <c r="K136" s="965"/>
    </row>
    <row r="137" spans="1:11">
      <c r="A137" s="965"/>
      <c r="B137" s="965"/>
      <c r="C137" s="965"/>
      <c r="D137" s="965"/>
      <c r="E137" s="965"/>
      <c r="F137" s="965"/>
      <c r="G137" s="965"/>
      <c r="H137" s="965"/>
      <c r="I137" s="965"/>
      <c r="J137" s="965"/>
      <c r="K137" s="965"/>
    </row>
    <row r="138" spans="1:11">
      <c r="A138" s="965"/>
      <c r="B138" s="965"/>
      <c r="C138" s="965"/>
      <c r="D138" s="965"/>
      <c r="E138" s="965"/>
      <c r="F138" s="965"/>
      <c r="G138" s="965"/>
      <c r="H138" s="965"/>
      <c r="I138" s="965"/>
      <c r="J138" s="965"/>
      <c r="K138" s="965"/>
    </row>
    <row r="139" spans="1:11">
      <c r="A139" s="965"/>
      <c r="B139" s="965"/>
      <c r="C139" s="965"/>
      <c r="D139" s="965"/>
      <c r="E139" s="965"/>
      <c r="F139" s="965"/>
      <c r="G139" s="965"/>
      <c r="H139" s="965"/>
      <c r="I139" s="965"/>
      <c r="J139" s="965"/>
      <c r="K139" s="965"/>
    </row>
    <row r="140" spans="1:11">
      <c r="A140" s="965"/>
      <c r="B140" s="965"/>
      <c r="C140" s="965"/>
      <c r="D140" s="965"/>
      <c r="E140" s="965"/>
      <c r="F140" s="965"/>
      <c r="G140" s="965"/>
      <c r="H140" s="965"/>
      <c r="I140" s="965"/>
      <c r="J140" s="965"/>
      <c r="K140" s="965"/>
    </row>
    <row r="141" spans="1:11">
      <c r="A141" s="965"/>
      <c r="B141" s="965"/>
      <c r="C141" s="965"/>
      <c r="D141" s="965"/>
      <c r="E141" s="965"/>
      <c r="F141" s="965"/>
      <c r="G141" s="965"/>
      <c r="H141" s="965"/>
      <c r="I141" s="965"/>
      <c r="J141" s="965"/>
      <c r="K141" s="965"/>
    </row>
    <row r="142" spans="1:11">
      <c r="A142" s="965"/>
      <c r="B142" s="965"/>
      <c r="C142" s="965"/>
      <c r="D142" s="965"/>
      <c r="E142" s="965"/>
      <c r="F142" s="965"/>
      <c r="G142" s="965"/>
      <c r="H142" s="965"/>
      <c r="I142" s="965"/>
      <c r="J142" s="965"/>
      <c r="K142" s="965"/>
    </row>
    <row r="143" spans="1:11">
      <c r="A143" s="965"/>
      <c r="B143" s="965"/>
      <c r="C143" s="965"/>
      <c r="D143" s="965"/>
      <c r="E143" s="965"/>
      <c r="F143" s="965"/>
      <c r="G143" s="965"/>
      <c r="H143" s="965"/>
      <c r="I143" s="965"/>
      <c r="J143" s="965"/>
      <c r="K143" s="965"/>
    </row>
    <row r="144" spans="1:11">
      <c r="A144" s="965"/>
      <c r="B144" s="965"/>
      <c r="C144" s="965"/>
      <c r="D144" s="965"/>
      <c r="E144" s="965"/>
      <c r="F144" s="965"/>
      <c r="G144" s="965"/>
      <c r="H144" s="965"/>
      <c r="I144" s="965"/>
      <c r="J144" s="965"/>
      <c r="K144" s="965"/>
    </row>
    <row r="145" spans="1:11">
      <c r="A145" s="965"/>
      <c r="B145" s="965"/>
      <c r="C145" s="965"/>
      <c r="D145" s="965"/>
      <c r="E145" s="965"/>
      <c r="F145" s="965"/>
      <c r="G145" s="965"/>
      <c r="H145" s="965"/>
      <c r="I145" s="965"/>
      <c r="J145" s="965"/>
      <c r="K145" s="965"/>
    </row>
    <row r="146" spans="1:11">
      <c r="A146" s="965"/>
      <c r="B146" s="965"/>
      <c r="C146" s="965"/>
      <c r="D146" s="965"/>
      <c r="E146" s="965"/>
      <c r="F146" s="965"/>
      <c r="G146" s="965"/>
      <c r="H146" s="965"/>
      <c r="I146" s="965"/>
      <c r="J146" s="965"/>
      <c r="K146" s="965"/>
    </row>
    <row r="147" spans="1:11">
      <c r="A147" s="965"/>
      <c r="B147" s="965"/>
      <c r="C147" s="965"/>
      <c r="D147" s="965"/>
      <c r="E147" s="965"/>
      <c r="F147" s="965"/>
      <c r="G147" s="965"/>
      <c r="H147" s="965"/>
      <c r="I147" s="965"/>
      <c r="J147" s="965"/>
      <c r="K147" s="965"/>
    </row>
    <row r="148" spans="1:11">
      <c r="A148" s="965"/>
      <c r="B148" s="965"/>
      <c r="C148" s="965"/>
      <c r="D148" s="965"/>
      <c r="E148" s="965"/>
      <c r="F148" s="965"/>
      <c r="G148" s="965"/>
      <c r="H148" s="965"/>
      <c r="I148" s="965"/>
      <c r="J148" s="965"/>
      <c r="K148" s="965"/>
    </row>
    <row r="149" spans="1:11">
      <c r="A149" s="965"/>
      <c r="B149" s="965"/>
      <c r="C149" s="965"/>
      <c r="D149" s="965"/>
      <c r="E149" s="965"/>
      <c r="F149" s="965"/>
      <c r="G149" s="965"/>
      <c r="H149" s="965"/>
      <c r="I149" s="965"/>
      <c r="J149" s="965"/>
      <c r="K149" s="965"/>
    </row>
    <row r="150" spans="1:11">
      <c r="A150" s="965"/>
      <c r="B150" s="965"/>
      <c r="C150" s="965"/>
      <c r="D150" s="965"/>
      <c r="E150" s="965"/>
      <c r="F150" s="965"/>
      <c r="G150" s="965"/>
      <c r="H150" s="965"/>
      <c r="I150" s="965"/>
      <c r="J150" s="965"/>
      <c r="K150" s="965"/>
    </row>
    <row r="151" spans="1:11">
      <c r="A151" s="965"/>
      <c r="B151" s="965"/>
      <c r="C151" s="965"/>
      <c r="D151" s="965"/>
      <c r="E151" s="965"/>
      <c r="F151" s="965"/>
      <c r="G151" s="965"/>
      <c r="H151" s="965"/>
      <c r="I151" s="965"/>
      <c r="J151" s="965"/>
      <c r="K151" s="965"/>
    </row>
    <row r="152" spans="1:11">
      <c r="A152" s="965"/>
      <c r="B152" s="965"/>
      <c r="C152" s="965"/>
      <c r="D152" s="965"/>
      <c r="E152" s="965"/>
      <c r="F152" s="965"/>
      <c r="G152" s="965"/>
      <c r="H152" s="965"/>
      <c r="I152" s="965"/>
      <c r="J152" s="965"/>
      <c r="K152" s="965"/>
    </row>
    <row r="153" spans="1:11">
      <c r="A153" s="965"/>
      <c r="B153" s="965"/>
      <c r="C153" s="965"/>
      <c r="D153" s="965"/>
      <c r="E153" s="965"/>
      <c r="F153" s="965"/>
      <c r="G153" s="965"/>
      <c r="H153" s="965"/>
      <c r="I153" s="965"/>
      <c r="J153" s="965"/>
      <c r="K153" s="965"/>
    </row>
    <row r="154" spans="1:11">
      <c r="A154" s="965"/>
      <c r="B154" s="965"/>
      <c r="C154" s="965"/>
      <c r="D154" s="965"/>
      <c r="E154" s="965"/>
      <c r="F154" s="965"/>
      <c r="G154" s="965"/>
      <c r="H154" s="965"/>
      <c r="I154" s="965"/>
      <c r="J154" s="965"/>
      <c r="K154" s="965"/>
    </row>
    <row r="155" spans="1:11">
      <c r="A155" s="965"/>
      <c r="B155" s="965"/>
      <c r="C155" s="965"/>
      <c r="D155" s="965"/>
      <c r="E155" s="965"/>
      <c r="F155" s="965"/>
      <c r="G155" s="965"/>
      <c r="H155" s="965"/>
      <c r="I155" s="965"/>
      <c r="J155" s="965"/>
      <c r="K155" s="965"/>
    </row>
    <row r="156" spans="1:11">
      <c r="A156" s="965"/>
      <c r="B156" s="965"/>
      <c r="C156" s="965"/>
      <c r="D156" s="965"/>
      <c r="E156" s="965"/>
      <c r="F156" s="965"/>
      <c r="G156" s="965"/>
      <c r="H156" s="965"/>
      <c r="I156" s="965"/>
      <c r="J156" s="965"/>
      <c r="K156" s="965"/>
    </row>
    <row r="157" spans="1:11">
      <c r="A157" s="965"/>
      <c r="B157" s="965"/>
      <c r="C157" s="965"/>
      <c r="D157" s="965"/>
      <c r="E157" s="965"/>
      <c r="F157" s="965"/>
      <c r="G157" s="965"/>
      <c r="H157" s="965"/>
      <c r="I157" s="965"/>
      <c r="J157" s="965"/>
      <c r="K157" s="965"/>
    </row>
    <row r="158" spans="1:11">
      <c r="A158" s="965"/>
      <c r="B158" s="965"/>
      <c r="C158" s="965"/>
      <c r="D158" s="965"/>
      <c r="E158" s="965"/>
      <c r="F158" s="965"/>
      <c r="G158" s="965"/>
      <c r="H158" s="965"/>
      <c r="I158" s="965"/>
      <c r="J158" s="965"/>
      <c r="K158" s="965"/>
    </row>
    <row r="159" spans="1:11">
      <c r="A159" s="965"/>
      <c r="B159" s="965"/>
      <c r="C159" s="965"/>
      <c r="D159" s="965"/>
      <c r="E159" s="965"/>
      <c r="F159" s="965"/>
      <c r="G159" s="965"/>
      <c r="H159" s="965"/>
      <c r="I159" s="965"/>
      <c r="J159" s="965"/>
      <c r="K159" s="965"/>
    </row>
    <row r="160" spans="1:11">
      <c r="A160" s="965"/>
      <c r="B160" s="965"/>
      <c r="C160" s="965"/>
      <c r="D160" s="965"/>
      <c r="E160" s="965"/>
      <c r="F160" s="965"/>
      <c r="G160" s="965"/>
      <c r="H160" s="965"/>
      <c r="I160" s="965"/>
      <c r="J160" s="965"/>
      <c r="K160" s="965"/>
    </row>
    <row r="161" spans="1:11">
      <c r="A161" s="965"/>
      <c r="B161" s="965"/>
      <c r="C161" s="965"/>
      <c r="D161" s="965"/>
      <c r="E161" s="965"/>
      <c r="F161" s="965"/>
      <c r="G161" s="965"/>
      <c r="H161" s="965"/>
      <c r="I161" s="965"/>
      <c r="J161" s="965"/>
      <c r="K161" s="965"/>
    </row>
    <row r="162" spans="1:11">
      <c r="A162" s="965"/>
      <c r="B162" s="965"/>
      <c r="C162" s="965"/>
      <c r="D162" s="965"/>
      <c r="E162" s="965"/>
      <c r="F162" s="965"/>
      <c r="G162" s="965"/>
      <c r="H162" s="965"/>
      <c r="I162" s="965"/>
      <c r="J162" s="965"/>
      <c r="K162" s="965"/>
    </row>
    <row r="163" spans="1:11">
      <c r="A163" s="965"/>
      <c r="B163" s="965"/>
      <c r="C163" s="965"/>
      <c r="D163" s="965"/>
      <c r="E163" s="965"/>
      <c r="F163" s="965"/>
      <c r="G163" s="965"/>
      <c r="H163" s="965"/>
      <c r="I163" s="965"/>
      <c r="J163" s="965"/>
      <c r="K163" s="965"/>
    </row>
    <row r="164" spans="1:11">
      <c r="A164" s="965"/>
      <c r="B164" s="965"/>
      <c r="C164" s="965"/>
      <c r="D164" s="965"/>
      <c r="E164" s="965"/>
      <c r="F164" s="965"/>
      <c r="G164" s="965"/>
      <c r="H164" s="965"/>
      <c r="I164" s="965"/>
      <c r="J164" s="965"/>
      <c r="K164" s="965"/>
    </row>
    <row r="165" spans="1:11">
      <c r="A165" s="965"/>
      <c r="B165" s="965"/>
      <c r="C165" s="965"/>
      <c r="D165" s="965"/>
      <c r="E165" s="965"/>
      <c r="F165" s="965"/>
      <c r="G165" s="965"/>
      <c r="H165" s="965"/>
      <c r="I165" s="965"/>
      <c r="J165" s="965"/>
      <c r="K165" s="965"/>
    </row>
    <row r="166" spans="1:11">
      <c r="A166" s="965"/>
      <c r="B166" s="965"/>
      <c r="C166" s="965"/>
      <c r="D166" s="965"/>
      <c r="E166" s="965"/>
      <c r="F166" s="965"/>
      <c r="G166" s="965"/>
      <c r="H166" s="965"/>
      <c r="I166" s="965"/>
      <c r="J166" s="965"/>
      <c r="K166" s="965"/>
    </row>
    <row r="167" spans="1:11">
      <c r="A167" s="965"/>
      <c r="B167" s="965"/>
      <c r="C167" s="965"/>
      <c r="D167" s="965"/>
      <c r="E167" s="965"/>
      <c r="F167" s="965"/>
      <c r="G167" s="965"/>
      <c r="H167" s="965"/>
      <c r="I167" s="965"/>
      <c r="J167" s="965"/>
      <c r="K167" s="965"/>
    </row>
    <row r="168" spans="1:11">
      <c r="A168" s="965"/>
      <c r="B168" s="965"/>
      <c r="C168" s="965"/>
      <c r="D168" s="965"/>
      <c r="E168" s="965"/>
      <c r="F168" s="965"/>
      <c r="G168" s="965"/>
      <c r="H168" s="965"/>
      <c r="I168" s="965"/>
      <c r="J168" s="965"/>
      <c r="K168" s="965"/>
    </row>
    <row r="169" spans="1:11">
      <c r="A169" s="965"/>
      <c r="B169" s="965"/>
      <c r="C169" s="965"/>
      <c r="D169" s="965"/>
      <c r="E169" s="965"/>
      <c r="F169" s="965"/>
      <c r="G169" s="965"/>
      <c r="H169" s="965"/>
      <c r="I169" s="965"/>
      <c r="J169" s="965"/>
      <c r="K169" s="965"/>
    </row>
    <row r="170" spans="1:11">
      <c r="A170" s="965"/>
      <c r="B170" s="965"/>
      <c r="C170" s="965"/>
      <c r="D170" s="965"/>
      <c r="E170" s="965"/>
      <c r="F170" s="965"/>
      <c r="G170" s="965"/>
      <c r="H170" s="965"/>
      <c r="I170" s="965"/>
      <c r="J170" s="965"/>
      <c r="K170" s="965"/>
    </row>
    <row r="171" spans="1:11">
      <c r="A171" s="965"/>
      <c r="B171" s="965"/>
      <c r="C171" s="965"/>
      <c r="D171" s="965"/>
      <c r="E171" s="965"/>
      <c r="F171" s="965"/>
      <c r="G171" s="965"/>
      <c r="H171" s="965"/>
      <c r="I171" s="965"/>
      <c r="J171" s="965"/>
      <c r="K171" s="965"/>
    </row>
    <row r="172" spans="1:11">
      <c r="A172" s="965"/>
      <c r="B172" s="965"/>
      <c r="C172" s="965"/>
      <c r="D172" s="965"/>
      <c r="E172" s="965"/>
      <c r="F172" s="965"/>
      <c r="G172" s="965"/>
      <c r="H172" s="965"/>
      <c r="I172" s="965"/>
      <c r="J172" s="965"/>
      <c r="K172" s="965"/>
    </row>
    <row r="173" spans="1:11">
      <c r="A173" s="965"/>
      <c r="B173" s="965"/>
      <c r="C173" s="965"/>
      <c r="D173" s="965"/>
      <c r="E173" s="965"/>
      <c r="F173" s="965"/>
      <c r="G173" s="965"/>
      <c r="H173" s="965"/>
      <c r="I173" s="965"/>
      <c r="J173" s="965"/>
      <c r="K173" s="965"/>
    </row>
    <row r="174" spans="1:11">
      <c r="A174" s="965"/>
      <c r="B174" s="965"/>
      <c r="C174" s="965"/>
      <c r="D174" s="965"/>
      <c r="E174" s="965"/>
      <c r="F174" s="965"/>
      <c r="G174" s="965"/>
      <c r="H174" s="965"/>
      <c r="I174" s="965"/>
      <c r="J174" s="965"/>
      <c r="K174" s="965"/>
    </row>
    <row r="175" spans="1:11">
      <c r="A175" s="965"/>
      <c r="B175" s="965"/>
      <c r="C175" s="965"/>
      <c r="D175" s="965"/>
      <c r="E175" s="965"/>
      <c r="F175" s="965"/>
      <c r="G175" s="965"/>
      <c r="H175" s="965"/>
      <c r="I175" s="965"/>
      <c r="J175" s="965"/>
      <c r="K175" s="965"/>
    </row>
    <row r="176" spans="1:11">
      <c r="A176" s="965"/>
      <c r="B176" s="965"/>
      <c r="C176" s="965"/>
      <c r="D176" s="965"/>
      <c r="E176" s="965"/>
      <c r="F176" s="965"/>
      <c r="G176" s="965"/>
      <c r="H176" s="965"/>
      <c r="I176" s="965"/>
      <c r="J176" s="965"/>
      <c r="K176" s="965"/>
    </row>
    <row r="177" spans="1:11">
      <c r="A177" s="965"/>
      <c r="B177" s="965"/>
      <c r="C177" s="965"/>
      <c r="D177" s="965"/>
      <c r="E177" s="965"/>
      <c r="F177" s="965"/>
      <c r="G177" s="965"/>
      <c r="H177" s="965"/>
      <c r="I177" s="965"/>
      <c r="J177" s="965"/>
      <c r="K177" s="965"/>
    </row>
    <row r="178" spans="1:11">
      <c r="A178" s="965"/>
      <c r="B178" s="965"/>
      <c r="C178" s="965"/>
      <c r="D178" s="965"/>
      <c r="E178" s="965"/>
      <c r="F178" s="965"/>
      <c r="G178" s="965"/>
      <c r="H178" s="965"/>
      <c r="I178" s="965"/>
      <c r="J178" s="965"/>
      <c r="K178" s="965"/>
    </row>
    <row r="179" spans="1:11">
      <c r="A179" s="965"/>
      <c r="B179" s="965"/>
      <c r="C179" s="965"/>
      <c r="D179" s="965"/>
      <c r="E179" s="965"/>
      <c r="F179" s="965"/>
      <c r="G179" s="965"/>
      <c r="H179" s="965"/>
      <c r="I179" s="965"/>
      <c r="J179" s="965"/>
      <c r="K179" s="965"/>
    </row>
    <row r="180" spans="1:11">
      <c r="A180" s="965"/>
      <c r="B180" s="965"/>
      <c r="C180" s="965"/>
      <c r="D180" s="965"/>
      <c r="E180" s="965"/>
      <c r="F180" s="965"/>
      <c r="G180" s="965"/>
      <c r="H180" s="965"/>
      <c r="I180" s="965"/>
      <c r="J180" s="965"/>
      <c r="K180" s="965"/>
    </row>
    <row r="181" spans="1:11">
      <c r="A181" s="965"/>
      <c r="B181" s="965"/>
      <c r="C181" s="965"/>
      <c r="D181" s="965"/>
      <c r="E181" s="965"/>
      <c r="F181" s="965"/>
      <c r="G181" s="965"/>
      <c r="H181" s="965"/>
      <c r="I181" s="965"/>
      <c r="J181" s="965"/>
      <c r="K181" s="965"/>
    </row>
    <row r="182" spans="1:11">
      <c r="A182" s="965"/>
      <c r="B182" s="965"/>
      <c r="C182" s="965"/>
      <c r="D182" s="965"/>
      <c r="E182" s="965"/>
      <c r="F182" s="965"/>
      <c r="G182" s="965"/>
      <c r="H182" s="965"/>
      <c r="I182" s="965"/>
      <c r="J182" s="965"/>
      <c r="K182" s="965"/>
    </row>
    <row r="183" spans="1:11">
      <c r="A183" s="965"/>
      <c r="B183" s="965"/>
      <c r="C183" s="965"/>
      <c r="D183" s="965"/>
      <c r="E183" s="965"/>
      <c r="F183" s="965"/>
      <c r="G183" s="965"/>
      <c r="H183" s="965"/>
      <c r="I183" s="965"/>
      <c r="J183" s="965"/>
      <c r="K183" s="965"/>
    </row>
    <row r="184" spans="1:11">
      <c r="A184" s="965"/>
      <c r="B184" s="965"/>
      <c r="C184" s="965"/>
      <c r="D184" s="965"/>
      <c r="E184" s="965"/>
      <c r="F184" s="965"/>
      <c r="G184" s="965"/>
      <c r="H184" s="965"/>
      <c r="I184" s="965"/>
      <c r="J184" s="965"/>
      <c r="K184" s="965"/>
    </row>
    <row r="185" spans="1:11">
      <c r="A185" s="965"/>
      <c r="B185" s="965"/>
      <c r="C185" s="965"/>
      <c r="D185" s="965"/>
      <c r="E185" s="965"/>
      <c r="F185" s="965"/>
      <c r="G185" s="965"/>
      <c r="H185" s="965"/>
      <c r="I185" s="965"/>
      <c r="J185" s="965"/>
      <c r="K185" s="965"/>
    </row>
    <row r="186" spans="1:11">
      <c r="A186" s="965"/>
      <c r="B186" s="965"/>
      <c r="C186" s="965"/>
      <c r="D186" s="965"/>
      <c r="E186" s="965"/>
      <c r="F186" s="965"/>
      <c r="G186" s="965"/>
      <c r="H186" s="965"/>
      <c r="I186" s="965"/>
      <c r="J186" s="965"/>
      <c r="K186" s="965"/>
    </row>
    <row r="187" spans="1:11">
      <c r="A187" s="965"/>
      <c r="B187" s="965"/>
      <c r="C187" s="965"/>
      <c r="D187" s="965"/>
      <c r="E187" s="965"/>
      <c r="F187" s="965"/>
      <c r="G187" s="965"/>
      <c r="H187" s="965"/>
      <c r="I187" s="965"/>
      <c r="J187" s="965"/>
      <c r="K187" s="965"/>
    </row>
    <row r="188" spans="1:11">
      <c r="A188" s="965"/>
      <c r="B188" s="965"/>
      <c r="C188" s="965"/>
      <c r="D188" s="965"/>
      <c r="E188" s="965"/>
      <c r="F188" s="965"/>
      <c r="G188" s="965"/>
      <c r="H188" s="965"/>
      <c r="I188" s="965"/>
      <c r="J188" s="965"/>
      <c r="K188" s="965"/>
    </row>
    <row r="189" spans="1:11">
      <c r="A189" s="965"/>
      <c r="B189" s="965"/>
      <c r="C189" s="965"/>
      <c r="D189" s="965"/>
      <c r="E189" s="965"/>
      <c r="F189" s="965"/>
      <c r="G189" s="965"/>
      <c r="H189" s="965"/>
      <c r="I189" s="965"/>
      <c r="J189" s="965"/>
      <c r="K189" s="965"/>
    </row>
    <row r="190" spans="1:11">
      <c r="A190" s="965"/>
      <c r="B190" s="965"/>
      <c r="C190" s="965"/>
      <c r="D190" s="965"/>
      <c r="E190" s="965"/>
      <c r="F190" s="965"/>
      <c r="G190" s="965"/>
      <c r="H190" s="965"/>
      <c r="I190" s="965"/>
      <c r="J190" s="965"/>
      <c r="K190" s="965"/>
    </row>
    <row r="191" spans="1:11">
      <c r="A191" s="965"/>
      <c r="B191" s="965"/>
      <c r="C191" s="965"/>
      <c r="D191" s="965"/>
      <c r="E191" s="965"/>
      <c r="F191" s="965"/>
      <c r="G191" s="965"/>
      <c r="H191" s="965"/>
      <c r="I191" s="965"/>
      <c r="J191" s="965"/>
      <c r="K191" s="965"/>
    </row>
    <row r="192" spans="1:11">
      <c r="A192" s="965"/>
      <c r="B192" s="965"/>
      <c r="C192" s="965"/>
      <c r="D192" s="965"/>
      <c r="E192" s="965"/>
      <c r="F192" s="965"/>
      <c r="G192" s="965"/>
      <c r="H192" s="965"/>
      <c r="I192" s="965"/>
      <c r="J192" s="965"/>
      <c r="K192" s="965"/>
    </row>
    <row r="193" spans="1:11">
      <c r="A193" s="965"/>
      <c r="B193" s="965"/>
      <c r="C193" s="965"/>
      <c r="D193" s="965"/>
      <c r="E193" s="965"/>
      <c r="F193" s="965"/>
      <c r="G193" s="965"/>
      <c r="H193" s="965"/>
      <c r="I193" s="965"/>
      <c r="J193" s="965"/>
      <c r="K193" s="965"/>
    </row>
    <row r="194" spans="1:11">
      <c r="A194" s="965"/>
      <c r="B194" s="965"/>
      <c r="C194" s="965"/>
      <c r="D194" s="965"/>
      <c r="E194" s="965"/>
      <c r="F194" s="965"/>
      <c r="G194" s="965"/>
      <c r="H194" s="965"/>
      <c r="I194" s="965"/>
      <c r="J194" s="965"/>
      <c r="K194" s="965"/>
    </row>
    <row r="195" spans="1:11">
      <c r="A195" s="965"/>
      <c r="B195" s="965"/>
      <c r="C195" s="965"/>
      <c r="D195" s="965"/>
      <c r="E195" s="965"/>
      <c r="F195" s="965"/>
      <c r="G195" s="965"/>
      <c r="H195" s="965"/>
      <c r="I195" s="965"/>
      <c r="J195" s="965"/>
      <c r="K195" s="965"/>
    </row>
    <row r="196" spans="1:11">
      <c r="A196" s="965"/>
      <c r="B196" s="965"/>
      <c r="C196" s="965"/>
      <c r="D196" s="965"/>
      <c r="E196" s="965"/>
      <c r="F196" s="965"/>
      <c r="G196" s="965"/>
      <c r="H196" s="965"/>
      <c r="I196" s="965"/>
      <c r="J196" s="965"/>
      <c r="K196" s="965"/>
    </row>
    <row r="197" spans="1:11">
      <c r="A197" s="965"/>
      <c r="B197" s="965"/>
      <c r="C197" s="965"/>
      <c r="D197" s="965"/>
      <c r="E197" s="965"/>
      <c r="F197" s="965"/>
      <c r="G197" s="965"/>
      <c r="H197" s="965"/>
      <c r="I197" s="965"/>
      <c r="J197" s="965"/>
      <c r="K197" s="965"/>
    </row>
    <row r="198" spans="1:11">
      <c r="A198" s="965"/>
      <c r="B198" s="965"/>
      <c r="C198" s="965"/>
      <c r="D198" s="965"/>
      <c r="E198" s="965"/>
      <c r="F198" s="965"/>
      <c r="G198" s="965"/>
      <c r="H198" s="965"/>
      <c r="I198" s="965"/>
      <c r="J198" s="965"/>
      <c r="K198" s="965"/>
    </row>
    <row r="199" spans="1:11">
      <c r="A199" s="965"/>
      <c r="B199" s="965"/>
      <c r="C199" s="965"/>
      <c r="D199" s="965"/>
      <c r="E199" s="965"/>
      <c r="F199" s="965"/>
      <c r="G199" s="965"/>
      <c r="H199" s="965"/>
      <c r="I199" s="965"/>
      <c r="J199" s="965"/>
      <c r="K199" s="965"/>
    </row>
    <row r="200" spans="1:11">
      <c r="A200" s="965"/>
      <c r="B200" s="965"/>
      <c r="C200" s="965"/>
      <c r="D200" s="965"/>
      <c r="E200" s="965"/>
      <c r="F200" s="965"/>
      <c r="G200" s="965"/>
      <c r="H200" s="965"/>
      <c r="I200" s="965"/>
      <c r="J200" s="965"/>
      <c r="K200" s="965"/>
    </row>
    <row r="201" spans="1:11">
      <c r="A201" s="965"/>
      <c r="B201" s="965"/>
      <c r="C201" s="965"/>
      <c r="D201" s="965"/>
      <c r="E201" s="965"/>
      <c r="F201" s="965"/>
      <c r="G201" s="965"/>
      <c r="H201" s="965"/>
      <c r="I201" s="965"/>
      <c r="J201" s="965"/>
      <c r="K201" s="965"/>
    </row>
    <row r="202" spans="1:11">
      <c r="A202" s="965"/>
      <c r="B202" s="965"/>
      <c r="C202" s="965"/>
      <c r="D202" s="965"/>
      <c r="E202" s="965"/>
      <c r="F202" s="965"/>
      <c r="G202" s="965"/>
      <c r="H202" s="965"/>
      <c r="I202" s="965"/>
      <c r="J202" s="965"/>
      <c r="K202" s="965"/>
    </row>
    <row r="203" spans="1:11">
      <c r="A203" s="965"/>
      <c r="B203" s="965"/>
      <c r="C203" s="965"/>
      <c r="D203" s="965"/>
      <c r="E203" s="965"/>
      <c r="F203" s="965"/>
      <c r="G203" s="965"/>
      <c r="H203" s="965"/>
      <c r="I203" s="965"/>
      <c r="J203" s="965"/>
      <c r="K203" s="965"/>
    </row>
    <row r="204" spans="1:11">
      <c r="A204" s="965"/>
      <c r="B204" s="965"/>
      <c r="C204" s="965"/>
      <c r="D204" s="965"/>
      <c r="E204" s="965"/>
      <c r="F204" s="965"/>
      <c r="G204" s="965"/>
      <c r="H204" s="965"/>
      <c r="I204" s="965"/>
      <c r="J204" s="965"/>
      <c r="K204" s="965"/>
    </row>
    <row r="205" spans="1:11">
      <c r="A205" s="965"/>
      <c r="B205" s="965"/>
      <c r="C205" s="965"/>
      <c r="D205" s="965"/>
      <c r="E205" s="965"/>
      <c r="F205" s="965"/>
      <c r="G205" s="965"/>
      <c r="H205" s="965"/>
      <c r="I205" s="965"/>
      <c r="J205" s="965"/>
      <c r="K205" s="965"/>
    </row>
    <row r="206" spans="1:11">
      <c r="A206" s="965"/>
      <c r="B206" s="965"/>
      <c r="C206" s="965"/>
      <c r="D206" s="965"/>
      <c r="E206" s="965"/>
      <c r="F206" s="965"/>
      <c r="G206" s="965"/>
      <c r="H206" s="965"/>
      <c r="I206" s="965"/>
      <c r="J206" s="965"/>
      <c r="K206" s="965"/>
    </row>
    <row r="207" spans="1:11">
      <c r="A207" s="965"/>
      <c r="B207" s="965"/>
      <c r="C207" s="965"/>
      <c r="D207" s="965"/>
      <c r="E207" s="965"/>
      <c r="F207" s="965"/>
      <c r="G207" s="965"/>
      <c r="H207" s="965"/>
      <c r="I207" s="965"/>
      <c r="J207" s="965"/>
      <c r="K207" s="965"/>
    </row>
    <row r="208" spans="1:11">
      <c r="A208" s="965"/>
      <c r="B208" s="965"/>
      <c r="C208" s="965"/>
      <c r="D208" s="965"/>
      <c r="E208" s="965"/>
      <c r="F208" s="965"/>
      <c r="G208" s="965"/>
      <c r="H208" s="965"/>
      <c r="I208" s="965"/>
      <c r="J208" s="965"/>
      <c r="K208" s="965"/>
    </row>
    <row r="209" spans="1:11">
      <c r="A209" s="965"/>
      <c r="B209" s="965"/>
      <c r="C209" s="965"/>
      <c r="D209" s="965"/>
      <c r="E209" s="965"/>
      <c r="F209" s="965"/>
      <c r="G209" s="965"/>
      <c r="H209" s="965"/>
      <c r="I209" s="965"/>
      <c r="J209" s="965"/>
      <c r="K209" s="965"/>
    </row>
    <row r="210" spans="1:11">
      <c r="A210" s="965"/>
      <c r="B210" s="965"/>
      <c r="C210" s="965"/>
      <c r="D210" s="965"/>
      <c r="E210" s="965"/>
      <c r="F210" s="965"/>
      <c r="G210" s="965"/>
      <c r="H210" s="965"/>
      <c r="I210" s="965"/>
      <c r="J210" s="965"/>
      <c r="K210" s="965"/>
    </row>
    <row r="211" spans="1:11">
      <c r="A211" s="965"/>
      <c r="B211" s="965"/>
      <c r="C211" s="965"/>
      <c r="D211" s="965"/>
      <c r="E211" s="965"/>
      <c r="F211" s="965"/>
      <c r="G211" s="965"/>
      <c r="H211" s="965"/>
      <c r="I211" s="965"/>
      <c r="J211" s="965"/>
      <c r="K211" s="965"/>
    </row>
    <row r="212" spans="1:11">
      <c r="A212" s="965"/>
      <c r="B212" s="965"/>
      <c r="C212" s="965"/>
      <c r="D212" s="965"/>
      <c r="E212" s="965"/>
      <c r="F212" s="965"/>
      <c r="G212" s="965"/>
      <c r="H212" s="965"/>
      <c r="I212" s="965"/>
      <c r="J212" s="965"/>
      <c r="K212" s="965"/>
    </row>
    <row r="213" spans="1:11">
      <c r="A213" s="965"/>
      <c r="B213" s="965"/>
      <c r="C213" s="965"/>
      <c r="D213" s="965"/>
      <c r="E213" s="965"/>
      <c r="F213" s="965"/>
      <c r="G213" s="965"/>
      <c r="H213" s="965"/>
      <c r="I213" s="965"/>
      <c r="J213" s="965"/>
      <c r="K213" s="965"/>
    </row>
    <row r="214" spans="1:11">
      <c r="A214" s="965"/>
      <c r="B214" s="965"/>
      <c r="C214" s="965"/>
      <c r="D214" s="965"/>
      <c r="E214" s="965"/>
      <c r="F214" s="965"/>
      <c r="G214" s="965"/>
      <c r="H214" s="965"/>
      <c r="I214" s="965"/>
      <c r="J214" s="965"/>
      <c r="K214" s="965"/>
    </row>
    <row r="215" spans="1:11">
      <c r="A215" s="965"/>
      <c r="B215" s="965"/>
      <c r="C215" s="965"/>
      <c r="D215" s="965"/>
      <c r="E215" s="965"/>
      <c r="F215" s="965"/>
      <c r="G215" s="965"/>
      <c r="H215" s="965"/>
      <c r="I215" s="965"/>
      <c r="J215" s="965"/>
      <c r="K215" s="965"/>
    </row>
    <row r="216" spans="1:11">
      <c r="A216" s="965"/>
      <c r="B216" s="965"/>
      <c r="C216" s="965"/>
      <c r="D216" s="965"/>
      <c r="E216" s="965"/>
      <c r="F216" s="965"/>
      <c r="G216" s="965"/>
      <c r="H216" s="965"/>
      <c r="I216" s="965"/>
      <c r="J216" s="965"/>
      <c r="K216" s="965"/>
    </row>
    <row r="217" spans="1:11">
      <c r="A217" s="965"/>
      <c r="B217" s="965"/>
      <c r="C217" s="965"/>
      <c r="D217" s="965"/>
      <c r="E217" s="965"/>
      <c r="F217" s="965"/>
      <c r="G217" s="965"/>
      <c r="H217" s="965"/>
      <c r="I217" s="965"/>
      <c r="J217" s="965"/>
      <c r="K217" s="965"/>
    </row>
    <row r="218" spans="1:11">
      <c r="A218" s="965"/>
      <c r="B218" s="965"/>
      <c r="C218" s="965"/>
      <c r="D218" s="965"/>
      <c r="E218" s="965"/>
      <c r="F218" s="965"/>
      <c r="G218" s="965"/>
      <c r="H218" s="965"/>
      <c r="I218" s="965"/>
      <c r="J218" s="965"/>
      <c r="K218" s="965"/>
    </row>
    <row r="219" spans="1:11">
      <c r="A219" s="965"/>
      <c r="B219" s="965"/>
      <c r="C219" s="965"/>
      <c r="D219" s="965"/>
      <c r="E219" s="965"/>
      <c r="F219" s="965"/>
      <c r="G219" s="965"/>
      <c r="H219" s="965"/>
      <c r="I219" s="965"/>
      <c r="J219" s="965"/>
      <c r="K219" s="965"/>
    </row>
    <row r="220" spans="1:11">
      <c r="A220" s="965"/>
      <c r="B220" s="965"/>
      <c r="C220" s="965"/>
      <c r="D220" s="965"/>
      <c r="E220" s="965"/>
      <c r="F220" s="965"/>
      <c r="G220" s="965"/>
      <c r="H220" s="965"/>
      <c r="I220" s="965"/>
      <c r="J220" s="965"/>
      <c r="K220" s="965"/>
    </row>
    <row r="221" spans="1:11">
      <c r="A221" s="965"/>
      <c r="B221" s="965"/>
      <c r="C221" s="965"/>
      <c r="D221" s="965"/>
      <c r="E221" s="965"/>
      <c r="F221" s="965"/>
      <c r="G221" s="965"/>
      <c r="H221" s="965"/>
      <c r="I221" s="965"/>
      <c r="J221" s="965"/>
      <c r="K221" s="965"/>
    </row>
    <row r="222" spans="1:11">
      <c r="A222" s="965"/>
      <c r="B222" s="965"/>
      <c r="C222" s="965"/>
      <c r="D222" s="965"/>
      <c r="E222" s="965"/>
      <c r="F222" s="965"/>
      <c r="G222" s="965"/>
      <c r="H222" s="965"/>
      <c r="I222" s="965"/>
      <c r="J222" s="965"/>
      <c r="K222" s="965"/>
    </row>
    <row r="223" spans="1:11">
      <c r="A223" s="965"/>
      <c r="B223" s="965"/>
      <c r="C223" s="965"/>
      <c r="D223" s="965"/>
      <c r="E223" s="965"/>
      <c r="F223" s="965"/>
      <c r="G223" s="965"/>
      <c r="H223" s="965"/>
      <c r="I223" s="965"/>
      <c r="J223" s="965"/>
      <c r="K223" s="965"/>
    </row>
    <row r="224" spans="1:11">
      <c r="A224" s="965"/>
      <c r="B224" s="965"/>
      <c r="C224" s="965"/>
      <c r="D224" s="965"/>
      <c r="E224" s="965"/>
      <c r="F224" s="965"/>
      <c r="G224" s="965"/>
      <c r="H224" s="965"/>
      <c r="I224" s="965"/>
      <c r="J224" s="965"/>
      <c r="K224" s="965"/>
    </row>
    <row r="225" spans="1:11">
      <c r="A225" s="965"/>
      <c r="B225" s="965"/>
      <c r="C225" s="965"/>
      <c r="D225" s="965"/>
      <c r="E225" s="965"/>
      <c r="F225" s="965"/>
      <c r="G225" s="965"/>
      <c r="H225" s="965"/>
      <c r="I225" s="965"/>
      <c r="J225" s="965"/>
      <c r="K225" s="965"/>
    </row>
    <row r="226" spans="1:11">
      <c r="A226" s="965"/>
      <c r="B226" s="965"/>
      <c r="C226" s="965"/>
      <c r="D226" s="965"/>
      <c r="E226" s="965"/>
      <c r="F226" s="965"/>
      <c r="G226" s="965"/>
      <c r="H226" s="965"/>
      <c r="I226" s="965"/>
      <c r="J226" s="965"/>
      <c r="K226" s="965"/>
    </row>
    <row r="227" spans="1:11">
      <c r="A227" s="965"/>
      <c r="B227" s="965"/>
      <c r="C227" s="965"/>
      <c r="D227" s="965"/>
      <c r="E227" s="965"/>
      <c r="F227" s="965"/>
      <c r="G227" s="965"/>
      <c r="H227" s="965"/>
      <c r="I227" s="965"/>
      <c r="J227" s="965"/>
      <c r="K227" s="965"/>
    </row>
    <row r="228" spans="1:11">
      <c r="A228" s="965"/>
      <c r="B228" s="965"/>
      <c r="C228" s="965"/>
      <c r="D228" s="965"/>
      <c r="E228" s="965"/>
      <c r="F228" s="965"/>
      <c r="G228" s="965"/>
      <c r="H228" s="965"/>
      <c r="I228" s="965"/>
      <c r="J228" s="965"/>
      <c r="K228" s="965"/>
    </row>
    <row r="229" spans="1:11">
      <c r="A229" s="965"/>
      <c r="B229" s="965"/>
      <c r="C229" s="965"/>
      <c r="D229" s="965"/>
      <c r="E229" s="965"/>
      <c r="F229" s="965"/>
      <c r="G229" s="965"/>
      <c r="H229" s="965"/>
      <c r="I229" s="965"/>
      <c r="J229" s="965"/>
      <c r="K229" s="965"/>
    </row>
    <row r="230" spans="1:11">
      <c r="A230" s="965"/>
      <c r="B230" s="965"/>
      <c r="C230" s="965"/>
      <c r="D230" s="965"/>
      <c r="E230" s="965"/>
      <c r="F230" s="965"/>
      <c r="G230" s="965"/>
      <c r="H230" s="965"/>
      <c r="I230" s="965"/>
      <c r="J230" s="965"/>
      <c r="K230" s="965"/>
    </row>
    <row r="231" spans="1:11">
      <c r="A231" s="965"/>
      <c r="B231" s="965"/>
      <c r="C231" s="965"/>
      <c r="D231" s="965"/>
      <c r="E231" s="965"/>
      <c r="F231" s="965"/>
      <c r="G231" s="965"/>
      <c r="H231" s="965"/>
      <c r="I231" s="965"/>
      <c r="J231" s="965"/>
      <c r="K231" s="965"/>
    </row>
    <row r="232" spans="1:11">
      <c r="A232" s="965"/>
      <c r="B232" s="965"/>
      <c r="C232" s="965"/>
      <c r="D232" s="965"/>
      <c r="E232" s="965"/>
      <c r="F232" s="965"/>
      <c r="G232" s="965"/>
      <c r="H232" s="965"/>
      <c r="I232" s="965"/>
      <c r="J232" s="965"/>
      <c r="K232" s="965"/>
    </row>
    <row r="233" spans="1:11">
      <c r="A233" s="965"/>
      <c r="B233" s="965"/>
      <c r="C233" s="965"/>
      <c r="D233" s="965"/>
      <c r="E233" s="965"/>
      <c r="F233" s="965"/>
      <c r="G233" s="965"/>
      <c r="H233" s="965"/>
      <c r="I233" s="965"/>
      <c r="J233" s="965"/>
      <c r="K233" s="965"/>
    </row>
    <row r="234" spans="1:11">
      <c r="A234" s="965"/>
      <c r="B234" s="965"/>
      <c r="C234" s="965"/>
      <c r="D234" s="965"/>
      <c r="E234" s="965"/>
      <c r="F234" s="965"/>
      <c r="G234" s="965"/>
      <c r="H234" s="965"/>
      <c r="I234" s="965"/>
      <c r="J234" s="965"/>
      <c r="K234" s="965"/>
    </row>
    <row r="235" spans="1:11">
      <c r="A235" s="965"/>
      <c r="B235" s="965"/>
      <c r="C235" s="965"/>
      <c r="D235" s="965"/>
      <c r="E235" s="965"/>
      <c r="F235" s="965"/>
      <c r="G235" s="965"/>
      <c r="H235" s="965"/>
      <c r="I235" s="965"/>
      <c r="J235" s="965"/>
      <c r="K235" s="965"/>
    </row>
    <row r="236" spans="1:11">
      <c r="A236" s="965"/>
      <c r="B236" s="965"/>
      <c r="C236" s="965"/>
      <c r="D236" s="965"/>
      <c r="E236" s="965"/>
      <c r="F236" s="965"/>
      <c r="G236" s="965"/>
      <c r="H236" s="965"/>
      <c r="I236" s="965"/>
      <c r="J236" s="965"/>
      <c r="K236" s="965"/>
    </row>
    <row r="237" spans="1:11">
      <c r="A237" s="965"/>
      <c r="B237" s="965"/>
      <c r="C237" s="965"/>
      <c r="D237" s="965"/>
      <c r="E237" s="965"/>
      <c r="F237" s="965"/>
      <c r="G237" s="965"/>
      <c r="H237" s="965"/>
      <c r="I237" s="965"/>
      <c r="J237" s="965"/>
      <c r="K237" s="965"/>
    </row>
    <row r="238" spans="1:11">
      <c r="A238" s="965"/>
      <c r="B238" s="965"/>
      <c r="C238" s="965"/>
      <c r="D238" s="965"/>
      <c r="E238" s="965"/>
      <c r="F238" s="965"/>
      <c r="G238" s="965"/>
      <c r="H238" s="965"/>
      <c r="I238" s="965"/>
      <c r="J238" s="965"/>
      <c r="K238" s="965"/>
    </row>
    <row r="239" spans="1:11">
      <c r="A239" s="965"/>
      <c r="B239" s="965"/>
      <c r="C239" s="965"/>
      <c r="D239" s="965"/>
      <c r="E239" s="965"/>
      <c r="F239" s="965"/>
      <c r="G239" s="965"/>
      <c r="H239" s="965"/>
      <c r="I239" s="965"/>
      <c r="J239" s="965"/>
      <c r="K239" s="965"/>
    </row>
    <row r="240" spans="1:11">
      <c r="A240" s="965"/>
      <c r="B240" s="965"/>
      <c r="C240" s="965"/>
      <c r="D240" s="965"/>
      <c r="E240" s="965"/>
      <c r="F240" s="965"/>
      <c r="G240" s="965"/>
      <c r="H240" s="965"/>
      <c r="I240" s="965"/>
      <c r="J240" s="965"/>
      <c r="K240" s="965"/>
    </row>
    <row r="241" spans="1:11">
      <c r="A241" s="965"/>
      <c r="B241" s="965"/>
      <c r="C241" s="965"/>
      <c r="D241" s="965"/>
      <c r="E241" s="965"/>
      <c r="F241" s="965"/>
      <c r="G241" s="965"/>
      <c r="H241" s="965"/>
      <c r="I241" s="965"/>
      <c r="J241" s="965"/>
      <c r="K241" s="965"/>
    </row>
    <row r="242" spans="1:11">
      <c r="A242" s="965"/>
      <c r="B242" s="965"/>
      <c r="C242" s="965"/>
      <c r="D242" s="965"/>
      <c r="E242" s="965"/>
      <c r="F242" s="965"/>
      <c r="G242" s="965"/>
      <c r="H242" s="965"/>
      <c r="I242" s="965"/>
      <c r="J242" s="965"/>
      <c r="K242" s="965"/>
    </row>
    <row r="243" spans="1:11">
      <c r="A243" s="965"/>
      <c r="B243" s="965"/>
      <c r="C243" s="965"/>
      <c r="D243" s="965"/>
      <c r="E243" s="965"/>
      <c r="F243" s="965"/>
      <c r="G243" s="965"/>
      <c r="H243" s="965"/>
      <c r="I243" s="965"/>
      <c r="J243" s="965"/>
      <c r="K243" s="965"/>
    </row>
    <row r="244" spans="1:11">
      <c r="A244" s="965"/>
      <c r="B244" s="965"/>
      <c r="C244" s="965"/>
      <c r="D244" s="965"/>
      <c r="E244" s="965"/>
      <c r="F244" s="965"/>
      <c r="G244" s="965"/>
      <c r="H244" s="965"/>
      <c r="I244" s="965"/>
      <c r="J244" s="965"/>
      <c r="K244" s="965"/>
    </row>
    <row r="245" spans="1:11">
      <c r="A245" s="965"/>
      <c r="B245" s="965"/>
      <c r="C245" s="965"/>
      <c r="D245" s="965"/>
      <c r="E245" s="965"/>
      <c r="F245" s="965"/>
      <c r="G245" s="965"/>
      <c r="H245" s="965"/>
      <c r="I245" s="965"/>
      <c r="J245" s="965"/>
      <c r="K245" s="965"/>
    </row>
    <row r="246" spans="1:11">
      <c r="A246" s="965"/>
      <c r="B246" s="965"/>
      <c r="C246" s="965"/>
      <c r="D246" s="965"/>
      <c r="E246" s="965"/>
      <c r="F246" s="965"/>
      <c r="G246" s="965"/>
      <c r="H246" s="965"/>
      <c r="I246" s="965"/>
      <c r="J246" s="965"/>
      <c r="K246" s="965"/>
    </row>
    <row r="247" spans="1:11">
      <c r="A247" s="965"/>
      <c r="B247" s="965"/>
      <c r="C247" s="965"/>
      <c r="D247" s="965"/>
      <c r="E247" s="965"/>
      <c r="F247" s="965"/>
      <c r="G247" s="965"/>
      <c r="H247" s="965"/>
      <c r="I247" s="965"/>
      <c r="J247" s="965"/>
      <c r="K247" s="965"/>
    </row>
    <row r="248" spans="1:11">
      <c r="A248" s="965"/>
      <c r="B248" s="965"/>
      <c r="C248" s="965"/>
      <c r="D248" s="965"/>
      <c r="E248" s="965"/>
      <c r="F248" s="965"/>
      <c r="G248" s="965"/>
      <c r="H248" s="965"/>
      <c r="I248" s="965"/>
      <c r="J248" s="965"/>
      <c r="K248" s="965"/>
    </row>
    <row r="249" spans="1:11">
      <c r="A249" s="965"/>
      <c r="B249" s="965"/>
      <c r="C249" s="965"/>
      <c r="D249" s="965"/>
      <c r="E249" s="965"/>
      <c r="F249" s="965"/>
      <c r="G249" s="965"/>
      <c r="H249" s="965"/>
      <c r="I249" s="965"/>
      <c r="J249" s="965"/>
      <c r="K249" s="965"/>
    </row>
    <row r="250" spans="1:11">
      <c r="A250" s="965"/>
      <c r="B250" s="965"/>
      <c r="C250" s="965"/>
      <c r="D250" s="965"/>
      <c r="E250" s="965"/>
      <c r="F250" s="965"/>
      <c r="G250" s="965"/>
      <c r="H250" s="965"/>
      <c r="I250" s="965"/>
      <c r="J250" s="965"/>
      <c r="K250" s="965"/>
    </row>
    <row r="251" spans="1:11">
      <c r="A251" s="965"/>
      <c r="B251" s="965"/>
      <c r="C251" s="965"/>
      <c r="D251" s="965"/>
      <c r="E251" s="965"/>
      <c r="F251" s="965"/>
      <c r="G251" s="965"/>
      <c r="H251" s="965"/>
      <c r="I251" s="965"/>
      <c r="J251" s="965"/>
      <c r="K251" s="965"/>
    </row>
    <row r="252" spans="1:11">
      <c r="A252" s="965"/>
      <c r="B252" s="965"/>
      <c r="C252" s="965"/>
      <c r="D252" s="965"/>
      <c r="E252" s="965"/>
      <c r="F252" s="965"/>
      <c r="G252" s="965"/>
      <c r="H252" s="965"/>
      <c r="I252" s="965"/>
      <c r="J252" s="965"/>
      <c r="K252" s="965"/>
    </row>
    <row r="253" spans="1:11">
      <c r="A253" s="965"/>
      <c r="B253" s="965"/>
      <c r="C253" s="965"/>
      <c r="D253" s="965"/>
      <c r="E253" s="965"/>
      <c r="F253" s="965"/>
      <c r="G253" s="965"/>
      <c r="H253" s="965"/>
      <c r="I253" s="965"/>
      <c r="J253" s="965"/>
      <c r="K253" s="965"/>
    </row>
    <row r="254" spans="1:11">
      <c r="A254" s="965"/>
      <c r="B254" s="965"/>
      <c r="C254" s="965"/>
      <c r="D254" s="965"/>
      <c r="E254" s="965"/>
      <c r="F254" s="965"/>
      <c r="G254" s="965"/>
      <c r="H254" s="965"/>
      <c r="I254" s="965"/>
      <c r="J254" s="965"/>
      <c r="K254" s="965"/>
    </row>
    <row r="255" spans="1:11">
      <c r="A255" s="965"/>
      <c r="B255" s="965"/>
      <c r="C255" s="965"/>
      <c r="D255" s="965"/>
      <c r="E255" s="965"/>
      <c r="F255" s="965"/>
      <c r="G255" s="965"/>
      <c r="H255" s="965"/>
      <c r="I255" s="965"/>
      <c r="J255" s="965"/>
      <c r="K255" s="965"/>
    </row>
    <row r="256" spans="1:11">
      <c r="A256" s="965"/>
      <c r="B256" s="965"/>
      <c r="C256" s="965"/>
      <c r="D256" s="965"/>
      <c r="E256" s="965"/>
      <c r="F256" s="965"/>
      <c r="G256" s="965"/>
      <c r="H256" s="965"/>
      <c r="I256" s="965"/>
      <c r="J256" s="965"/>
      <c r="K256" s="965"/>
    </row>
    <row r="257" spans="1:11">
      <c r="A257" s="965"/>
      <c r="B257" s="965"/>
      <c r="C257" s="965"/>
      <c r="D257" s="965"/>
      <c r="E257" s="965"/>
      <c r="F257" s="965"/>
      <c r="G257" s="965"/>
      <c r="H257" s="965"/>
      <c r="I257" s="965"/>
      <c r="J257" s="965"/>
      <c r="K257" s="965"/>
    </row>
    <row r="258" spans="1:11">
      <c r="A258" s="965"/>
      <c r="B258" s="965"/>
      <c r="C258" s="965"/>
      <c r="D258" s="965"/>
      <c r="E258" s="965"/>
      <c r="F258" s="965"/>
      <c r="G258" s="965"/>
      <c r="H258" s="965"/>
      <c r="I258" s="965"/>
      <c r="J258" s="965"/>
      <c r="K258" s="965"/>
    </row>
    <row r="259" spans="1:11">
      <c r="A259" s="965"/>
      <c r="B259" s="965"/>
      <c r="C259" s="965"/>
      <c r="D259" s="965"/>
      <c r="E259" s="965"/>
      <c r="F259" s="965"/>
      <c r="G259" s="965"/>
      <c r="H259" s="965"/>
      <c r="I259" s="965"/>
      <c r="J259" s="965"/>
      <c r="K259" s="965"/>
    </row>
    <row r="260" spans="1:11">
      <c r="A260" s="965"/>
      <c r="B260" s="965"/>
      <c r="C260" s="965"/>
      <c r="D260" s="965"/>
      <c r="E260" s="965"/>
      <c r="F260" s="965"/>
      <c r="G260" s="965"/>
      <c r="H260" s="965"/>
      <c r="I260" s="965"/>
      <c r="J260" s="965"/>
      <c r="K260" s="965"/>
    </row>
    <row r="261" spans="1:11">
      <c r="A261" s="965"/>
      <c r="B261" s="965"/>
      <c r="C261" s="965"/>
      <c r="D261" s="965"/>
      <c r="E261" s="965"/>
      <c r="F261" s="965"/>
      <c r="G261" s="965"/>
      <c r="H261" s="965"/>
      <c r="I261" s="965"/>
      <c r="J261" s="965"/>
      <c r="K261" s="965"/>
    </row>
    <row r="262" spans="1:11">
      <c r="A262" s="965"/>
      <c r="B262" s="965"/>
      <c r="C262" s="965"/>
      <c r="D262" s="965"/>
      <c r="E262" s="965"/>
      <c r="F262" s="965"/>
      <c r="G262" s="965"/>
      <c r="H262" s="965"/>
      <c r="I262" s="965"/>
      <c r="J262" s="965"/>
      <c r="K262" s="965"/>
    </row>
    <row r="263" spans="1:11">
      <c r="A263" s="965"/>
      <c r="B263" s="965"/>
      <c r="C263" s="965"/>
      <c r="D263" s="965"/>
      <c r="E263" s="965"/>
      <c r="F263" s="965"/>
      <c r="G263" s="965"/>
      <c r="H263" s="965"/>
      <c r="I263" s="965"/>
      <c r="J263" s="965"/>
      <c r="K263" s="965"/>
    </row>
    <row r="264" spans="1:11">
      <c r="A264" s="965"/>
      <c r="B264" s="965"/>
      <c r="C264" s="965"/>
      <c r="D264" s="965"/>
      <c r="E264" s="965"/>
      <c r="F264" s="965"/>
      <c r="G264" s="965"/>
      <c r="H264" s="965"/>
      <c r="I264" s="965"/>
      <c r="J264" s="965"/>
      <c r="K264" s="965"/>
    </row>
    <row r="265" spans="1:11">
      <c r="A265" s="965"/>
      <c r="B265" s="965"/>
      <c r="C265" s="965"/>
      <c r="D265" s="965"/>
      <c r="E265" s="965"/>
      <c r="F265" s="965"/>
      <c r="G265" s="965"/>
      <c r="H265" s="965"/>
      <c r="I265" s="965"/>
      <c r="J265" s="965"/>
      <c r="K265" s="965"/>
    </row>
    <row r="266" spans="1:11">
      <c r="A266" s="965"/>
      <c r="B266" s="965"/>
      <c r="C266" s="965"/>
      <c r="D266" s="965"/>
      <c r="E266" s="965"/>
      <c r="F266" s="965"/>
      <c r="G266" s="965"/>
      <c r="H266" s="965"/>
      <c r="I266" s="965"/>
      <c r="J266" s="965"/>
      <c r="K266" s="965"/>
    </row>
    <row r="267" spans="1:11">
      <c r="A267" s="965"/>
      <c r="B267" s="965"/>
      <c r="C267" s="965"/>
      <c r="D267" s="965"/>
      <c r="E267" s="965"/>
      <c r="F267" s="965"/>
      <c r="G267" s="965"/>
      <c r="H267" s="965"/>
      <c r="I267" s="965"/>
      <c r="J267" s="965"/>
      <c r="K267" s="965"/>
    </row>
    <row r="268" spans="1:11">
      <c r="A268" s="965"/>
      <c r="B268" s="965"/>
      <c r="C268" s="965"/>
      <c r="D268" s="965"/>
      <c r="E268" s="965"/>
      <c r="F268" s="965"/>
      <c r="G268" s="965"/>
      <c r="H268" s="965"/>
      <c r="I268" s="965"/>
      <c r="J268" s="965"/>
      <c r="K268" s="965"/>
    </row>
    <row r="269" spans="1:11">
      <c r="A269" s="965"/>
      <c r="B269" s="965"/>
      <c r="C269" s="965"/>
      <c r="D269" s="965"/>
      <c r="E269" s="965"/>
      <c r="F269" s="965"/>
      <c r="G269" s="965"/>
      <c r="H269" s="965"/>
      <c r="I269" s="965"/>
      <c r="J269" s="965"/>
      <c r="K269" s="965"/>
    </row>
    <row r="270" spans="1:11">
      <c r="A270" s="965"/>
      <c r="B270" s="965"/>
      <c r="C270" s="965"/>
      <c r="D270" s="965"/>
      <c r="E270" s="965"/>
      <c r="F270" s="965"/>
      <c r="G270" s="965"/>
      <c r="H270" s="965"/>
      <c r="I270" s="965"/>
      <c r="J270" s="965"/>
      <c r="K270" s="965"/>
    </row>
    <row r="271" spans="1:11">
      <c r="A271" s="965"/>
      <c r="B271" s="965"/>
      <c r="C271" s="965"/>
      <c r="D271" s="965"/>
      <c r="E271" s="965"/>
      <c r="F271" s="965"/>
      <c r="G271" s="965"/>
      <c r="H271" s="965"/>
      <c r="I271" s="965"/>
      <c r="J271" s="965"/>
      <c r="K271" s="965"/>
    </row>
    <row r="272" spans="1:11">
      <c r="A272" s="965"/>
      <c r="B272" s="965"/>
      <c r="C272" s="965"/>
      <c r="D272" s="965"/>
      <c r="E272" s="965"/>
      <c r="F272" s="965"/>
      <c r="G272" s="965"/>
      <c r="H272" s="965"/>
      <c r="I272" s="965"/>
      <c r="J272" s="965"/>
      <c r="K272" s="965"/>
    </row>
    <row r="273" spans="1:11">
      <c r="A273" s="965"/>
      <c r="B273" s="965"/>
      <c r="C273" s="965"/>
      <c r="D273" s="965"/>
      <c r="E273" s="965"/>
      <c r="F273" s="965"/>
      <c r="G273" s="965"/>
      <c r="H273" s="965"/>
      <c r="I273" s="965"/>
      <c r="J273" s="965"/>
      <c r="K273" s="965"/>
    </row>
    <row r="274" spans="1:11">
      <c r="A274" s="965"/>
      <c r="B274" s="965"/>
      <c r="C274" s="965"/>
      <c r="D274" s="965"/>
      <c r="E274" s="965"/>
      <c r="F274" s="965"/>
      <c r="G274" s="965"/>
      <c r="H274" s="965"/>
      <c r="I274" s="965"/>
      <c r="J274" s="965"/>
      <c r="K274" s="965"/>
    </row>
    <row r="275" spans="1:11">
      <c r="A275" s="965"/>
      <c r="B275" s="965"/>
      <c r="C275" s="965"/>
      <c r="D275" s="965"/>
      <c r="E275" s="965"/>
      <c r="F275" s="965"/>
      <c r="G275" s="965"/>
      <c r="H275" s="965"/>
      <c r="I275" s="965"/>
      <c r="J275" s="965"/>
      <c r="K275" s="965"/>
    </row>
    <row r="276" spans="1:11">
      <c r="A276" s="965"/>
      <c r="B276" s="965"/>
      <c r="C276" s="965"/>
      <c r="D276" s="965"/>
      <c r="E276" s="965"/>
      <c r="F276" s="965"/>
      <c r="G276" s="965"/>
      <c r="H276" s="965"/>
      <c r="I276" s="965"/>
      <c r="J276" s="965"/>
      <c r="K276" s="965"/>
    </row>
    <row r="277" spans="1:11">
      <c r="A277" s="965"/>
      <c r="B277" s="965"/>
      <c r="C277" s="965"/>
      <c r="D277" s="965"/>
      <c r="E277" s="965"/>
      <c r="F277" s="965"/>
      <c r="G277" s="965"/>
      <c r="H277" s="965"/>
      <c r="I277" s="965"/>
      <c r="J277" s="965"/>
      <c r="K277" s="965"/>
    </row>
    <row r="278" spans="1:11">
      <c r="A278" s="965"/>
      <c r="B278" s="965"/>
      <c r="C278" s="965"/>
      <c r="D278" s="965"/>
      <c r="E278" s="965"/>
      <c r="F278" s="965"/>
      <c r="G278" s="965"/>
      <c r="H278" s="965"/>
      <c r="I278" s="965"/>
      <c r="J278" s="965"/>
      <c r="K278" s="965"/>
    </row>
    <row r="279" spans="1:11">
      <c r="A279" s="965"/>
      <c r="B279" s="965"/>
      <c r="C279" s="965"/>
      <c r="D279" s="965"/>
      <c r="E279" s="965"/>
      <c r="F279" s="965"/>
      <c r="G279" s="965"/>
      <c r="H279" s="965"/>
      <c r="I279" s="965"/>
      <c r="J279" s="965"/>
      <c r="K279" s="965"/>
    </row>
    <row r="280" spans="1:11">
      <c r="A280" s="965"/>
      <c r="B280" s="965"/>
      <c r="C280" s="965"/>
      <c r="D280" s="965"/>
      <c r="E280" s="965"/>
      <c r="F280" s="965"/>
      <c r="G280" s="965"/>
      <c r="H280" s="965"/>
      <c r="I280" s="965"/>
      <c r="J280" s="965"/>
      <c r="K280" s="965"/>
    </row>
    <row r="281" spans="1:11">
      <c r="A281" s="965"/>
      <c r="B281" s="965"/>
      <c r="C281" s="965"/>
      <c r="D281" s="965"/>
      <c r="E281" s="965"/>
      <c r="F281" s="965"/>
      <c r="G281" s="965"/>
      <c r="H281" s="965"/>
      <c r="I281" s="965"/>
      <c r="J281" s="965"/>
      <c r="K281" s="965"/>
    </row>
    <row r="282" spans="1:11">
      <c r="A282" s="965"/>
      <c r="B282" s="965"/>
      <c r="C282" s="965"/>
      <c r="D282" s="965"/>
      <c r="E282" s="965"/>
      <c r="F282" s="965"/>
      <c r="G282" s="965"/>
      <c r="H282" s="965"/>
      <c r="I282" s="965"/>
      <c r="J282" s="965"/>
      <c r="K282" s="965"/>
    </row>
    <row r="283" spans="1:11">
      <c r="A283" s="965"/>
      <c r="B283" s="965"/>
      <c r="C283" s="965"/>
      <c r="D283" s="965"/>
      <c r="E283" s="965"/>
      <c r="F283" s="965"/>
      <c r="G283" s="965"/>
      <c r="H283" s="965"/>
      <c r="I283" s="965"/>
      <c r="J283" s="965"/>
      <c r="K283" s="965"/>
    </row>
    <row r="284" spans="1:11">
      <c r="A284" s="965"/>
      <c r="B284" s="965"/>
      <c r="C284" s="965"/>
      <c r="D284" s="965"/>
      <c r="E284" s="965"/>
      <c r="F284" s="965"/>
      <c r="G284" s="965"/>
      <c r="H284" s="965"/>
      <c r="I284" s="965"/>
      <c r="J284" s="965"/>
      <c r="K284" s="965"/>
    </row>
    <row r="285" spans="1:11">
      <c r="A285" s="965"/>
      <c r="B285" s="965"/>
      <c r="C285" s="965"/>
      <c r="D285" s="965"/>
      <c r="E285" s="965"/>
      <c r="F285" s="965"/>
      <c r="G285" s="965"/>
      <c r="H285" s="965"/>
      <c r="I285" s="965"/>
      <c r="J285" s="965"/>
      <c r="K285" s="965"/>
    </row>
    <row r="286" spans="1:11">
      <c r="A286" s="965"/>
      <c r="B286" s="965"/>
      <c r="C286" s="965"/>
      <c r="D286" s="965"/>
      <c r="E286" s="965"/>
      <c r="F286" s="965"/>
      <c r="G286" s="965"/>
      <c r="H286" s="965"/>
      <c r="I286" s="965"/>
      <c r="J286" s="965"/>
      <c r="K286" s="965"/>
    </row>
    <row r="287" spans="1:11">
      <c r="A287" s="965"/>
      <c r="B287" s="965"/>
      <c r="C287" s="965"/>
      <c r="D287" s="965"/>
      <c r="E287" s="965"/>
      <c r="F287" s="965"/>
      <c r="G287" s="965"/>
      <c r="H287" s="965"/>
      <c r="I287" s="965"/>
      <c r="J287" s="965"/>
      <c r="K287" s="965"/>
    </row>
    <row r="288" spans="1:11">
      <c r="A288" s="965"/>
      <c r="B288" s="965"/>
      <c r="C288" s="965"/>
      <c r="D288" s="965"/>
      <c r="E288" s="965"/>
      <c r="F288" s="965"/>
      <c r="G288" s="965"/>
      <c r="H288" s="965"/>
      <c r="I288" s="965"/>
      <c r="J288" s="965"/>
      <c r="K288" s="965"/>
    </row>
    <row r="289" spans="1:11">
      <c r="A289" s="965"/>
      <c r="B289" s="965"/>
      <c r="C289" s="965"/>
      <c r="D289" s="965"/>
      <c r="E289" s="965"/>
      <c r="F289" s="965"/>
      <c r="G289" s="965"/>
      <c r="H289" s="965"/>
      <c r="I289" s="965"/>
      <c r="J289" s="965"/>
      <c r="K289" s="965"/>
    </row>
    <row r="290" spans="1:11">
      <c r="A290" s="965"/>
      <c r="B290" s="965"/>
      <c r="C290" s="965"/>
      <c r="D290" s="965"/>
      <c r="E290" s="965"/>
      <c r="F290" s="965"/>
      <c r="G290" s="965"/>
      <c r="H290" s="965"/>
      <c r="I290" s="965"/>
      <c r="J290" s="965"/>
      <c r="K290" s="965"/>
    </row>
    <row r="291" spans="1:11">
      <c r="A291" s="965"/>
      <c r="B291" s="965"/>
      <c r="C291" s="965"/>
      <c r="D291" s="965"/>
      <c r="E291" s="965"/>
      <c r="F291" s="965"/>
      <c r="G291" s="965"/>
      <c r="H291" s="965"/>
      <c r="I291" s="965"/>
      <c r="J291" s="965"/>
      <c r="K291" s="965"/>
    </row>
    <row r="292" spans="1:11">
      <c r="A292" s="965"/>
      <c r="B292" s="965"/>
      <c r="C292" s="965"/>
      <c r="D292" s="965"/>
      <c r="E292" s="965"/>
      <c r="F292" s="965"/>
      <c r="G292" s="965"/>
      <c r="H292" s="965"/>
      <c r="I292" s="965"/>
      <c r="J292" s="965"/>
      <c r="K292" s="965"/>
    </row>
    <row r="293" spans="1:11">
      <c r="A293" s="965"/>
      <c r="B293" s="965"/>
      <c r="C293" s="965"/>
      <c r="D293" s="965"/>
      <c r="E293" s="965"/>
      <c r="F293" s="965"/>
      <c r="G293" s="965"/>
      <c r="H293" s="965"/>
      <c r="I293" s="965"/>
      <c r="J293" s="965"/>
      <c r="K293" s="965"/>
    </row>
    <row r="294" spans="1:11">
      <c r="A294" s="965"/>
      <c r="B294" s="965"/>
      <c r="C294" s="965"/>
      <c r="D294" s="965"/>
      <c r="E294" s="965"/>
      <c r="F294" s="965"/>
      <c r="G294" s="965"/>
      <c r="H294" s="965"/>
      <c r="I294" s="965"/>
      <c r="J294" s="965"/>
      <c r="K294" s="965"/>
    </row>
    <row r="295" spans="1:11">
      <c r="A295" s="965"/>
      <c r="B295" s="965"/>
      <c r="C295" s="965"/>
      <c r="D295" s="965"/>
      <c r="E295" s="965"/>
      <c r="F295" s="965"/>
      <c r="G295" s="965"/>
      <c r="H295" s="965"/>
      <c r="I295" s="965"/>
      <c r="J295" s="965"/>
      <c r="K295" s="965"/>
    </row>
    <row r="296" spans="1:11">
      <c r="A296" s="965"/>
      <c r="B296" s="965"/>
      <c r="C296" s="965"/>
      <c r="D296" s="965"/>
      <c r="E296" s="965"/>
      <c r="F296" s="965"/>
      <c r="G296" s="965"/>
      <c r="H296" s="965"/>
      <c r="I296" s="965"/>
      <c r="J296" s="965"/>
      <c r="K296" s="965"/>
    </row>
    <row r="297" spans="1:11">
      <c r="A297" s="965"/>
      <c r="B297" s="965"/>
      <c r="C297" s="965"/>
      <c r="D297" s="965"/>
      <c r="E297" s="965"/>
      <c r="F297" s="965"/>
      <c r="G297" s="965"/>
      <c r="H297" s="965"/>
      <c r="I297" s="965"/>
      <c r="J297" s="965"/>
      <c r="K297" s="965"/>
    </row>
    <row r="298" spans="1:11">
      <c r="A298" s="965"/>
      <c r="B298" s="965"/>
      <c r="C298" s="965"/>
      <c r="D298" s="965"/>
      <c r="E298" s="965"/>
      <c r="F298" s="965"/>
      <c r="G298" s="965"/>
      <c r="H298" s="965"/>
      <c r="I298" s="965"/>
      <c r="J298" s="965"/>
      <c r="K298" s="965"/>
    </row>
    <row r="299" spans="1:11">
      <c r="A299" s="965"/>
      <c r="B299" s="965"/>
      <c r="C299" s="965"/>
      <c r="D299" s="965"/>
      <c r="E299" s="965"/>
      <c r="F299" s="965"/>
      <c r="G299" s="965"/>
      <c r="H299" s="965"/>
      <c r="I299" s="965"/>
      <c r="J299" s="965"/>
      <c r="K299" s="965"/>
    </row>
    <row r="300" spans="1:11">
      <c r="A300" s="965"/>
      <c r="B300" s="965"/>
      <c r="C300" s="965"/>
      <c r="D300" s="965"/>
      <c r="E300" s="965"/>
      <c r="F300" s="965"/>
      <c r="G300" s="965"/>
      <c r="H300" s="965"/>
      <c r="I300" s="965"/>
      <c r="J300" s="965"/>
      <c r="K300" s="965"/>
    </row>
    <row r="301" spans="1:11">
      <c r="A301" s="965"/>
      <c r="B301" s="965"/>
      <c r="C301" s="965"/>
      <c r="D301" s="965"/>
      <c r="E301" s="965"/>
      <c r="F301" s="965"/>
      <c r="G301" s="965"/>
      <c r="H301" s="965"/>
      <c r="I301" s="965"/>
      <c r="J301" s="965"/>
      <c r="K301" s="965"/>
    </row>
    <row r="302" spans="1:11">
      <c r="A302" s="965"/>
      <c r="B302" s="965"/>
      <c r="C302" s="965"/>
      <c r="D302" s="965"/>
      <c r="E302" s="965"/>
      <c r="F302" s="965"/>
      <c r="G302" s="965"/>
      <c r="H302" s="965"/>
      <c r="I302" s="965"/>
      <c r="J302" s="965"/>
      <c r="K302" s="965"/>
    </row>
    <row r="303" spans="1:11">
      <c r="A303" s="965"/>
      <c r="B303" s="965"/>
      <c r="C303" s="965"/>
      <c r="D303" s="965"/>
      <c r="E303" s="965"/>
      <c r="F303" s="965"/>
      <c r="G303" s="965"/>
      <c r="H303" s="965"/>
      <c r="I303" s="965"/>
      <c r="J303" s="965"/>
      <c r="K303" s="965"/>
    </row>
    <row r="304" spans="1:11">
      <c r="A304" s="965"/>
      <c r="B304" s="965"/>
      <c r="C304" s="965"/>
      <c r="D304" s="965"/>
      <c r="E304" s="965"/>
      <c r="F304" s="965"/>
      <c r="G304" s="965"/>
      <c r="H304" s="965"/>
      <c r="I304" s="965"/>
      <c r="J304" s="965"/>
      <c r="K304" s="965"/>
    </row>
    <row r="305" spans="1:11">
      <c r="A305" s="965"/>
      <c r="B305" s="965"/>
      <c r="C305" s="965"/>
      <c r="D305" s="965"/>
      <c r="E305" s="965"/>
      <c r="F305" s="965"/>
      <c r="G305" s="965"/>
      <c r="H305" s="965"/>
      <c r="I305" s="965"/>
      <c r="J305" s="965"/>
      <c r="K305" s="965"/>
    </row>
    <row r="306" spans="1:11">
      <c r="A306" s="965"/>
      <c r="B306" s="965"/>
      <c r="C306" s="965"/>
      <c r="D306" s="965"/>
      <c r="E306" s="965"/>
      <c r="F306" s="965"/>
      <c r="G306" s="965"/>
      <c r="H306" s="965"/>
      <c r="I306" s="965"/>
      <c r="J306" s="965"/>
      <c r="K306" s="965"/>
    </row>
    <row r="307" spans="1:11">
      <c r="A307" s="965"/>
      <c r="B307" s="965"/>
      <c r="C307" s="965"/>
      <c r="D307" s="965"/>
      <c r="E307" s="965"/>
      <c r="F307" s="965"/>
      <c r="G307" s="965"/>
      <c r="H307" s="965"/>
      <c r="I307" s="965"/>
      <c r="J307" s="965"/>
      <c r="K307" s="965"/>
    </row>
    <row r="308" spans="1:11">
      <c r="A308" s="965"/>
      <c r="B308" s="965"/>
      <c r="C308" s="965"/>
      <c r="D308" s="965"/>
      <c r="E308" s="965"/>
      <c r="F308" s="965"/>
      <c r="G308" s="965"/>
      <c r="H308" s="965"/>
      <c r="I308" s="965"/>
      <c r="J308" s="965"/>
      <c r="K308" s="965"/>
    </row>
    <row r="309" spans="1:11">
      <c r="A309" s="965"/>
      <c r="B309" s="965"/>
      <c r="C309" s="965"/>
      <c r="D309" s="965"/>
      <c r="E309" s="965"/>
      <c r="F309" s="965"/>
      <c r="G309" s="965"/>
      <c r="H309" s="965"/>
      <c r="I309" s="965"/>
      <c r="J309" s="965"/>
      <c r="K309" s="965"/>
    </row>
    <row r="310" spans="1:11">
      <c r="A310" s="965"/>
      <c r="B310" s="965"/>
      <c r="C310" s="965"/>
      <c r="D310" s="965"/>
      <c r="E310" s="965"/>
      <c r="F310" s="965"/>
      <c r="G310" s="965"/>
      <c r="H310" s="965"/>
      <c r="I310" s="965"/>
      <c r="J310" s="965"/>
      <c r="K310" s="965"/>
    </row>
    <row r="311" spans="1:11">
      <c r="A311" s="965"/>
      <c r="B311" s="965"/>
      <c r="C311" s="965"/>
      <c r="D311" s="965"/>
      <c r="E311" s="965"/>
      <c r="F311" s="965"/>
      <c r="G311" s="965"/>
      <c r="H311" s="965"/>
      <c r="I311" s="965"/>
      <c r="J311" s="965"/>
      <c r="K311" s="965"/>
    </row>
    <row r="312" spans="1:11">
      <c r="A312" s="965"/>
      <c r="B312" s="965"/>
      <c r="C312" s="965"/>
      <c r="D312" s="965"/>
      <c r="E312" s="965"/>
      <c r="F312" s="965"/>
      <c r="G312" s="965"/>
      <c r="H312" s="965"/>
      <c r="I312" s="965"/>
      <c r="J312" s="965"/>
      <c r="K312" s="965"/>
    </row>
    <row r="313" spans="1:11">
      <c r="A313" s="965"/>
      <c r="B313" s="965"/>
      <c r="C313" s="965"/>
      <c r="D313" s="965"/>
      <c r="E313" s="965"/>
      <c r="F313" s="965"/>
      <c r="G313" s="965"/>
      <c r="H313" s="965"/>
      <c r="I313" s="965"/>
      <c r="J313" s="965"/>
      <c r="K313" s="965"/>
    </row>
    <row r="314" spans="1:11">
      <c r="A314" s="965"/>
      <c r="B314" s="965"/>
      <c r="C314" s="965"/>
      <c r="D314" s="965"/>
      <c r="E314" s="965"/>
      <c r="F314" s="965"/>
      <c r="G314" s="965"/>
      <c r="H314" s="965"/>
      <c r="I314" s="965"/>
      <c r="J314" s="965"/>
      <c r="K314" s="965"/>
    </row>
    <row r="315" spans="1:11">
      <c r="A315" s="965"/>
      <c r="B315" s="965"/>
      <c r="C315" s="965"/>
      <c r="D315" s="965"/>
      <c r="E315" s="965"/>
      <c r="F315" s="965"/>
      <c r="G315" s="965"/>
      <c r="H315" s="965"/>
      <c r="I315" s="965"/>
      <c r="J315" s="965"/>
      <c r="K315" s="965"/>
    </row>
    <row r="316" spans="1:11">
      <c r="A316" s="965"/>
      <c r="B316" s="965"/>
      <c r="C316" s="965"/>
      <c r="D316" s="965"/>
      <c r="E316" s="965"/>
      <c r="F316" s="965"/>
      <c r="G316" s="965"/>
      <c r="H316" s="965"/>
      <c r="I316" s="965"/>
      <c r="J316" s="965"/>
      <c r="K316" s="965"/>
    </row>
    <row r="317" spans="1:11">
      <c r="A317" s="965"/>
      <c r="B317" s="965"/>
      <c r="C317" s="965"/>
      <c r="D317" s="965"/>
      <c r="E317" s="965"/>
      <c r="F317" s="965"/>
      <c r="G317" s="965"/>
      <c r="H317" s="965"/>
      <c r="I317" s="965"/>
      <c r="J317" s="965"/>
      <c r="K317" s="965"/>
    </row>
    <row r="318" spans="1:11">
      <c r="A318" s="965"/>
      <c r="B318" s="965"/>
      <c r="C318" s="965"/>
      <c r="D318" s="965"/>
      <c r="E318" s="965"/>
      <c r="F318" s="965"/>
      <c r="G318" s="965"/>
      <c r="H318" s="965"/>
      <c r="I318" s="965"/>
      <c r="J318" s="965"/>
      <c r="K318" s="965"/>
    </row>
    <row r="319" spans="1:11">
      <c r="A319" s="965"/>
      <c r="B319" s="965"/>
      <c r="C319" s="965"/>
      <c r="D319" s="965"/>
      <c r="E319" s="965"/>
      <c r="F319" s="965"/>
      <c r="G319" s="965"/>
      <c r="H319" s="965"/>
      <c r="I319" s="965"/>
      <c r="J319" s="965"/>
      <c r="K319" s="965"/>
    </row>
    <row r="320" spans="1:11">
      <c r="A320" s="965"/>
      <c r="B320" s="965"/>
      <c r="C320" s="965"/>
      <c r="D320" s="965"/>
      <c r="E320" s="965"/>
      <c r="F320" s="965"/>
      <c r="G320" s="965"/>
      <c r="H320" s="965"/>
      <c r="I320" s="965"/>
      <c r="J320" s="965"/>
      <c r="K320" s="965"/>
    </row>
    <row r="321" spans="1:11">
      <c r="A321" s="965"/>
      <c r="B321" s="965"/>
      <c r="C321" s="965"/>
      <c r="D321" s="965"/>
      <c r="E321" s="965"/>
      <c r="F321" s="965"/>
      <c r="G321" s="965"/>
      <c r="H321" s="965"/>
      <c r="I321" s="965"/>
      <c r="J321" s="965"/>
      <c r="K321" s="965"/>
    </row>
    <row r="322" spans="1:11">
      <c r="A322" s="965"/>
      <c r="B322" s="965"/>
      <c r="C322" s="965"/>
      <c r="D322" s="965"/>
      <c r="E322" s="965"/>
      <c r="F322" s="965"/>
      <c r="G322" s="965"/>
      <c r="H322" s="965"/>
      <c r="I322" s="965"/>
      <c r="J322" s="965"/>
      <c r="K322" s="965"/>
    </row>
    <row r="323" spans="1:11">
      <c r="A323" s="965"/>
      <c r="B323" s="965"/>
      <c r="C323" s="965"/>
      <c r="D323" s="965"/>
      <c r="E323" s="965"/>
      <c r="F323" s="965"/>
      <c r="G323" s="965"/>
      <c r="H323" s="965"/>
      <c r="I323" s="965"/>
      <c r="J323" s="965"/>
      <c r="K323" s="965"/>
    </row>
    <row r="324" spans="1:11">
      <c r="A324" s="965"/>
      <c r="B324" s="965"/>
      <c r="C324" s="965"/>
      <c r="D324" s="965"/>
      <c r="E324" s="965"/>
      <c r="F324" s="965"/>
      <c r="G324" s="965"/>
      <c r="H324" s="965"/>
      <c r="I324" s="965"/>
      <c r="J324" s="965"/>
      <c r="K324" s="965"/>
    </row>
    <row r="325" spans="1:11">
      <c r="A325" s="965"/>
      <c r="B325" s="965"/>
      <c r="C325" s="965"/>
      <c r="D325" s="965"/>
      <c r="E325" s="965"/>
      <c r="F325" s="965"/>
      <c r="G325" s="965"/>
      <c r="H325" s="965"/>
      <c r="I325" s="965"/>
      <c r="J325" s="965"/>
      <c r="K325" s="965"/>
    </row>
    <row r="326" spans="1:11">
      <c r="A326" s="965"/>
      <c r="B326" s="965"/>
      <c r="C326" s="965"/>
      <c r="D326" s="965"/>
      <c r="E326" s="965"/>
      <c r="F326" s="965"/>
      <c r="G326" s="965"/>
      <c r="H326" s="965"/>
      <c r="I326" s="965"/>
      <c r="J326" s="965"/>
      <c r="K326" s="965"/>
    </row>
    <row r="327" spans="1:11">
      <c r="A327" s="965"/>
      <c r="B327" s="965"/>
      <c r="C327" s="965"/>
      <c r="D327" s="965"/>
      <c r="E327" s="965"/>
      <c r="F327" s="965"/>
      <c r="G327" s="965"/>
      <c r="H327" s="965"/>
      <c r="I327" s="965"/>
      <c r="J327" s="965"/>
      <c r="K327" s="965"/>
    </row>
    <row r="328" spans="1:11">
      <c r="A328" s="965"/>
      <c r="B328" s="965"/>
      <c r="C328" s="965"/>
      <c r="D328" s="965"/>
      <c r="E328" s="965"/>
      <c r="F328" s="965"/>
      <c r="G328" s="965"/>
      <c r="H328" s="965"/>
      <c r="I328" s="965"/>
      <c r="J328" s="965"/>
      <c r="K328" s="965"/>
    </row>
    <row r="329" spans="1:11">
      <c r="A329" s="965"/>
      <c r="B329" s="965"/>
      <c r="C329" s="965"/>
      <c r="D329" s="965"/>
      <c r="E329" s="965"/>
      <c r="F329" s="965"/>
      <c r="G329" s="965"/>
      <c r="H329" s="965"/>
      <c r="I329" s="965"/>
      <c r="J329" s="965"/>
      <c r="K329" s="965"/>
    </row>
    <row r="330" spans="1:11">
      <c r="A330" s="965"/>
      <c r="B330" s="965"/>
      <c r="C330" s="965"/>
      <c r="D330" s="965"/>
      <c r="E330" s="965"/>
      <c r="F330" s="965"/>
      <c r="G330" s="965"/>
      <c r="H330" s="965"/>
      <c r="I330" s="965"/>
      <c r="J330" s="965"/>
      <c r="K330" s="965"/>
    </row>
    <row r="331" spans="1:11">
      <c r="A331" s="965"/>
      <c r="B331" s="965"/>
      <c r="C331" s="965"/>
      <c r="D331" s="965"/>
      <c r="E331" s="965"/>
      <c r="F331" s="965"/>
      <c r="G331" s="965"/>
      <c r="H331" s="965"/>
      <c r="I331" s="965"/>
      <c r="J331" s="965"/>
      <c r="K331" s="965"/>
    </row>
    <row r="332" spans="1:11">
      <c r="A332" s="965"/>
      <c r="B332" s="965"/>
      <c r="C332" s="965"/>
      <c r="D332" s="965"/>
      <c r="E332" s="965"/>
      <c r="F332" s="965"/>
      <c r="G332" s="965"/>
      <c r="H332" s="965"/>
      <c r="I332" s="965"/>
      <c r="J332" s="965"/>
      <c r="K332" s="965"/>
    </row>
    <row r="333" spans="1:11">
      <c r="A333" s="965"/>
      <c r="B333" s="965"/>
      <c r="C333" s="965"/>
      <c r="D333" s="965"/>
      <c r="E333" s="965"/>
      <c r="F333" s="965"/>
      <c r="G333" s="965"/>
      <c r="H333" s="965"/>
      <c r="I333" s="965"/>
      <c r="J333" s="965"/>
      <c r="K333" s="965"/>
    </row>
    <row r="334" spans="1:11">
      <c r="A334" s="965"/>
      <c r="B334" s="965"/>
      <c r="C334" s="965"/>
      <c r="D334" s="965"/>
      <c r="E334" s="965"/>
      <c r="F334" s="965"/>
      <c r="G334" s="965"/>
      <c r="H334" s="965"/>
      <c r="I334" s="965"/>
      <c r="J334" s="965"/>
      <c r="K334" s="965"/>
    </row>
    <row r="335" spans="1:11">
      <c r="A335" s="965"/>
      <c r="B335" s="965"/>
      <c r="C335" s="965"/>
      <c r="D335" s="965"/>
      <c r="E335" s="965"/>
      <c r="F335" s="965"/>
      <c r="G335" s="965"/>
      <c r="H335" s="965"/>
      <c r="I335" s="965"/>
      <c r="J335" s="965"/>
      <c r="K335" s="965"/>
    </row>
    <row r="336" spans="1:11">
      <c r="A336" s="965"/>
      <c r="B336" s="965"/>
      <c r="C336" s="965"/>
      <c r="D336" s="965"/>
      <c r="E336" s="965"/>
      <c r="F336" s="965"/>
      <c r="G336" s="965"/>
      <c r="H336" s="965"/>
      <c r="I336" s="965"/>
      <c r="J336" s="965"/>
      <c r="K336" s="965"/>
    </row>
    <row r="337" spans="1:11">
      <c r="A337" s="965"/>
      <c r="B337" s="965"/>
      <c r="C337" s="965"/>
      <c r="D337" s="965"/>
      <c r="E337" s="965"/>
      <c r="F337" s="965"/>
      <c r="G337" s="965"/>
      <c r="H337" s="965"/>
      <c r="I337" s="965"/>
      <c r="J337" s="965"/>
      <c r="K337" s="965"/>
    </row>
  </sheetData>
  <mergeCells count="3">
    <mergeCell ref="A12:K12"/>
    <mergeCell ref="A1:K1"/>
    <mergeCell ref="H10:K10"/>
  </mergeCells>
  <pageMargins left="0.7" right="0.7" top="0.75" bottom="0.75" header="0.3" footer="0.3"/>
  <pageSetup paperSize="9" scale="96" orientation="landscape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110"/>
  <sheetViews>
    <sheetView showGridLines="0" workbookViewId="0">
      <selection sqref="A1:F1"/>
    </sheetView>
  </sheetViews>
  <sheetFormatPr defaultRowHeight="15"/>
  <cols>
    <col min="1" max="1" width="46.28515625" style="758" customWidth="1"/>
    <col min="2" max="5" width="9.140625" style="758"/>
    <col min="6" max="8" width="9.140625" style="758" customWidth="1"/>
    <col min="9" max="16384" width="9.140625" style="758"/>
  </cols>
  <sheetData>
    <row r="1" spans="1:12">
      <c r="A1" s="1701" t="s">
        <v>1248</v>
      </c>
      <c r="B1" s="1701"/>
      <c r="C1" s="1701"/>
      <c r="D1" s="1701"/>
      <c r="E1" s="1701"/>
      <c r="F1" s="1701"/>
      <c r="G1" s="1308"/>
      <c r="H1" s="1308"/>
    </row>
    <row r="2" spans="1:12">
      <c r="A2" s="884"/>
      <c r="B2" s="951">
        <v>2011</v>
      </c>
      <c r="C2" s="951">
        <v>2012</v>
      </c>
      <c r="D2" s="951">
        <v>2013</v>
      </c>
      <c r="E2" s="951">
        <v>2014</v>
      </c>
      <c r="F2" s="951">
        <v>2015</v>
      </c>
      <c r="G2" s="951" t="s">
        <v>541</v>
      </c>
      <c r="H2" s="951" t="s">
        <v>1247</v>
      </c>
      <c r="K2" s="3"/>
      <c r="L2" s="109"/>
    </row>
    <row r="3" spans="1:12">
      <c r="A3" s="1183" t="s">
        <v>10</v>
      </c>
      <c r="B3" s="1307">
        <v>428.209</v>
      </c>
      <c r="C3" s="1307">
        <v>164.839</v>
      </c>
      <c r="D3" s="1307">
        <v>169.12100000000001</v>
      </c>
      <c r="E3" s="1307">
        <v>-55.716000000000001</v>
      </c>
      <c r="F3" s="1307">
        <v>-190.19900000000001</v>
      </c>
      <c r="G3" s="1307">
        <v>-30.286999999999999</v>
      </c>
      <c r="H3" s="1307">
        <v>-331.13801503591503</v>
      </c>
      <c r="K3" s="3"/>
      <c r="L3" s="109"/>
    </row>
    <row r="4" spans="1:12">
      <c r="A4" s="1303" t="s">
        <v>1246</v>
      </c>
      <c r="B4" s="1302">
        <f t="shared" ref="B4:H4" si="0">B5+B6-B7</f>
        <v>33.193999999999996</v>
      </c>
      <c r="C4" s="1302">
        <f t="shared" si="0"/>
        <v>156.15600000000001</v>
      </c>
      <c r="D4" s="1302">
        <f t="shared" si="0"/>
        <v>-21.896000000000001</v>
      </c>
      <c r="E4" s="1302">
        <f t="shared" si="0"/>
        <v>-118.88300000000001</v>
      </c>
      <c r="F4" s="1302">
        <f t="shared" si="0"/>
        <v>-200.2708111</v>
      </c>
      <c r="G4" s="1302">
        <f t="shared" si="0"/>
        <v>-30.465</v>
      </c>
      <c r="H4" s="847">
        <f t="shared" si="0"/>
        <v>-61.256999999999998</v>
      </c>
      <c r="K4" s="3"/>
      <c r="L4" s="109"/>
    </row>
    <row r="5" spans="1:12">
      <c r="A5" s="1306" t="s">
        <v>1245</v>
      </c>
      <c r="B5" s="1301">
        <v>40.326999999999998</v>
      </c>
      <c r="C5" s="1301">
        <v>160.179</v>
      </c>
      <c r="D5" s="1301">
        <v>18.007000000000001</v>
      </c>
      <c r="E5" s="1301">
        <v>-24.978999999999999</v>
      </c>
      <c r="F5" s="1301">
        <v>-149.2758111</v>
      </c>
      <c r="G5" s="1301">
        <v>-30.465</v>
      </c>
      <c r="H5" s="1301">
        <v>-61.256999999999998</v>
      </c>
    </row>
    <row r="6" spans="1:12">
      <c r="A6" s="1306" t="s">
        <v>1244</v>
      </c>
      <c r="B6" s="1301">
        <v>-6.5389999999999997</v>
      </c>
      <c r="C6" s="1301">
        <v>-6.3070000000000004</v>
      </c>
      <c r="D6" s="1301">
        <v>-3.5859999999999999</v>
      </c>
      <c r="E6" s="1301">
        <v>-53.6</v>
      </c>
      <c r="F6" s="1301">
        <v>0.59099999999999997</v>
      </c>
      <c r="G6" s="1301">
        <v>0</v>
      </c>
      <c r="H6" s="1301">
        <v>0</v>
      </c>
    </row>
    <row r="7" spans="1:12">
      <c r="A7" s="1306" t="s">
        <v>1243</v>
      </c>
      <c r="B7" s="1301">
        <v>0.59399999999999997</v>
      </c>
      <c r="C7" s="1301">
        <v>-2.2839999999999998</v>
      </c>
      <c r="D7" s="1301">
        <v>36.317</v>
      </c>
      <c r="E7" s="1301">
        <v>40.304000000000002</v>
      </c>
      <c r="F7" s="1301">
        <v>51.585999999999999</v>
      </c>
      <c r="G7" s="1301">
        <v>0</v>
      </c>
      <c r="H7" s="1301">
        <v>0</v>
      </c>
    </row>
    <row r="8" spans="1:12">
      <c r="A8" s="1304" t="s">
        <v>1242</v>
      </c>
      <c r="B8" s="1190">
        <f t="shared" ref="B8:H8" si="1">B3-B4</f>
        <v>395.01499999999999</v>
      </c>
      <c r="C8" s="1190">
        <f t="shared" si="1"/>
        <v>8.6829999999999927</v>
      </c>
      <c r="D8" s="1190">
        <f t="shared" si="1"/>
        <v>191.017</v>
      </c>
      <c r="E8" s="1190">
        <f t="shared" si="1"/>
        <v>63.167000000000009</v>
      </c>
      <c r="F8" s="1190">
        <f t="shared" si="1"/>
        <v>10.071811099999991</v>
      </c>
      <c r="G8" s="1190">
        <f t="shared" si="1"/>
        <v>0.17800000000000082</v>
      </c>
      <c r="H8" s="1190">
        <f t="shared" si="1"/>
        <v>-269.88101503591503</v>
      </c>
    </row>
    <row r="9" spans="1:12">
      <c r="A9" s="1303" t="s">
        <v>1241</v>
      </c>
      <c r="B9" s="1302">
        <v>-300.31840157674065</v>
      </c>
      <c r="C9" s="1302">
        <v>-602.52622293224931</v>
      </c>
      <c r="D9" s="1302">
        <v>52.814034894526003</v>
      </c>
      <c r="E9" s="1302">
        <v>917.82075136990477</v>
      </c>
      <c r="F9" s="1302">
        <v>946.13528930355983</v>
      </c>
      <c r="G9" s="1302">
        <v>637.70268400000032</v>
      </c>
      <c r="H9" s="1302">
        <v>639.67999999999995</v>
      </c>
    </row>
    <row r="10" spans="1:12">
      <c r="A10" s="1303" t="s">
        <v>1240</v>
      </c>
      <c r="B10" s="1302">
        <v>-39.263360148160601</v>
      </c>
      <c r="C10" s="1302">
        <v>242.65458487499995</v>
      </c>
      <c r="D10" s="1302">
        <v>49.352536053471731</v>
      </c>
      <c r="E10" s="1302">
        <v>-10.631925902064657</v>
      </c>
      <c r="F10" s="1302">
        <v>92.440327071701986</v>
      </c>
      <c r="G10" s="1302">
        <v>-0.9246840000000156</v>
      </c>
      <c r="H10" s="847">
        <v>83.457999999999998</v>
      </c>
    </row>
    <row r="11" spans="1:12">
      <c r="A11" s="952" t="s">
        <v>1239</v>
      </c>
      <c r="B11" s="1301">
        <v>166.33226166000003</v>
      </c>
      <c r="C11" s="1301">
        <v>13.091610109999966</v>
      </c>
      <c r="D11" s="1301">
        <v>-321.73835498</v>
      </c>
      <c r="E11" s="847">
        <v>-931.81355341000005</v>
      </c>
      <c r="F11" s="1301">
        <v>-218.43392678999996</v>
      </c>
      <c r="G11" s="1301">
        <v>37.560902999999989</v>
      </c>
      <c r="H11" s="1301">
        <v>58.615199999999994</v>
      </c>
    </row>
    <row r="12" spans="1:12">
      <c r="A12" s="1306" t="s">
        <v>1238</v>
      </c>
      <c r="B12" s="1301">
        <v>76.453000000000003</v>
      </c>
      <c r="C12" s="1301">
        <v>-17.686</v>
      </c>
      <c r="D12" s="1301">
        <v>-93.300400000000025</v>
      </c>
      <c r="E12" s="847">
        <v>-712.55269999999996</v>
      </c>
      <c r="F12" s="1301">
        <v>-158.28814036999998</v>
      </c>
      <c r="G12" s="1301">
        <v>17.282</v>
      </c>
      <c r="H12" s="1301">
        <v>-7.6238000000000001</v>
      </c>
    </row>
    <row r="13" spans="1:12">
      <c r="A13" s="1306" t="s">
        <v>1237</v>
      </c>
      <c r="B13" s="1301">
        <v>4.5028090000000081</v>
      </c>
      <c r="C13" s="1301">
        <v>76.575339999999983</v>
      </c>
      <c r="D13" s="1301">
        <v>-156.94514299999997</v>
      </c>
      <c r="E13" s="847">
        <v>-208.537542</v>
      </c>
      <c r="F13" s="1301">
        <v>-106.36073929</v>
      </c>
      <c r="G13" s="1301">
        <v>-2.4379189999999946</v>
      </c>
      <c r="H13" s="1301">
        <v>22.931000000000001</v>
      </c>
    </row>
    <row r="14" spans="1:12">
      <c r="A14" s="1306" t="s">
        <v>1236</v>
      </c>
      <c r="B14" s="1301">
        <v>-1.9426067500000064</v>
      </c>
      <c r="C14" s="1301">
        <v>-9.9605595700000116</v>
      </c>
      <c r="D14" s="1301">
        <v>36.638218909999999</v>
      </c>
      <c r="E14" s="847">
        <v>52.187613970000008</v>
      </c>
      <c r="F14" s="1301">
        <v>13.460262090000004</v>
      </c>
      <c r="G14" s="1301">
        <v>2.7168219999999854</v>
      </c>
      <c r="H14" s="1301">
        <v>0.40799999999999997</v>
      </c>
    </row>
    <row r="15" spans="1:12">
      <c r="A15" s="1306" t="s">
        <v>1235</v>
      </c>
      <c r="B15" s="1301">
        <v>-1.1409405899999983</v>
      </c>
      <c r="C15" s="1301">
        <v>4.1628296799999953</v>
      </c>
      <c r="D15" s="1301">
        <v>21.868969110000005</v>
      </c>
      <c r="E15" s="847">
        <v>23.18907462</v>
      </c>
      <c r="F15" s="1301">
        <v>32.754690780000004</v>
      </c>
      <c r="G15" s="1301">
        <v>20</v>
      </c>
      <c r="H15" s="1301">
        <v>42.9</v>
      </c>
    </row>
    <row r="16" spans="1:12">
      <c r="A16" s="1306" t="s">
        <v>1234</v>
      </c>
      <c r="B16" s="1301">
        <v>88.46</v>
      </c>
      <c r="C16" s="1301">
        <v>-40</v>
      </c>
      <c r="D16" s="1301">
        <v>-130</v>
      </c>
      <c r="E16" s="847">
        <v>-86.1</v>
      </c>
      <c r="F16" s="1301">
        <v>0</v>
      </c>
      <c r="G16" s="1301">
        <v>0</v>
      </c>
      <c r="H16" s="1301">
        <v>0</v>
      </c>
    </row>
    <row r="17" spans="1:8">
      <c r="A17" s="1303" t="s">
        <v>1233</v>
      </c>
      <c r="B17" s="847">
        <v>0</v>
      </c>
      <c r="C17" s="847">
        <v>0</v>
      </c>
      <c r="D17" s="1302">
        <v>-124.399</v>
      </c>
      <c r="E17" s="847">
        <v>-208.75299999999999</v>
      </c>
      <c r="F17" s="847">
        <v>-303.53212781999997</v>
      </c>
      <c r="G17" s="847">
        <v>-201</v>
      </c>
      <c r="H17" s="847">
        <v>0</v>
      </c>
    </row>
    <row r="18" spans="1:8">
      <c r="A18" s="1303" t="s">
        <v>1232</v>
      </c>
      <c r="B18" s="847">
        <v>0</v>
      </c>
      <c r="C18" s="847">
        <v>0</v>
      </c>
      <c r="D18" s="847">
        <v>0</v>
      </c>
      <c r="E18" s="847">
        <v>0</v>
      </c>
      <c r="F18" s="1302">
        <v>34.671092999999999</v>
      </c>
      <c r="G18" s="847">
        <v>0</v>
      </c>
      <c r="H18" s="847">
        <v>0</v>
      </c>
    </row>
    <row r="19" spans="1:8">
      <c r="A19" s="1303" t="s">
        <v>1231</v>
      </c>
      <c r="B19" s="1302">
        <v>656.4817653599996</v>
      </c>
      <c r="C19" s="1302">
        <v>440.59657160999973</v>
      </c>
      <c r="D19" s="1302">
        <v>564.37917465000066</v>
      </c>
      <c r="E19" s="1302">
        <v>650.10029523000003</v>
      </c>
      <c r="F19" s="1302">
        <v>88.636312759999996</v>
      </c>
      <c r="G19" s="1302">
        <v>58.779000000000003</v>
      </c>
      <c r="H19" s="1302">
        <v>149.82519900000003</v>
      </c>
    </row>
    <row r="20" spans="1:8">
      <c r="A20" s="1306" t="s">
        <v>1230</v>
      </c>
      <c r="B20" s="1301">
        <v>232.21194136999949</v>
      </c>
      <c r="C20" s="1301">
        <v>223.04835990999976</v>
      </c>
      <c r="D20" s="1301">
        <v>260.35802903000058</v>
      </c>
      <c r="E20" s="847">
        <v>256.78753539000024</v>
      </c>
      <c r="F20" s="1301">
        <v>-84.153613630000038</v>
      </c>
      <c r="G20" s="1301">
        <v>-27.654</v>
      </c>
      <c r="H20" s="1301">
        <v>36.689785999999998</v>
      </c>
    </row>
    <row r="21" spans="1:8">
      <c r="A21" s="1306" t="s">
        <v>1229</v>
      </c>
      <c r="B21" s="1301">
        <v>120.91</v>
      </c>
      <c r="C21" s="1301">
        <v>132.19999999999999</v>
      </c>
      <c r="D21" s="1301">
        <v>206.567553</v>
      </c>
      <c r="E21" s="847">
        <v>211.00899999999999</v>
      </c>
      <c r="F21" s="1301">
        <v>-9.7757521100000009</v>
      </c>
      <c r="G21" s="1301">
        <v>10.105</v>
      </c>
      <c r="H21" s="1301">
        <v>27.397518000000012</v>
      </c>
    </row>
    <row r="22" spans="1:8">
      <c r="A22" s="1306" t="s">
        <v>1228</v>
      </c>
      <c r="B22" s="1301">
        <v>80.397241999999963</v>
      </c>
      <c r="C22" s="1301">
        <v>43.529322270000002</v>
      </c>
      <c r="D22" s="1301">
        <v>15.961013999999967</v>
      </c>
      <c r="E22" s="847">
        <v>147.35600159999996</v>
      </c>
      <c r="F22" s="1301">
        <v>151.45216165000002</v>
      </c>
      <c r="G22" s="1301">
        <v>40</v>
      </c>
      <c r="H22" s="1301">
        <v>12.535</v>
      </c>
    </row>
    <row r="23" spans="1:8">
      <c r="A23" s="1306" t="s">
        <v>1227</v>
      </c>
      <c r="B23" s="1301">
        <v>222.9625819900001</v>
      </c>
      <c r="C23" s="1301">
        <v>41.818889429999984</v>
      </c>
      <c r="D23" s="1301">
        <v>81.492578620000046</v>
      </c>
      <c r="E23" s="847">
        <v>34.947758239999878</v>
      </c>
      <c r="F23" s="1301">
        <v>31.113516850000014</v>
      </c>
      <c r="G23" s="1301">
        <v>36.328000000000003</v>
      </c>
      <c r="H23" s="1301">
        <v>73.202894999999998</v>
      </c>
    </row>
    <row r="24" spans="1:8">
      <c r="A24" s="952" t="s">
        <v>1226</v>
      </c>
      <c r="B24" s="1301">
        <v>-751.97249204000002</v>
      </c>
      <c r="C24" s="1301">
        <v>190.4648291300004</v>
      </c>
      <c r="D24" s="1301">
        <v>-62.754076839999847</v>
      </c>
      <c r="E24" s="847">
        <v>-71.510145660000006</v>
      </c>
      <c r="F24" s="1301">
        <v>-416.87167333999986</v>
      </c>
      <c r="G24" s="1301">
        <v>203.85245300000022</v>
      </c>
      <c r="H24" s="1301">
        <v>-790.04612899999995</v>
      </c>
    </row>
    <row r="25" spans="1:8">
      <c r="A25" s="1305" t="s">
        <v>1225</v>
      </c>
      <c r="B25" s="1301">
        <v>-188.15238112000003</v>
      </c>
      <c r="C25" s="1301">
        <v>-159.05887756999977</v>
      </c>
      <c r="D25" s="1301">
        <v>-177.3054757699999</v>
      </c>
      <c r="E25" s="1301">
        <v>-258.58547943999992</v>
      </c>
      <c r="F25" s="1301">
        <v>-204.32091331999982</v>
      </c>
      <c r="G25" s="1301">
        <v>-124.6784589999998</v>
      </c>
      <c r="H25" s="1301">
        <v>-165.54212799999999</v>
      </c>
    </row>
    <row r="26" spans="1:8">
      <c r="A26" s="1305" t="s">
        <v>1162</v>
      </c>
      <c r="B26" s="1301">
        <v>-26.825506760000017</v>
      </c>
      <c r="C26" s="1301">
        <v>209.01925513000018</v>
      </c>
      <c r="D26" s="1301">
        <v>300.64536990000005</v>
      </c>
      <c r="E26" s="1301">
        <v>325.10761587999991</v>
      </c>
      <c r="F26" s="1301">
        <v>382.25956244000002</v>
      </c>
      <c r="G26" s="1301">
        <v>247.42454700000002</v>
      </c>
      <c r="H26" s="1301">
        <v>-352.73681800000003</v>
      </c>
    </row>
    <row r="27" spans="1:8">
      <c r="A27" s="1305" t="s">
        <v>1224</v>
      </c>
      <c r="B27" s="1301">
        <v>-356.43118437999993</v>
      </c>
      <c r="C27" s="1301">
        <v>6.0931993000000952</v>
      </c>
      <c r="D27" s="1301">
        <v>-107.31168816000002</v>
      </c>
      <c r="E27" s="1301">
        <v>-2.9514094800000312</v>
      </c>
      <c r="F27" s="1301">
        <v>-12.21473788000003</v>
      </c>
      <c r="G27" s="1301">
        <v>0</v>
      </c>
      <c r="H27" s="1301">
        <v>-12.516182999999961</v>
      </c>
    </row>
    <row r="28" spans="1:8">
      <c r="A28" s="1305" t="s">
        <v>1223</v>
      </c>
      <c r="B28" s="1301">
        <v>-180.56341978</v>
      </c>
      <c r="C28" s="1301">
        <v>134.41125226999992</v>
      </c>
      <c r="D28" s="1301">
        <v>-78.78228280999997</v>
      </c>
      <c r="E28" s="847">
        <v>-135.08087262000001</v>
      </c>
      <c r="F28" s="1301">
        <v>-582.59558458000004</v>
      </c>
      <c r="G28" s="1301">
        <v>81.106364999999997</v>
      </c>
      <c r="H28" s="1301">
        <v>-259.25099999999998</v>
      </c>
    </row>
    <row r="29" spans="1:8">
      <c r="A29" s="958" t="s">
        <v>1222</v>
      </c>
      <c r="B29" s="1301">
        <v>152.09678785</v>
      </c>
      <c r="C29" s="1301">
        <v>-180.09360000000001</v>
      </c>
      <c r="D29" s="1301">
        <v>-92.852500000000006</v>
      </c>
      <c r="E29" s="847">
        <v>-151.1575</v>
      </c>
      <c r="F29" s="1301">
        <v>-17.045999999999999</v>
      </c>
      <c r="G29" s="1301">
        <v>0</v>
      </c>
      <c r="H29" s="1301">
        <v>0</v>
      </c>
    </row>
    <row r="30" spans="1:8">
      <c r="A30" s="958" t="s">
        <v>1221</v>
      </c>
      <c r="B30" s="1301">
        <v>-244.87999500000012</v>
      </c>
      <c r="C30" s="1301">
        <v>58.291304999999703</v>
      </c>
      <c r="D30" s="1301">
        <v>19.40566000000015</v>
      </c>
      <c r="E30" s="847">
        <v>-137.04423300000002</v>
      </c>
      <c r="F30" s="1301">
        <v>-232.07062918000017</v>
      </c>
      <c r="G30" s="1301">
        <v>-140.27037199999998</v>
      </c>
      <c r="H30" s="1301">
        <v>-85.234304000000009</v>
      </c>
    </row>
    <row r="31" spans="1:8">
      <c r="A31" s="958" t="s">
        <v>1041</v>
      </c>
      <c r="B31" s="1301">
        <v>226.298</v>
      </c>
      <c r="C31" s="1301">
        <v>-22.367604999999998</v>
      </c>
      <c r="D31" s="1301">
        <v>-30.197402999999998</v>
      </c>
      <c r="E31" s="847">
        <v>-62.902017999999998</v>
      </c>
      <c r="F31" s="1301">
        <v>-20.876999999999999</v>
      </c>
      <c r="G31" s="1301">
        <v>18.347000000000001</v>
      </c>
      <c r="H31" s="1301">
        <v>-7.271598</v>
      </c>
    </row>
    <row r="32" spans="1:8">
      <c r="A32" s="958" t="s">
        <v>1220</v>
      </c>
      <c r="B32" s="1301">
        <v>157.29270100000127</v>
      </c>
      <c r="C32" s="1301">
        <v>87.948591000000022</v>
      </c>
      <c r="D32" s="1301">
        <v>53.540403999998233</v>
      </c>
      <c r="E32" s="847">
        <v>-14.389500999999232</v>
      </c>
      <c r="F32" s="1301">
        <v>47.932102939999659</v>
      </c>
      <c r="G32" s="1301">
        <v>73.549847999999301</v>
      </c>
      <c r="H32" s="1301">
        <v>-97.470354000000285</v>
      </c>
    </row>
    <row r="33" spans="1:10">
      <c r="A33" s="958" t="s">
        <v>1219</v>
      </c>
      <c r="B33" s="1301">
        <v>48.353999999999999</v>
      </c>
      <c r="C33" s="1301">
        <v>64.805000000000007</v>
      </c>
      <c r="D33" s="1301">
        <v>147.16</v>
      </c>
      <c r="E33" s="1301">
        <v>6.8540000000000001</v>
      </c>
      <c r="F33" s="1301">
        <v>-16.528308000000003</v>
      </c>
      <c r="G33" s="1301">
        <v>-316.44400000000002</v>
      </c>
      <c r="H33" s="1301">
        <v>0</v>
      </c>
    </row>
    <row r="34" spans="1:10">
      <c r="A34" s="958" t="s">
        <v>1218</v>
      </c>
      <c r="B34" s="1301">
        <v>214.62700000000001</v>
      </c>
      <c r="C34" s="1301">
        <v>46.6</v>
      </c>
      <c r="D34" s="1301">
        <v>58.253999999999998</v>
      </c>
      <c r="E34" s="1301">
        <v>30.998000000000001</v>
      </c>
      <c r="F34" s="1301">
        <v>-16.045999999999999</v>
      </c>
      <c r="G34" s="1301">
        <v>46.38</v>
      </c>
      <c r="H34" s="1301">
        <v>0</v>
      </c>
    </row>
    <row r="35" spans="1:10">
      <c r="A35" s="958" t="s">
        <v>1217</v>
      </c>
      <c r="B35" s="1301">
        <v>-128.27000000000001</v>
      </c>
      <c r="C35" s="1301">
        <v>-83.415999999999997</v>
      </c>
      <c r="D35" s="1301">
        <v>-40.698</v>
      </c>
      <c r="E35" s="1301">
        <v>-28.85</v>
      </c>
      <c r="F35" s="1301">
        <v>22.777000000000001</v>
      </c>
      <c r="G35" s="1301">
        <v>-21.745999999999999</v>
      </c>
      <c r="H35" s="1301">
        <v>-4.2560000000000002</v>
      </c>
    </row>
    <row r="36" spans="1:10">
      <c r="A36" s="958" t="s">
        <v>1216</v>
      </c>
      <c r="B36" s="1301">
        <v>0</v>
      </c>
      <c r="C36" s="1301">
        <v>-19.355</v>
      </c>
      <c r="D36" s="1301">
        <v>11.638</v>
      </c>
      <c r="E36" s="1301">
        <v>6.4569999999999999</v>
      </c>
      <c r="F36" s="1301">
        <v>17.419</v>
      </c>
      <c r="G36" s="1301">
        <v>0</v>
      </c>
      <c r="H36" s="1301">
        <v>0</v>
      </c>
    </row>
    <row r="37" spans="1:10">
      <c r="A37" s="958" t="s">
        <v>1215</v>
      </c>
      <c r="B37" s="1301">
        <v>0</v>
      </c>
      <c r="C37" s="1301">
        <v>0</v>
      </c>
      <c r="D37" s="1301">
        <v>0</v>
      </c>
      <c r="E37" s="1301">
        <v>0</v>
      </c>
      <c r="F37" s="1301">
        <v>-42.201999999999998</v>
      </c>
      <c r="G37" s="1301">
        <v>-161.898</v>
      </c>
      <c r="H37" s="1301">
        <v>-136.036</v>
      </c>
    </row>
    <row r="38" spans="1:10">
      <c r="A38" s="1304" t="s">
        <v>1214</v>
      </c>
      <c r="B38" s="1190">
        <f t="shared" ref="B38:H38" si="2">B8-B9-B11-B19-B24-B30-B31-B32-B33-B34-B29-B10-B17-B18-B35-B36-B37</f>
        <v>238.23673289490051</v>
      </c>
      <c r="C38" s="1190">
        <f t="shared" si="2"/>
        <v>-228.01106379275049</v>
      </c>
      <c r="D38" s="1190">
        <f t="shared" si="2"/>
        <v>-92.887474777996943</v>
      </c>
      <c r="E38" s="1190">
        <f t="shared" si="2"/>
        <v>67.988830372159271</v>
      </c>
      <c r="F38" s="1190">
        <f t="shared" si="2"/>
        <v>43.668351154738517</v>
      </c>
      <c r="G38" s="1190">
        <f t="shared" si="2"/>
        <v>-233.71083199999967</v>
      </c>
      <c r="H38" s="1190">
        <f t="shared" si="2"/>
        <v>-81.145029035914831</v>
      </c>
    </row>
    <row r="39" spans="1:10">
      <c r="A39" s="1303" t="s">
        <v>1213</v>
      </c>
      <c r="B39" s="1302">
        <f>(B4+B9+B10+B17+B20+B22+B23+B21+B18)</f>
        <v>350.09400363509837</v>
      </c>
      <c r="C39" s="1302">
        <f>(C4+C9+C10+C17+C20+C22+C23+C21+C18)</f>
        <v>236.88093355275038</v>
      </c>
      <c r="D39" s="1302">
        <f>(D4+D9+D10+D17+D20+D22+D23+D21+D18)</f>
        <v>520.25074559799828</v>
      </c>
      <c r="E39" s="1302">
        <f>(E4+E9+E10+E20+E22+E23+E21+E18)</f>
        <v>1438.4061206978402</v>
      </c>
      <c r="F39" s="1302">
        <f>(F4+F9+F10+F20+F22+F23+F21+F18)</f>
        <v>961.61221103526191</v>
      </c>
      <c r="G39" s="1302">
        <f>(G4+G9+G10+G20+G22+G23+G21+G18)</f>
        <v>665.09200000000021</v>
      </c>
      <c r="H39" s="1302">
        <f>(H9+H19)</f>
        <v>789.50519899999995</v>
      </c>
      <c r="J39" s="795"/>
    </row>
    <row r="40" spans="1:10">
      <c r="A40" s="952" t="s">
        <v>1212</v>
      </c>
      <c r="B40" s="1301">
        <f t="shared" ref="B40:H40" si="3">B10</f>
        <v>-39.263360148160601</v>
      </c>
      <c r="C40" s="1301">
        <f t="shared" si="3"/>
        <v>242.65458487499995</v>
      </c>
      <c r="D40" s="1301">
        <f t="shared" si="3"/>
        <v>49.352536053471731</v>
      </c>
      <c r="E40" s="1301">
        <f t="shared" si="3"/>
        <v>-10.631925902064657</v>
      </c>
      <c r="F40" s="1301">
        <f t="shared" si="3"/>
        <v>92.440327071701986</v>
      </c>
      <c r="G40" s="1301">
        <f t="shared" si="3"/>
        <v>-0.9246840000000156</v>
      </c>
      <c r="H40" s="1301">
        <f t="shared" si="3"/>
        <v>83.457999999999998</v>
      </c>
    </row>
    <row r="41" spans="1:10">
      <c r="A41" s="1298" t="s">
        <v>1211</v>
      </c>
      <c r="B41" s="1297">
        <f t="shared" ref="B41:H41" si="4">B3-B39</f>
        <v>78.114996364901629</v>
      </c>
      <c r="C41" s="1297">
        <f t="shared" si="4"/>
        <v>-72.041933552750379</v>
      </c>
      <c r="D41" s="1297">
        <f t="shared" si="4"/>
        <v>-351.12974559799829</v>
      </c>
      <c r="E41" s="1297">
        <f t="shared" si="4"/>
        <v>-1494.12212069784</v>
      </c>
      <c r="F41" s="1297">
        <f t="shared" si="4"/>
        <v>-1151.811211035262</v>
      </c>
      <c r="G41" s="1297">
        <f t="shared" si="4"/>
        <v>-695.37900000000025</v>
      </c>
      <c r="H41" s="1297">
        <f t="shared" si="4"/>
        <v>-1120.643214035915</v>
      </c>
    </row>
    <row r="42" spans="1:10">
      <c r="A42" s="952" t="s">
        <v>1210</v>
      </c>
      <c r="B42" s="1301">
        <v>-3448.9</v>
      </c>
      <c r="C42" s="1301">
        <v>-3323.7240000000002</v>
      </c>
      <c r="D42" s="1301">
        <v>-2186.5329999999999</v>
      </c>
      <c r="E42" s="1301">
        <v>-2000.4</v>
      </c>
      <c r="F42" s="1301">
        <v>-1940.1</v>
      </c>
      <c r="G42" s="1301">
        <v>-1556.5029999999999</v>
      </c>
      <c r="H42" s="1301">
        <v>-752.351</v>
      </c>
    </row>
    <row r="43" spans="1:10">
      <c r="A43" s="1300" t="s">
        <v>1209</v>
      </c>
      <c r="B43" s="1299">
        <f t="shared" ref="B43:H43" si="5">B42+B39</f>
        <v>-3098.8059963649016</v>
      </c>
      <c r="C43" s="1299">
        <f t="shared" si="5"/>
        <v>-3086.8430664472498</v>
      </c>
      <c r="D43" s="1299">
        <f t="shared" si="5"/>
        <v>-1666.2822544020016</v>
      </c>
      <c r="E43" s="1299">
        <f t="shared" si="5"/>
        <v>-561.99387930215994</v>
      </c>
      <c r="F43" s="1299">
        <f t="shared" si="5"/>
        <v>-978.487788964738</v>
      </c>
      <c r="G43" s="1299">
        <f t="shared" si="5"/>
        <v>-891.41099999999972</v>
      </c>
      <c r="H43" s="1299">
        <f t="shared" si="5"/>
        <v>37.154198999999949</v>
      </c>
    </row>
    <row r="44" spans="1:10">
      <c r="A44" s="1298" t="s">
        <v>1208</v>
      </c>
      <c r="B44" s="1297">
        <v>-3020.6909999999998</v>
      </c>
      <c r="C44" s="1297">
        <v>-3158.8850000000002</v>
      </c>
      <c r="D44" s="1297">
        <v>-2017.412</v>
      </c>
      <c r="E44" s="1297">
        <v>-2056.116</v>
      </c>
      <c r="F44" s="1297">
        <v>-2130.3069999999998</v>
      </c>
      <c r="G44" s="1297">
        <v>-1586.7919999999999</v>
      </c>
      <c r="H44" s="1297">
        <v>-1083.4890600000001</v>
      </c>
    </row>
    <row r="45" spans="1:10">
      <c r="A45" s="1296"/>
      <c r="B45" s="1295"/>
      <c r="C45" s="1295"/>
      <c r="D45" s="1295"/>
      <c r="E45" s="1295"/>
      <c r="F45" s="1703" t="s">
        <v>1207</v>
      </c>
      <c r="G45" s="1703"/>
      <c r="H45" s="1703"/>
    </row>
    <row r="46" spans="1:10" ht="22.5" customHeight="1">
      <c r="A46" s="1771"/>
      <c r="B46" s="1771"/>
      <c r="C46" s="1771"/>
      <c r="D46" s="1771"/>
      <c r="E46" s="1771"/>
      <c r="F46" s="1771"/>
      <c r="G46" s="1294"/>
      <c r="H46" s="1294"/>
    </row>
    <row r="48" spans="1:10">
      <c r="A48" s="958"/>
      <c r="B48" s="1292"/>
      <c r="C48" s="1292"/>
      <c r="D48" s="1292"/>
      <c r="E48" s="1292"/>
      <c r="F48" s="1292"/>
      <c r="G48" s="1292"/>
      <c r="H48" s="1292"/>
    </row>
    <row r="49" spans="1:14">
      <c r="A49" s="958"/>
      <c r="B49" s="1292"/>
      <c r="C49" s="1292"/>
      <c r="D49" s="1292"/>
      <c r="E49" s="1292"/>
      <c r="F49" s="1292"/>
      <c r="G49" s="1292"/>
      <c r="H49" s="1292"/>
    </row>
    <row r="50" spans="1:14">
      <c r="A50" s="958"/>
      <c r="B50" s="1292"/>
      <c r="C50" s="1292"/>
      <c r="D50" s="1292"/>
      <c r="E50" s="1292"/>
      <c r="F50" s="1292"/>
      <c r="G50" s="1292"/>
      <c r="H50" s="1292"/>
    </row>
    <row r="51" spans="1:14">
      <c r="A51" s="958"/>
      <c r="B51" s="1292"/>
      <c r="C51" s="1292"/>
      <c r="D51" s="1292"/>
      <c r="E51" s="1292"/>
      <c r="F51" s="1292"/>
      <c r="G51" s="1292"/>
      <c r="H51" s="1292"/>
    </row>
    <row r="52" spans="1:14">
      <c r="A52" s="958"/>
      <c r="B52" s="1292"/>
      <c r="C52" s="1292"/>
      <c r="D52" s="1292"/>
      <c r="E52" s="1292"/>
      <c r="F52" s="1292"/>
      <c r="G52" s="1292"/>
      <c r="H52" s="1292"/>
    </row>
    <row r="53" spans="1:14">
      <c r="A53" s="958"/>
      <c r="B53" s="1293"/>
      <c r="C53" s="1293"/>
      <c r="D53" s="1293"/>
      <c r="E53" s="1293"/>
      <c r="F53" s="1292"/>
      <c r="G53" s="1292"/>
      <c r="H53" s="1292"/>
      <c r="J53" s="1290"/>
      <c r="K53" s="1290"/>
      <c r="L53" s="1290"/>
      <c r="M53" s="1290"/>
      <c r="N53" s="1290"/>
    </row>
    <row r="54" spans="1:14">
      <c r="A54" s="958"/>
      <c r="B54" s="1291"/>
      <c r="C54" s="1291"/>
      <c r="D54" s="1291"/>
      <c r="E54" s="1291"/>
      <c r="F54" s="1291"/>
      <c r="G54" s="1291"/>
      <c r="H54" s="1291"/>
      <c r="J54" s="1290"/>
      <c r="K54" s="1290"/>
      <c r="L54" s="1290"/>
      <c r="M54" s="1290"/>
      <c r="N54" s="1290"/>
    </row>
    <row r="55" spans="1:14">
      <c r="A55" s="958"/>
      <c r="B55" s="895"/>
      <c r="C55" s="895"/>
      <c r="D55" s="895"/>
      <c r="E55" s="895"/>
      <c r="F55" s="895"/>
      <c r="G55" s="895"/>
      <c r="H55" s="895"/>
      <c r="J55" s="1290"/>
      <c r="K55" s="1290"/>
      <c r="L55" s="1290"/>
      <c r="M55" s="1290"/>
      <c r="N55" s="1290"/>
    </row>
    <row r="56" spans="1:14">
      <c r="A56" s="958"/>
      <c r="B56" s="957"/>
      <c r="C56" s="957"/>
      <c r="D56" s="957"/>
      <c r="E56" s="957"/>
      <c r="F56" s="957"/>
      <c r="G56" s="957"/>
      <c r="H56" s="957"/>
      <c r="J56" s="957"/>
      <c r="K56" s="957"/>
      <c r="L56" s="957"/>
      <c r="M56" s="957"/>
      <c r="N56" s="957"/>
    </row>
    <row r="57" spans="1:14">
      <c r="A57" s="958"/>
      <c r="B57" s="959"/>
      <c r="C57" s="959"/>
      <c r="D57" s="959"/>
      <c r="E57" s="959"/>
      <c r="F57" s="959"/>
      <c r="G57" s="959"/>
      <c r="H57" s="959"/>
      <c r="J57" s="959"/>
      <c r="K57" s="959"/>
      <c r="L57" s="959"/>
      <c r="M57" s="959"/>
      <c r="N57" s="959"/>
    </row>
    <row r="58" spans="1:14">
      <c r="A58" s="958"/>
      <c r="B58" s="959"/>
      <c r="C58" s="959"/>
      <c r="D58" s="959"/>
      <c r="E58" s="959"/>
      <c r="F58" s="959"/>
      <c r="G58" s="959"/>
      <c r="H58" s="959"/>
      <c r="J58" s="959"/>
      <c r="K58" s="959"/>
      <c r="L58" s="959"/>
      <c r="M58" s="959"/>
      <c r="N58" s="959"/>
    </row>
    <row r="59" spans="1:14">
      <c r="A59" s="958"/>
      <c r="B59" s="957"/>
      <c r="C59" s="957"/>
      <c r="D59" s="957"/>
      <c r="E59" s="957"/>
      <c r="F59" s="957"/>
      <c r="G59" s="957"/>
      <c r="H59" s="957"/>
    </row>
    <row r="60" spans="1:14">
      <c r="A60" s="895"/>
      <c r="B60" s="959"/>
      <c r="C60" s="959"/>
      <c r="D60" s="959"/>
      <c r="E60" s="959"/>
      <c r="F60" s="959"/>
      <c r="G60" s="959"/>
      <c r="H60" s="959"/>
      <c r="I60" s="953"/>
      <c r="J60" s="953"/>
    </row>
    <row r="61" spans="1:14">
      <c r="A61" s="895"/>
      <c r="B61" s="895"/>
      <c r="C61" s="895"/>
      <c r="D61" s="895"/>
      <c r="E61" s="895"/>
      <c r="F61" s="895"/>
      <c r="G61" s="895"/>
      <c r="H61" s="895"/>
      <c r="I61" s="765"/>
    </row>
    <row r="62" spans="1:14">
      <c r="A62" s="952"/>
      <c r="B62" s="765"/>
      <c r="C62" s="765"/>
      <c r="D62" s="765"/>
      <c r="E62" s="765"/>
      <c r="F62" s="765"/>
      <c r="G62" s="765"/>
      <c r="H62" s="765"/>
    </row>
    <row r="63" spans="1:14">
      <c r="A63" s="952"/>
      <c r="B63" s="765"/>
      <c r="C63" s="765"/>
      <c r="D63" s="765"/>
      <c r="E63" s="765"/>
      <c r="F63" s="765"/>
      <c r="G63" s="765"/>
      <c r="H63" s="765"/>
    </row>
    <row r="64" spans="1:14">
      <c r="A64" s="952"/>
      <c r="B64" s="765"/>
      <c r="C64" s="765"/>
      <c r="D64" s="765"/>
      <c r="E64" s="765"/>
      <c r="F64" s="765"/>
      <c r="G64" s="765"/>
      <c r="H64" s="765"/>
    </row>
    <row r="65" spans="1:8">
      <c r="A65" s="952"/>
      <c r="B65" s="765"/>
      <c r="C65" s="765"/>
      <c r="D65" s="765"/>
      <c r="E65" s="765"/>
      <c r="F65" s="765"/>
      <c r="G65" s="765"/>
      <c r="H65" s="765"/>
    </row>
    <row r="66" spans="1:8">
      <c r="A66" s="952"/>
      <c r="B66" s="765"/>
      <c r="C66" s="765"/>
      <c r="D66" s="765"/>
      <c r="E66" s="765"/>
      <c r="F66" s="765"/>
      <c r="G66" s="765"/>
      <c r="H66" s="765"/>
    </row>
    <row r="67" spans="1:8">
      <c r="A67" s="952"/>
      <c r="B67" s="765"/>
      <c r="C67" s="765"/>
      <c r="D67" s="765"/>
      <c r="E67" s="765"/>
      <c r="F67" s="765"/>
      <c r="G67" s="765"/>
      <c r="H67" s="765"/>
    </row>
    <row r="68" spans="1:8">
      <c r="A68" s="952"/>
      <c r="B68" s="765"/>
      <c r="C68" s="765"/>
      <c r="D68" s="765"/>
      <c r="E68" s="765"/>
      <c r="F68" s="765"/>
      <c r="G68" s="765"/>
      <c r="H68" s="765"/>
    </row>
    <row r="69" spans="1:8">
      <c r="A69" s="952"/>
      <c r="B69" s="765"/>
      <c r="C69" s="765"/>
      <c r="D69" s="765"/>
      <c r="E69" s="765"/>
      <c r="F69" s="765"/>
      <c r="G69" s="765"/>
      <c r="H69" s="765"/>
    </row>
    <row r="70" spans="1:8">
      <c r="A70" s="952"/>
      <c r="B70" s="765"/>
      <c r="C70" s="765"/>
      <c r="D70" s="765"/>
      <c r="E70" s="765"/>
      <c r="F70" s="765"/>
      <c r="G70" s="765"/>
      <c r="H70" s="765"/>
    </row>
    <row r="71" spans="1:8">
      <c r="A71" s="952"/>
      <c r="B71" s="765"/>
      <c r="C71" s="765"/>
      <c r="D71" s="765"/>
      <c r="E71" s="765"/>
      <c r="F71" s="765"/>
      <c r="G71" s="765"/>
      <c r="H71" s="765"/>
    </row>
    <row r="72" spans="1:8">
      <c r="A72" s="952"/>
      <c r="B72" s="765"/>
      <c r="C72" s="765"/>
      <c r="D72" s="765"/>
      <c r="E72" s="765"/>
      <c r="F72" s="765"/>
      <c r="G72" s="765"/>
      <c r="H72" s="765"/>
    </row>
    <row r="73" spans="1:8">
      <c r="A73" s="952"/>
      <c r="B73" s="765"/>
      <c r="C73" s="765"/>
      <c r="D73" s="765"/>
      <c r="E73" s="765"/>
      <c r="F73" s="765"/>
      <c r="G73" s="765"/>
      <c r="H73" s="765"/>
    </row>
    <row r="74" spans="1:8">
      <c r="A74" s="952"/>
      <c r="B74" s="765"/>
      <c r="C74" s="765"/>
      <c r="D74" s="765"/>
      <c r="E74" s="765"/>
      <c r="F74" s="765"/>
      <c r="G74" s="765"/>
      <c r="H74" s="765"/>
    </row>
    <row r="75" spans="1:8">
      <c r="A75" s="952"/>
      <c r="B75" s="765"/>
      <c r="C75" s="765"/>
      <c r="D75" s="765"/>
      <c r="E75" s="765"/>
      <c r="F75" s="765"/>
      <c r="G75" s="765"/>
      <c r="H75" s="765"/>
    </row>
    <row r="76" spans="1:8">
      <c r="A76" s="952"/>
      <c r="B76" s="765"/>
      <c r="C76" s="765"/>
      <c r="D76" s="765"/>
      <c r="E76" s="765"/>
      <c r="F76" s="765"/>
      <c r="G76" s="765"/>
      <c r="H76" s="765"/>
    </row>
    <row r="77" spans="1:8">
      <c r="A77" s="952"/>
      <c r="B77" s="765"/>
      <c r="C77" s="765"/>
      <c r="D77" s="765"/>
      <c r="E77" s="765"/>
      <c r="F77" s="765"/>
      <c r="G77" s="765"/>
      <c r="H77" s="765"/>
    </row>
    <row r="78" spans="1:8">
      <c r="A78" s="952"/>
      <c r="B78" s="765"/>
      <c r="C78" s="765"/>
      <c r="D78" s="765"/>
      <c r="E78" s="765"/>
      <c r="F78" s="765"/>
      <c r="G78" s="765"/>
      <c r="H78" s="765"/>
    </row>
    <row r="79" spans="1:8">
      <c r="A79" s="952"/>
      <c r="B79" s="765"/>
      <c r="C79" s="765"/>
      <c r="D79" s="765"/>
      <c r="E79" s="765"/>
      <c r="F79" s="765"/>
      <c r="G79" s="765"/>
      <c r="H79" s="765"/>
    </row>
    <row r="80" spans="1:8">
      <c r="A80" s="952"/>
      <c r="B80" s="765"/>
      <c r="C80" s="765"/>
      <c r="D80" s="765"/>
      <c r="E80" s="765"/>
      <c r="F80" s="765"/>
      <c r="G80" s="765"/>
      <c r="H80" s="765"/>
    </row>
    <row r="81" spans="1:8">
      <c r="A81" s="952"/>
      <c r="B81" s="765"/>
      <c r="C81" s="765"/>
      <c r="D81" s="765"/>
      <c r="E81" s="765"/>
      <c r="F81" s="765"/>
      <c r="G81" s="765"/>
      <c r="H81" s="765"/>
    </row>
    <row r="82" spans="1:8">
      <c r="A82" s="952"/>
      <c r="B82" s="765"/>
      <c r="C82" s="765"/>
      <c r="D82" s="765"/>
      <c r="E82" s="765"/>
      <c r="F82" s="765"/>
      <c r="G82" s="765"/>
      <c r="H82" s="765"/>
    </row>
    <row r="83" spans="1:8">
      <c r="A83" s="952"/>
      <c r="B83" s="765"/>
      <c r="C83" s="765"/>
      <c r="D83" s="765"/>
      <c r="E83" s="765"/>
      <c r="F83" s="765"/>
      <c r="G83" s="765"/>
      <c r="H83" s="765"/>
    </row>
    <row r="84" spans="1:8">
      <c r="A84" s="952"/>
      <c r="B84" s="765"/>
      <c r="C84" s="765"/>
      <c r="D84" s="765"/>
      <c r="E84" s="765"/>
      <c r="F84" s="765"/>
      <c r="G84" s="765"/>
      <c r="H84" s="765"/>
    </row>
    <row r="85" spans="1:8">
      <c r="A85" s="952"/>
      <c r="B85" s="765"/>
      <c r="C85" s="765"/>
      <c r="D85" s="765"/>
      <c r="E85" s="765"/>
      <c r="F85" s="765"/>
      <c r="G85" s="765"/>
      <c r="H85" s="765"/>
    </row>
    <row r="86" spans="1:8">
      <c r="A86" s="952"/>
      <c r="B86" s="765"/>
      <c r="C86" s="765"/>
      <c r="D86" s="765"/>
      <c r="E86" s="765"/>
      <c r="F86" s="765"/>
      <c r="G86" s="765"/>
      <c r="H86" s="765"/>
    </row>
    <row r="87" spans="1:8">
      <c r="A87" s="952"/>
      <c r="B87" s="765"/>
      <c r="C87" s="765"/>
      <c r="D87" s="765"/>
      <c r="E87" s="765"/>
      <c r="F87" s="765"/>
      <c r="G87" s="765"/>
      <c r="H87" s="765"/>
    </row>
    <row r="88" spans="1:8">
      <c r="A88" s="952"/>
      <c r="B88" s="765"/>
      <c r="C88" s="765"/>
      <c r="D88" s="765"/>
      <c r="E88" s="765"/>
      <c r="F88" s="765"/>
      <c r="G88" s="765"/>
      <c r="H88" s="765"/>
    </row>
    <row r="89" spans="1:8">
      <c r="A89" s="952"/>
      <c r="B89" s="765"/>
      <c r="C89" s="765"/>
      <c r="D89" s="765"/>
      <c r="E89" s="765"/>
      <c r="F89" s="765"/>
      <c r="G89" s="765"/>
      <c r="H89" s="765"/>
    </row>
    <row r="90" spans="1:8">
      <c r="A90" s="952"/>
      <c r="B90" s="765"/>
      <c r="C90" s="765"/>
      <c r="D90" s="765"/>
      <c r="E90" s="765"/>
      <c r="F90" s="765"/>
      <c r="G90" s="765"/>
      <c r="H90" s="765"/>
    </row>
    <row r="91" spans="1:8">
      <c r="A91" s="952"/>
      <c r="B91" s="765"/>
      <c r="C91" s="765"/>
      <c r="D91" s="765"/>
      <c r="E91" s="765"/>
      <c r="F91" s="765"/>
      <c r="G91" s="765"/>
      <c r="H91" s="765"/>
    </row>
    <row r="92" spans="1:8">
      <c r="A92" s="952"/>
      <c r="B92" s="765"/>
      <c r="C92" s="765"/>
      <c r="D92" s="765"/>
      <c r="E92" s="765"/>
      <c r="F92" s="765"/>
      <c r="G92" s="765"/>
      <c r="H92" s="765"/>
    </row>
    <row r="93" spans="1:8">
      <c r="A93" s="952"/>
      <c r="B93" s="765"/>
      <c r="C93" s="765"/>
      <c r="D93" s="765"/>
      <c r="E93" s="765"/>
      <c r="F93" s="765"/>
      <c r="G93" s="765"/>
      <c r="H93" s="765"/>
    </row>
    <row r="94" spans="1:8">
      <c r="A94" s="952"/>
      <c r="B94" s="765"/>
      <c r="C94" s="765"/>
      <c r="D94" s="765"/>
      <c r="E94" s="765"/>
      <c r="F94" s="765"/>
      <c r="G94" s="765"/>
      <c r="H94" s="765"/>
    </row>
    <row r="95" spans="1:8">
      <c r="A95" s="952"/>
      <c r="B95" s="765"/>
      <c r="C95" s="765"/>
      <c r="D95" s="765"/>
      <c r="E95" s="765"/>
      <c r="F95" s="765"/>
      <c r="G95" s="765"/>
      <c r="H95" s="765"/>
    </row>
    <row r="96" spans="1:8">
      <c r="A96" s="952"/>
      <c r="B96" s="765"/>
      <c r="C96" s="765"/>
      <c r="D96" s="765"/>
      <c r="E96" s="765"/>
      <c r="F96" s="765"/>
      <c r="G96" s="765"/>
      <c r="H96" s="765"/>
    </row>
    <row r="97" spans="1:8">
      <c r="A97" s="952"/>
      <c r="B97" s="765"/>
      <c r="C97" s="765"/>
      <c r="D97" s="765"/>
      <c r="E97" s="765"/>
      <c r="F97" s="765"/>
      <c r="G97" s="765"/>
      <c r="H97" s="765"/>
    </row>
    <row r="98" spans="1:8">
      <c r="A98" s="952"/>
      <c r="B98" s="765"/>
      <c r="C98" s="765"/>
      <c r="D98" s="765"/>
      <c r="E98" s="765"/>
      <c r="F98" s="765"/>
      <c r="G98" s="765"/>
      <c r="H98" s="765"/>
    </row>
    <row r="99" spans="1:8">
      <c r="A99" s="952"/>
      <c r="B99" s="765"/>
      <c r="C99" s="765"/>
      <c r="D99" s="765"/>
      <c r="E99" s="765"/>
      <c r="F99" s="765"/>
      <c r="G99" s="765"/>
      <c r="H99" s="765"/>
    </row>
    <row r="100" spans="1:8">
      <c r="A100" s="952"/>
      <c r="B100" s="765"/>
      <c r="C100" s="765"/>
      <c r="D100" s="765"/>
      <c r="E100" s="765"/>
      <c r="F100" s="765"/>
      <c r="G100" s="765"/>
      <c r="H100" s="765"/>
    </row>
    <row r="101" spans="1:8">
      <c r="A101" s="952"/>
      <c r="B101" s="765"/>
      <c r="C101" s="765"/>
      <c r="D101" s="765"/>
      <c r="E101" s="765"/>
      <c r="F101" s="765"/>
      <c r="G101" s="765"/>
      <c r="H101" s="765"/>
    </row>
    <row r="102" spans="1:8">
      <c r="A102" s="952"/>
      <c r="B102" s="765"/>
      <c r="C102" s="765"/>
      <c r="D102" s="765"/>
      <c r="E102" s="765"/>
      <c r="F102" s="765"/>
      <c r="G102" s="765"/>
      <c r="H102" s="765"/>
    </row>
    <row r="103" spans="1:8">
      <c r="A103" s="952"/>
      <c r="B103" s="765"/>
      <c r="C103" s="765"/>
      <c r="D103" s="765"/>
      <c r="E103" s="765"/>
      <c r="F103" s="765"/>
      <c r="G103" s="765"/>
      <c r="H103" s="765"/>
    </row>
    <row r="104" spans="1:8">
      <c r="A104" s="952"/>
      <c r="B104" s="765"/>
      <c r="C104" s="765"/>
      <c r="D104" s="765"/>
      <c r="E104" s="765"/>
      <c r="F104" s="765"/>
      <c r="G104" s="765"/>
      <c r="H104" s="765"/>
    </row>
    <row r="105" spans="1:8">
      <c r="A105" s="952"/>
      <c r="B105" s="765"/>
      <c r="C105" s="765"/>
      <c r="D105" s="765"/>
      <c r="E105" s="765"/>
      <c r="F105" s="765"/>
      <c r="G105" s="765"/>
      <c r="H105" s="765"/>
    </row>
    <row r="106" spans="1:8">
      <c r="A106" s="952"/>
      <c r="B106" s="765"/>
      <c r="C106" s="765"/>
      <c r="D106" s="765"/>
      <c r="E106" s="765"/>
      <c r="F106" s="765"/>
      <c r="G106" s="765"/>
      <c r="H106" s="765"/>
    </row>
    <row r="107" spans="1:8">
      <c r="A107" s="952"/>
      <c r="B107" s="765"/>
      <c r="C107" s="765"/>
      <c r="D107" s="765"/>
      <c r="E107" s="765"/>
      <c r="F107" s="765"/>
      <c r="G107" s="765"/>
      <c r="H107" s="765"/>
    </row>
    <row r="108" spans="1:8">
      <c r="A108" s="952"/>
      <c r="B108" s="765"/>
      <c r="C108" s="765"/>
      <c r="D108" s="765"/>
      <c r="E108" s="765"/>
      <c r="F108" s="765"/>
      <c r="G108" s="765"/>
      <c r="H108" s="765"/>
    </row>
    <row r="109" spans="1:8">
      <c r="A109" s="952"/>
      <c r="B109" s="765"/>
      <c r="C109" s="765"/>
      <c r="D109" s="765"/>
      <c r="E109" s="765"/>
      <c r="F109" s="765"/>
      <c r="G109" s="765"/>
      <c r="H109" s="765"/>
    </row>
    <row r="110" spans="1:8">
      <c r="A110" s="952"/>
      <c r="B110" s="765"/>
      <c r="C110" s="765"/>
      <c r="D110" s="765"/>
      <c r="E110" s="765"/>
      <c r="F110" s="765"/>
      <c r="G110" s="765"/>
      <c r="H110" s="765"/>
    </row>
  </sheetData>
  <mergeCells count="3">
    <mergeCell ref="A1:F1"/>
    <mergeCell ref="F45:H45"/>
    <mergeCell ref="A46:F46"/>
  </mergeCells>
  <pageMargins left="0.7" right="0.7" top="0.75" bottom="0.75" header="0.3" footer="0.3"/>
  <pageSetup paperSize="9" scale="78" orientation="landscape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5"/>
  <dimension ref="A1:G50"/>
  <sheetViews>
    <sheetView showGridLines="0" workbookViewId="0"/>
  </sheetViews>
  <sheetFormatPr defaultRowHeight="12.75"/>
  <cols>
    <col min="1" max="1" width="30.28515625" style="7" customWidth="1"/>
    <col min="2" max="2" width="11.42578125" style="7" bestFit="1" customWidth="1"/>
    <col min="3" max="16384" width="9.140625" style="7"/>
  </cols>
  <sheetData>
    <row r="1" spans="1:7" ht="15.75" customHeight="1">
      <c r="A1" s="133" t="s">
        <v>265</v>
      </c>
      <c r="B1" s="133"/>
      <c r="C1" s="133"/>
      <c r="D1" s="133"/>
      <c r="E1" s="133"/>
      <c r="F1" s="133"/>
    </row>
    <row r="2" spans="1:7">
      <c r="A2" s="32"/>
      <c r="B2" s="33">
        <v>2015</v>
      </c>
      <c r="C2" s="120" t="s">
        <v>114</v>
      </c>
      <c r="D2" s="120" t="s">
        <v>221</v>
      </c>
      <c r="E2" s="120" t="s">
        <v>222</v>
      </c>
      <c r="F2" s="120" t="s">
        <v>223</v>
      </c>
    </row>
    <row r="3" spans="1:7" s="18" customFormat="1">
      <c r="A3" s="23" t="s">
        <v>23</v>
      </c>
      <c r="B3" s="35">
        <v>-7.355856726008316E-3</v>
      </c>
      <c r="C3" s="35">
        <v>-7.1296508069895867E-3</v>
      </c>
      <c r="D3" s="35">
        <v>-6.8373406553401284E-3</v>
      </c>
      <c r="E3" s="35">
        <v>-6.4874533106828091E-3</v>
      </c>
      <c r="F3" s="35">
        <v>-6.0954205716943731E-3</v>
      </c>
    </row>
    <row r="4" spans="1:7">
      <c r="A4" s="40" t="s">
        <v>24</v>
      </c>
      <c r="B4" s="35">
        <v>7.8775778191742911E-3</v>
      </c>
      <c r="C4" s="35" t="s">
        <v>1</v>
      </c>
      <c r="D4" s="35" t="s">
        <v>1</v>
      </c>
      <c r="E4" s="35" t="s">
        <v>1</v>
      </c>
      <c r="F4" s="35" t="s">
        <v>1</v>
      </c>
    </row>
    <row r="5" spans="1:7">
      <c r="A5" s="26" t="s">
        <v>25</v>
      </c>
      <c r="B5" s="127">
        <v>-0.22875850219099808</v>
      </c>
      <c r="C5" s="127" t="s">
        <v>1</v>
      </c>
      <c r="D5" s="35" t="s">
        <v>1</v>
      </c>
      <c r="E5" s="35" t="s">
        <v>1</v>
      </c>
      <c r="F5" s="35" t="s">
        <v>1</v>
      </c>
    </row>
    <row r="6" spans="1:7">
      <c r="A6" s="40" t="s">
        <v>74</v>
      </c>
      <c r="B6" s="35" t="s">
        <v>1</v>
      </c>
      <c r="C6" s="35">
        <v>-5.9126337031012458E-2</v>
      </c>
      <c r="D6" s="35" t="s">
        <v>1</v>
      </c>
      <c r="E6" s="35" t="s">
        <v>1</v>
      </c>
      <c r="F6" s="35" t="s">
        <v>1</v>
      </c>
    </row>
    <row r="7" spans="1:7">
      <c r="A7" s="28" t="s">
        <v>7</v>
      </c>
      <c r="B7" s="42">
        <f>SUM(B3:B6)</f>
        <v>-0.2282367810978321</v>
      </c>
      <c r="C7" s="42">
        <f>SUM(C3:C6)</f>
        <v>-6.6255987838002045E-2</v>
      </c>
      <c r="D7" s="42">
        <f>SUM(D3:D6)</f>
        <v>-6.8373406553401284E-3</v>
      </c>
      <c r="E7" s="42">
        <f>SUM(E3:E6)</f>
        <v>-6.4874533106828091E-3</v>
      </c>
      <c r="F7" s="42">
        <f>SUM(F3:F6)</f>
        <v>-6.0954205716943731E-3</v>
      </c>
    </row>
    <row r="8" spans="1:7">
      <c r="A8" s="22"/>
      <c r="C8" s="34"/>
      <c r="D8" s="34"/>
      <c r="E8" s="1772" t="s">
        <v>5</v>
      </c>
      <c r="F8" s="1772"/>
    </row>
    <row r="11" spans="1:7">
      <c r="B11" s="54"/>
      <c r="C11" s="54"/>
      <c r="D11" s="54"/>
      <c r="E11" s="54"/>
      <c r="F11" s="54"/>
      <c r="G11" s="54"/>
    </row>
    <row r="12" spans="1:7">
      <c r="A12" s="1775"/>
      <c r="B12" s="1775"/>
      <c r="C12" s="1775"/>
      <c r="D12" s="1775"/>
      <c r="E12" s="1775"/>
      <c r="F12" s="64"/>
      <c r="G12" s="40"/>
    </row>
    <row r="13" spans="1:7">
      <c r="A13" s="183"/>
      <c r="B13" s="55"/>
      <c r="C13" s="55"/>
      <c r="D13" s="55"/>
      <c r="E13" s="55"/>
      <c r="F13" s="55"/>
      <c r="G13" s="40"/>
    </row>
    <row r="14" spans="1:7">
      <c r="A14" s="59"/>
      <c r="B14" s="226"/>
      <c r="C14" s="226"/>
      <c r="D14" s="226"/>
      <c r="E14" s="226"/>
      <c r="F14" s="226"/>
      <c r="G14" s="40"/>
    </row>
    <row r="15" spans="1:7">
      <c r="A15" s="59"/>
      <c r="B15" s="226"/>
      <c r="C15" s="226"/>
      <c r="D15" s="226"/>
      <c r="E15" s="226"/>
      <c r="F15" s="226"/>
      <c r="G15" s="40"/>
    </row>
    <row r="16" spans="1:7">
      <c r="A16" s="61"/>
      <c r="B16" s="227"/>
      <c r="C16" s="227"/>
      <c r="D16" s="227"/>
      <c r="E16" s="227"/>
      <c r="F16" s="227"/>
      <c r="G16" s="40"/>
    </row>
    <row r="17" spans="1:7">
      <c r="A17" s="179"/>
      <c r="B17" s="228"/>
      <c r="C17" s="228"/>
      <c r="D17" s="47"/>
      <c r="E17" s="164"/>
      <c r="F17" s="164"/>
      <c r="G17" s="47"/>
    </row>
    <row r="18" spans="1:7">
      <c r="A18" s="59"/>
      <c r="B18" s="60"/>
      <c r="C18" s="63"/>
      <c r="D18" s="63"/>
      <c r="E18" s="63"/>
      <c r="F18" s="47"/>
      <c r="G18" s="47"/>
    </row>
    <row r="19" spans="1:7">
      <c r="A19" s="59"/>
      <c r="B19" s="60"/>
      <c r="C19" s="63"/>
      <c r="D19" s="63"/>
      <c r="E19" s="63"/>
      <c r="F19" s="47"/>
      <c r="G19" s="47"/>
    </row>
    <row r="20" spans="1:7">
      <c r="A20" s="61"/>
      <c r="B20" s="62"/>
      <c r="C20" s="63"/>
      <c r="D20" s="63"/>
      <c r="E20" s="63"/>
      <c r="F20" s="47"/>
      <c r="G20" s="47"/>
    </row>
    <row r="21" spans="1:7">
      <c r="A21" s="64"/>
      <c r="B21" s="65"/>
      <c r="C21" s="65"/>
      <c r="D21" s="65"/>
      <c r="E21" s="65"/>
      <c r="F21" s="47"/>
      <c r="G21" s="47"/>
    </row>
    <row r="22" spans="1:7">
      <c r="A22" s="66"/>
      <c r="B22" s="63"/>
      <c r="C22" s="63"/>
      <c r="D22" s="63"/>
      <c r="E22" s="67"/>
      <c r="F22" s="47"/>
      <c r="G22" s="47"/>
    </row>
    <row r="23" spans="1:7">
      <c r="A23" s="47"/>
      <c r="B23" s="47"/>
      <c r="C23" s="47"/>
      <c r="D23" s="47"/>
      <c r="E23" s="47"/>
      <c r="F23" s="47"/>
      <c r="G23" s="47"/>
    </row>
    <row r="24" spans="1:7">
      <c r="A24" s="1773"/>
      <c r="B24" s="1773"/>
      <c r="C24" s="1773"/>
      <c r="D24" s="1773"/>
      <c r="E24" s="1773"/>
      <c r="F24" s="1773"/>
      <c r="G24" s="47"/>
    </row>
    <row r="25" spans="1:7">
      <c r="A25" s="57"/>
      <c r="B25" s="55"/>
      <c r="C25" s="55"/>
      <c r="D25" s="55"/>
      <c r="E25" s="55"/>
      <c r="F25" s="55"/>
      <c r="G25" s="47"/>
    </row>
    <row r="26" spans="1:7">
      <c r="A26" s="45"/>
      <c r="B26" s="68"/>
      <c r="C26" s="68"/>
      <c r="D26" s="68"/>
      <c r="E26" s="68"/>
      <c r="F26" s="68"/>
      <c r="G26" s="47"/>
    </row>
    <row r="27" spans="1:7">
      <c r="A27" s="45"/>
      <c r="B27" s="68"/>
      <c r="C27" s="68"/>
      <c r="D27" s="68"/>
      <c r="E27" s="68"/>
      <c r="F27" s="68"/>
      <c r="G27" s="47"/>
    </row>
    <row r="28" spans="1:7">
      <c r="A28" s="45"/>
      <c r="B28" s="68"/>
      <c r="C28" s="68"/>
      <c r="D28" s="68"/>
      <c r="E28" s="68"/>
      <c r="F28" s="68"/>
      <c r="G28" s="47"/>
    </row>
    <row r="29" spans="1:7">
      <c r="A29" s="45"/>
      <c r="B29" s="68"/>
      <c r="C29" s="68"/>
      <c r="D29" s="68"/>
      <c r="E29" s="68"/>
      <c r="F29" s="68"/>
      <c r="G29" s="47"/>
    </row>
    <row r="30" spans="1:7">
      <c r="A30" s="45"/>
      <c r="B30" s="68"/>
      <c r="C30" s="68"/>
      <c r="D30" s="68"/>
      <c r="E30" s="68"/>
      <c r="F30" s="68"/>
      <c r="G30" s="47"/>
    </row>
    <row r="31" spans="1:7">
      <c r="A31" s="40"/>
      <c r="B31" s="68"/>
      <c r="C31" s="68"/>
      <c r="D31" s="68"/>
      <c r="E31" s="68"/>
      <c r="F31" s="68"/>
      <c r="G31" s="47"/>
    </row>
    <row r="32" spans="1:7">
      <c r="A32" s="40"/>
      <c r="B32" s="68"/>
      <c r="C32" s="68"/>
      <c r="D32" s="68"/>
      <c r="E32" s="68"/>
      <c r="F32" s="68"/>
      <c r="G32" s="47"/>
    </row>
    <row r="33" spans="1:7">
      <c r="A33" s="40"/>
      <c r="B33" s="68"/>
      <c r="C33" s="68"/>
      <c r="D33" s="68"/>
      <c r="E33" s="68"/>
      <c r="F33" s="68"/>
      <c r="G33" s="47"/>
    </row>
    <row r="34" spans="1:7">
      <c r="A34" s="40"/>
      <c r="B34" s="68"/>
      <c r="C34" s="68"/>
      <c r="D34" s="68"/>
      <c r="E34" s="68"/>
      <c r="F34" s="68"/>
      <c r="G34" s="47"/>
    </row>
    <row r="35" spans="1:7">
      <c r="A35" s="69"/>
      <c r="B35" s="70"/>
      <c r="C35" s="70"/>
      <c r="D35" s="70"/>
      <c r="E35" s="70"/>
      <c r="F35" s="70"/>
      <c r="G35" s="47"/>
    </row>
    <row r="36" spans="1:7">
      <c r="A36" s="71"/>
      <c r="B36" s="72"/>
      <c r="C36" s="68"/>
      <c r="D36" s="68"/>
      <c r="E36" s="68"/>
      <c r="F36" s="68"/>
      <c r="G36" s="47"/>
    </row>
    <row r="37" spans="1:7">
      <c r="A37" s="73"/>
      <c r="B37" s="74"/>
      <c r="C37" s="74"/>
      <c r="D37" s="74"/>
      <c r="E37" s="74"/>
      <c r="F37" s="74"/>
      <c r="G37" s="47"/>
    </row>
    <row r="38" spans="1:7">
      <c r="A38" s="75"/>
      <c r="B38" s="76"/>
      <c r="C38" s="76"/>
      <c r="D38" s="76"/>
      <c r="E38" s="76"/>
      <c r="F38" s="76"/>
      <c r="G38" s="47"/>
    </row>
    <row r="39" spans="1:7">
      <c r="A39" s="47"/>
      <c r="B39" s="47"/>
      <c r="C39" s="47"/>
      <c r="D39" s="47"/>
      <c r="E39" s="1774"/>
      <c r="F39" s="1774"/>
      <c r="G39" s="47"/>
    </row>
    <row r="40" spans="1:7">
      <c r="A40" s="47"/>
      <c r="B40" s="77"/>
      <c r="C40" s="77"/>
      <c r="D40" s="77"/>
      <c r="E40" s="77"/>
      <c r="F40" s="77"/>
      <c r="G40" s="47"/>
    </row>
    <row r="41" spans="1:7">
      <c r="A41" s="47"/>
      <c r="B41" s="47"/>
      <c r="C41" s="47"/>
      <c r="D41" s="47"/>
      <c r="E41" s="47"/>
      <c r="F41" s="47"/>
      <c r="G41" s="47"/>
    </row>
    <row r="42" spans="1:7">
      <c r="A42" s="1773"/>
      <c r="B42" s="1773"/>
      <c r="C42" s="1773"/>
      <c r="D42" s="1773"/>
      <c r="E42" s="1773"/>
      <c r="F42" s="1773"/>
      <c r="G42" s="47"/>
    </row>
    <row r="43" spans="1:7">
      <c r="A43" s="78"/>
      <c r="B43" s="55"/>
      <c r="C43" s="55"/>
      <c r="D43" s="55"/>
      <c r="E43" s="55"/>
      <c r="F43" s="55"/>
      <c r="G43" s="47"/>
    </row>
    <row r="44" spans="1:7">
      <c r="A44" s="47"/>
      <c r="B44" s="60"/>
      <c r="C44" s="60"/>
      <c r="D44" s="60"/>
      <c r="E44" s="60"/>
      <c r="F44" s="60"/>
      <c r="G44" s="47"/>
    </row>
    <row r="45" spans="1:7">
      <c r="A45" s="47"/>
      <c r="B45" s="79"/>
      <c r="C45" s="79"/>
      <c r="D45" s="79"/>
      <c r="E45" s="79"/>
      <c r="F45" s="79"/>
      <c r="G45" s="47"/>
    </row>
    <row r="46" spans="1:7">
      <c r="E46" s="1772"/>
      <c r="F46" s="1772"/>
    </row>
    <row r="50" spans="3:3">
      <c r="C50" s="2"/>
    </row>
  </sheetData>
  <mergeCells count="6">
    <mergeCell ref="E8:F8"/>
    <mergeCell ref="A42:F42"/>
    <mergeCell ref="E46:F46"/>
    <mergeCell ref="A24:F24"/>
    <mergeCell ref="E39:F39"/>
    <mergeCell ref="A12:E12"/>
  </mergeCells>
  <pageMargins left="0.7" right="0.7" top="0.75" bottom="0.75" header="0.3" footer="0.3"/>
  <pageSetup paperSize="9" orientation="landscape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1"/>
  <sheetViews>
    <sheetView showGridLines="0" workbookViewId="0"/>
  </sheetViews>
  <sheetFormatPr defaultRowHeight="12.75"/>
  <cols>
    <col min="1" max="1" width="14" customWidth="1"/>
    <col min="2" max="2" width="44.5703125" bestFit="1" customWidth="1"/>
    <col min="3" max="3" width="12.28515625" customWidth="1"/>
    <col min="4" max="4" width="15.5703125" customWidth="1"/>
  </cols>
  <sheetData>
    <row r="1" spans="1:8">
      <c r="A1" s="128" t="s">
        <v>340</v>
      </c>
      <c r="B1" s="109"/>
      <c r="C1" s="109"/>
      <c r="D1" s="109"/>
    </row>
    <row r="2" spans="1:8" ht="15">
      <c r="A2" s="1649"/>
      <c r="B2" s="1650"/>
      <c r="C2" s="272" t="s">
        <v>1456</v>
      </c>
      <c r="D2" s="272" t="s">
        <v>1457</v>
      </c>
      <c r="G2" s="404"/>
      <c r="H2" s="404"/>
    </row>
    <row r="3" spans="1:8" ht="15">
      <c r="A3" s="1651" t="s">
        <v>1458</v>
      </c>
      <c r="B3" s="1652" t="s">
        <v>1459</v>
      </c>
      <c r="C3" s="1653">
        <v>858</v>
      </c>
      <c r="D3" s="1653">
        <v>858</v>
      </c>
      <c r="G3" s="404"/>
      <c r="H3" s="404"/>
    </row>
    <row r="4" spans="1:8" ht="15">
      <c r="A4" s="1651" t="s">
        <v>1460</v>
      </c>
      <c r="B4" s="1654" t="s">
        <v>1461</v>
      </c>
      <c r="C4" s="1655">
        <v>12</v>
      </c>
      <c r="D4" s="1655">
        <v>6</v>
      </c>
      <c r="G4" s="404"/>
      <c r="H4" s="404"/>
    </row>
    <row r="5" spans="1:8" ht="15">
      <c r="A5" s="1651" t="s">
        <v>1462</v>
      </c>
      <c r="B5" s="1654" t="s">
        <v>1463</v>
      </c>
      <c r="C5" s="1656">
        <v>10296</v>
      </c>
      <c r="D5" s="1656">
        <v>5148</v>
      </c>
      <c r="G5" s="404"/>
      <c r="H5" s="404"/>
    </row>
    <row r="6" spans="1:8">
      <c r="A6" s="1651" t="s">
        <v>1464</v>
      </c>
      <c r="B6" s="1652" t="s">
        <v>1465</v>
      </c>
      <c r="C6" s="1657">
        <v>10296</v>
      </c>
      <c r="D6" s="1657">
        <v>10296</v>
      </c>
    </row>
    <row r="7" spans="1:8">
      <c r="A7" s="1651"/>
      <c r="B7" s="1658"/>
      <c r="C7" s="1658"/>
      <c r="D7" s="1658"/>
    </row>
    <row r="8" spans="1:8">
      <c r="A8" s="1651" t="s">
        <v>1466</v>
      </c>
      <c r="B8" s="1654" t="s">
        <v>1467</v>
      </c>
      <c r="C8" s="1659">
        <v>1</v>
      </c>
      <c r="D8" s="1660">
        <v>0.5</v>
      </c>
    </row>
    <row r="9" spans="1:8">
      <c r="A9" s="1651" t="s">
        <v>1468</v>
      </c>
      <c r="B9" s="1652" t="s">
        <v>1469</v>
      </c>
      <c r="C9" s="1661">
        <v>1</v>
      </c>
      <c r="D9" s="1662">
        <v>0.5</v>
      </c>
    </row>
    <row r="10" spans="1:8">
      <c r="A10" s="1651" t="s">
        <v>1470</v>
      </c>
      <c r="B10" s="1652" t="s">
        <v>1471</v>
      </c>
      <c r="C10" s="1661">
        <v>1</v>
      </c>
      <c r="D10" s="1662">
        <v>0.25</v>
      </c>
    </row>
    <row r="11" spans="1:8">
      <c r="A11" s="1663"/>
      <c r="B11" s="1664" t="s">
        <v>1472</v>
      </c>
      <c r="C11" s="1665"/>
      <c r="D11" s="1666">
        <v>0.25</v>
      </c>
    </row>
  </sheetData>
  <pageMargins left="0.7" right="0.7" top="0.75" bottom="0.75" header="0.3" footer="0.3"/>
  <drawing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48"/>
  <sheetViews>
    <sheetView showGridLines="0" workbookViewId="0"/>
  </sheetViews>
  <sheetFormatPr defaultRowHeight="15"/>
  <cols>
    <col min="1" max="1" width="75.7109375" style="356" customWidth="1"/>
    <col min="2" max="2" width="8.42578125" style="356" hidden="1" customWidth="1"/>
    <col min="3" max="3" width="1.42578125" style="356" hidden="1" customWidth="1"/>
    <col min="4" max="4" width="8.5703125" style="356" hidden="1" customWidth="1"/>
    <col min="5" max="5" width="8.7109375" style="356" hidden="1" customWidth="1"/>
    <col min="6" max="6" width="8" style="356" hidden="1" customWidth="1"/>
    <col min="7" max="7" width="8.5703125" style="356" customWidth="1"/>
    <col min="8" max="13" width="9.140625" style="356"/>
    <col min="14" max="14" width="8.7109375" style="356" customWidth="1"/>
    <col min="15" max="15" width="9.140625" style="356"/>
    <col min="16" max="16" width="9.28515625" style="356" customWidth="1"/>
    <col min="17" max="17" width="9.85546875" style="356" customWidth="1"/>
    <col min="18" max="16384" width="9.140625" style="356"/>
  </cols>
  <sheetData>
    <row r="1" spans="1:22">
      <c r="A1" s="354" t="s">
        <v>295</v>
      </c>
      <c r="B1" s="354"/>
      <c r="C1" s="354"/>
      <c r="D1" s="354"/>
      <c r="E1" s="355"/>
      <c r="F1" s="355"/>
      <c r="G1" s="355"/>
      <c r="J1" s="357"/>
      <c r="K1" s="411"/>
      <c r="L1" s="404"/>
      <c r="M1" s="404"/>
      <c r="N1" s="404"/>
      <c r="O1" s="404"/>
      <c r="P1" s="404"/>
      <c r="Q1" s="404"/>
      <c r="R1" s="404"/>
      <c r="S1" s="404"/>
      <c r="T1" s="404"/>
    </row>
    <row r="2" spans="1:22">
      <c r="A2" s="358"/>
      <c r="B2" s="359">
        <v>2009</v>
      </c>
      <c r="C2" s="359">
        <v>2010</v>
      </c>
      <c r="D2" s="359">
        <v>2011</v>
      </c>
      <c r="E2" s="359">
        <v>2012</v>
      </c>
      <c r="F2" s="359">
        <v>2013</v>
      </c>
      <c r="G2" s="359">
        <v>2014</v>
      </c>
      <c r="H2" s="359">
        <v>2015</v>
      </c>
      <c r="I2" s="359">
        <v>2016</v>
      </c>
      <c r="J2" s="360">
        <v>2017</v>
      </c>
      <c r="K2" s="404"/>
      <c r="L2" s="404"/>
      <c r="M2" s="404"/>
      <c r="N2" s="404"/>
      <c r="O2" s="404"/>
      <c r="P2" s="404"/>
      <c r="Q2" s="404"/>
      <c r="R2" s="404"/>
      <c r="S2" s="404"/>
      <c r="T2" s="404"/>
    </row>
    <row r="3" spans="1:22">
      <c r="A3" s="361" t="s">
        <v>269</v>
      </c>
      <c r="B3" s="361"/>
      <c r="C3" s="361"/>
      <c r="D3" s="362">
        <v>28827.822</v>
      </c>
      <c r="E3" s="362">
        <v>29539.481000000003</v>
      </c>
      <c r="F3" s="362">
        <v>30736.550999999996</v>
      </c>
      <c r="G3" s="362">
        <v>31910.615999999998</v>
      </c>
      <c r="H3" s="362">
        <v>35850.419000000002</v>
      </c>
      <c r="I3" s="362">
        <v>34191.271430376044</v>
      </c>
      <c r="J3" s="362"/>
      <c r="K3" s="404"/>
      <c r="L3" s="411"/>
      <c r="M3" s="404"/>
      <c r="N3" s="404"/>
      <c r="O3" s="404"/>
      <c r="P3" s="404"/>
      <c r="Q3" s="404"/>
      <c r="R3" s="404"/>
      <c r="S3" s="404"/>
      <c r="T3" s="404"/>
    </row>
    <row r="4" spans="1:22">
      <c r="A4" s="363" t="s">
        <v>270</v>
      </c>
      <c r="B4" s="363"/>
      <c r="C4" s="363"/>
      <c r="D4" s="364">
        <v>1079.231</v>
      </c>
      <c r="E4" s="364">
        <v>1283.2670000000001</v>
      </c>
      <c r="F4" s="364">
        <v>1387.038</v>
      </c>
      <c r="G4" s="364">
        <v>1443.6010000000001</v>
      </c>
      <c r="H4" s="364">
        <v>1379.4069999999999</v>
      </c>
      <c r="I4" s="365">
        <v>1222.5</v>
      </c>
      <c r="J4" s="365"/>
      <c r="K4" s="404"/>
      <c r="L4" s="411"/>
      <c r="M4" s="404"/>
      <c r="N4" s="404"/>
      <c r="O4" s="404"/>
      <c r="P4" s="404"/>
      <c r="Q4" s="404"/>
      <c r="R4" s="404"/>
      <c r="S4" s="404"/>
      <c r="T4" s="404"/>
    </row>
    <row r="5" spans="1:22">
      <c r="A5" s="363" t="s">
        <v>271</v>
      </c>
      <c r="B5" s="364">
        <v>903.52031133999992</v>
      </c>
      <c r="C5" s="364">
        <v>871.25023450000003</v>
      </c>
      <c r="D5" s="364">
        <v>1066.4957270999996</v>
      </c>
      <c r="E5" s="364">
        <v>1059.4342243000001</v>
      </c>
      <c r="F5" s="364">
        <v>1232.17736074</v>
      </c>
      <c r="G5" s="364">
        <v>1295.4268882200006</v>
      </c>
      <c r="H5" s="364">
        <v>2793.4854567200009</v>
      </c>
      <c r="I5" s="364">
        <v>930.72872903666689</v>
      </c>
      <c r="J5" s="364"/>
      <c r="K5" s="404"/>
      <c r="L5" s="411"/>
      <c r="M5" s="404"/>
      <c r="N5" s="404"/>
      <c r="O5" s="404"/>
      <c r="P5" s="404"/>
      <c r="Q5" s="404"/>
      <c r="R5" s="412"/>
      <c r="S5" s="412"/>
      <c r="T5" s="412"/>
      <c r="U5" s="366"/>
      <c r="V5" s="366"/>
    </row>
    <row r="6" spans="1:22">
      <c r="A6" s="367" t="s">
        <v>272</v>
      </c>
      <c r="B6" s="364">
        <v>593.32376229999988</v>
      </c>
      <c r="C6" s="364">
        <v>671.04174111999987</v>
      </c>
      <c r="D6" s="364">
        <v>910.19075858000008</v>
      </c>
      <c r="E6" s="364">
        <v>888.31833684999992</v>
      </c>
      <c r="F6" s="364">
        <v>983.49998002999996</v>
      </c>
      <c r="G6" s="364">
        <v>994.52508780000005</v>
      </c>
      <c r="H6" s="364">
        <v>2352.0020075500001</v>
      </c>
      <c r="I6" s="364">
        <v>700.72872903666689</v>
      </c>
      <c r="J6" s="364"/>
      <c r="K6" s="404"/>
      <c r="L6" s="411"/>
      <c r="M6" s="404"/>
      <c r="N6" s="404"/>
      <c r="O6" s="404"/>
      <c r="P6" s="404"/>
      <c r="Q6" s="412"/>
      <c r="R6" s="412"/>
      <c r="S6" s="412"/>
      <c r="T6" s="412"/>
      <c r="U6" s="366"/>
      <c r="V6" s="366"/>
    </row>
    <row r="7" spans="1:22">
      <c r="A7" s="363" t="s">
        <v>273</v>
      </c>
      <c r="B7" s="364">
        <f t="shared" ref="B7:I7" si="0">B23-B6</f>
        <v>1893.6362377</v>
      </c>
      <c r="C7" s="364">
        <f t="shared" si="0"/>
        <v>1770.0462588799999</v>
      </c>
      <c r="D7" s="364">
        <f t="shared" si="0"/>
        <v>1781.56824142</v>
      </c>
      <c r="E7" s="364">
        <f t="shared" si="0"/>
        <v>1547.4926631500002</v>
      </c>
      <c r="F7" s="364">
        <f t="shared" si="0"/>
        <v>1482.58001997</v>
      </c>
      <c r="G7" s="364">
        <f t="shared" si="0"/>
        <v>2028.8849121999997</v>
      </c>
      <c r="H7" s="364">
        <f t="shared" si="0"/>
        <v>2598.6429924500003</v>
      </c>
      <c r="I7" s="364">
        <f t="shared" si="0"/>
        <v>2273.5343526867191</v>
      </c>
      <c r="J7" s="364"/>
      <c r="K7" s="404"/>
      <c r="L7" s="411"/>
      <c r="M7" s="404"/>
      <c r="N7" s="404"/>
      <c r="O7" s="404"/>
      <c r="P7" s="404"/>
      <c r="Q7" s="412"/>
      <c r="R7" s="412"/>
      <c r="S7" s="412"/>
      <c r="T7" s="412"/>
      <c r="U7" s="366"/>
      <c r="V7" s="366"/>
    </row>
    <row r="8" spans="1:22">
      <c r="A8" s="368" t="s">
        <v>274</v>
      </c>
      <c r="B8" s="369"/>
      <c r="C8" s="369"/>
      <c r="D8" s="364"/>
      <c r="E8" s="364">
        <f>AVERAGE(B7:E7)</f>
        <v>1748.1858502875</v>
      </c>
      <c r="F8" s="364">
        <f>AVERAGE(C7:F7)</f>
        <v>1645.421795855</v>
      </c>
      <c r="G8" s="364">
        <f>AVERAGE(D7:G7)</f>
        <v>1710.131459185</v>
      </c>
      <c r="H8" s="364">
        <f>AVERAGE(E7:H7)</f>
        <v>1914.4001469425002</v>
      </c>
      <c r="I8" s="364">
        <f>AVERAGE(F7:I7)</f>
        <v>2095.9105693266802</v>
      </c>
      <c r="J8" s="364"/>
      <c r="K8" s="404"/>
      <c r="L8" s="411"/>
      <c r="M8" s="404"/>
      <c r="N8" s="404"/>
      <c r="O8" s="404"/>
      <c r="P8" s="404"/>
      <c r="Q8" s="412"/>
      <c r="R8" s="412"/>
      <c r="S8" s="412"/>
      <c r="T8" s="412"/>
      <c r="U8" s="366"/>
      <c r="V8" s="366"/>
    </row>
    <row r="9" spans="1:22">
      <c r="A9" s="368" t="s">
        <v>275</v>
      </c>
      <c r="B9" s="368"/>
      <c r="C9" s="368"/>
      <c r="D9" s="370">
        <v>-10.609905688490345</v>
      </c>
      <c r="E9" s="370">
        <v>-6.3423797351661024</v>
      </c>
      <c r="F9" s="370">
        <v>-32.9686783534233</v>
      </c>
      <c r="G9" s="370">
        <v>-47.144559756464666</v>
      </c>
      <c r="H9" s="370">
        <v>-8.8702612214010905</v>
      </c>
      <c r="I9" s="370">
        <v>51.618511176578302</v>
      </c>
      <c r="J9" s="370"/>
      <c r="K9" s="404"/>
      <c r="L9" s="411"/>
      <c r="M9" s="404"/>
      <c r="N9" s="404"/>
      <c r="O9" s="404"/>
      <c r="P9" s="413"/>
      <c r="Q9" s="414"/>
      <c r="R9" s="414"/>
      <c r="S9" s="357"/>
      <c r="T9" s="404"/>
    </row>
    <row r="10" spans="1:22">
      <c r="A10" s="369" t="s">
        <v>276</v>
      </c>
      <c r="B10" s="369"/>
      <c r="C10" s="369"/>
      <c r="D10" s="364">
        <v>-245.4516623223615</v>
      </c>
      <c r="E10" s="364">
        <v>-93.242976136087535</v>
      </c>
      <c r="F10" s="364">
        <v>-3.3405904491641767</v>
      </c>
      <c r="G10" s="364">
        <v>146.34450443445604</v>
      </c>
      <c r="H10" s="364">
        <v>185.78800000000001</v>
      </c>
      <c r="I10" s="364">
        <v>53.787999999999997</v>
      </c>
      <c r="J10" s="364"/>
      <c r="K10" s="404"/>
      <c r="L10" s="411"/>
      <c r="M10" s="404"/>
      <c r="N10" s="404"/>
      <c r="O10" s="404"/>
      <c r="P10" s="413"/>
      <c r="Q10" s="414"/>
      <c r="R10" s="414"/>
      <c r="S10" s="357"/>
      <c r="T10" s="404"/>
    </row>
    <row r="11" spans="1:22">
      <c r="A11" s="371" t="s">
        <v>277</v>
      </c>
      <c r="B11" s="371"/>
      <c r="C11" s="371"/>
      <c r="D11" s="372"/>
      <c r="E11" s="372">
        <f>E3-E4-E5-E7+E8-E9-E10</f>
        <v>27497.058318708754</v>
      </c>
      <c r="F11" s="372">
        <f>F3-F4-F5-F7+F8-F9-F10</f>
        <v>28316.486683947584</v>
      </c>
      <c r="G11" s="372">
        <f>G3-G4-G5-G7+G8-G9-G10</f>
        <v>28753.634714087006</v>
      </c>
      <c r="H11" s="372">
        <f>H3-H4-H5-H7+H8-H9-H10</f>
        <v>30816.365958993902</v>
      </c>
      <c r="I11" s="372">
        <f>I3-I4-I5-I7+I8-I9-I10</f>
        <v>31755.012406802762</v>
      </c>
      <c r="J11" s="372"/>
      <c r="K11" s="404"/>
      <c r="L11" s="404"/>
      <c r="M11" s="404"/>
      <c r="N11" s="404"/>
      <c r="O11" s="404"/>
      <c r="P11" s="404"/>
      <c r="Q11" s="404"/>
      <c r="R11" s="404"/>
      <c r="S11" s="404"/>
      <c r="T11" s="404"/>
    </row>
    <row r="12" spans="1:22">
      <c r="A12" s="373" t="s">
        <v>278</v>
      </c>
      <c r="B12" s="373"/>
      <c r="C12" s="373"/>
      <c r="D12" s="373"/>
      <c r="E12" s="364"/>
      <c r="F12" s="364">
        <f>F11-E11</f>
        <v>819.42836523882943</v>
      </c>
      <c r="G12" s="364">
        <f>G11-F11</f>
        <v>437.14803013942219</v>
      </c>
      <c r="H12" s="364">
        <f>H11-G11</f>
        <v>2062.7312449068959</v>
      </c>
      <c r="I12" s="364">
        <f>I11-H11</f>
        <v>938.6464478088601</v>
      </c>
      <c r="J12" s="364"/>
      <c r="K12" s="364"/>
      <c r="L12" s="404"/>
      <c r="M12" s="404"/>
      <c r="N12" s="404"/>
      <c r="O12" s="404"/>
      <c r="P12" s="404"/>
      <c r="Q12" s="404"/>
      <c r="R12" s="404"/>
      <c r="S12" s="404"/>
      <c r="T12" s="404"/>
    </row>
    <row r="13" spans="1:22">
      <c r="A13" s="374" t="s">
        <v>279</v>
      </c>
      <c r="B13" s="374"/>
      <c r="C13" s="374"/>
      <c r="D13" s="374"/>
      <c r="E13" s="364"/>
      <c r="F13" s="364">
        <v>1255.5963366129772</v>
      </c>
      <c r="G13" s="364">
        <v>-15.278952519582562</v>
      </c>
      <c r="H13" s="365">
        <v>252.03148369000013</v>
      </c>
      <c r="I13" s="365">
        <v>18.131211829999927</v>
      </c>
      <c r="J13" s="365"/>
      <c r="K13" s="404"/>
      <c r="L13" s="411"/>
      <c r="M13" s="404"/>
      <c r="N13" s="404"/>
      <c r="O13" s="404"/>
      <c r="P13" s="404"/>
      <c r="Q13" s="404"/>
      <c r="R13" s="404"/>
      <c r="S13" s="404"/>
      <c r="T13" s="404"/>
    </row>
    <row r="14" spans="1:22" ht="18.75" customHeight="1">
      <c r="A14" s="375" t="s">
        <v>280</v>
      </c>
      <c r="B14" s="375"/>
      <c r="C14" s="375"/>
      <c r="D14" s="373"/>
      <c r="E14" s="376"/>
      <c r="F14" s="376">
        <f>((F12-F13)/E11)*100</f>
        <v>-1.5862350303755328</v>
      </c>
      <c r="G14" s="376">
        <f>((G12-G13)/F11)*100</f>
        <v>1.5977511183104591</v>
      </c>
      <c r="H14" s="376">
        <f>((H12-H13)/G11)*100</f>
        <v>6.2972899921059238</v>
      </c>
      <c r="I14" s="376">
        <f>((I12-I13)/H11)*100</f>
        <v>2.9870985995031107</v>
      </c>
      <c r="J14" s="376"/>
      <c r="K14" s="404"/>
      <c r="L14" s="404"/>
      <c r="M14" s="404"/>
      <c r="N14" s="404"/>
      <c r="O14" s="404"/>
      <c r="P14" s="404"/>
      <c r="Q14" s="404"/>
      <c r="R14" s="407"/>
      <c r="S14" s="404"/>
      <c r="T14" s="404"/>
    </row>
    <row r="15" spans="1:22">
      <c r="A15" s="375" t="s">
        <v>281</v>
      </c>
      <c r="B15" s="375"/>
      <c r="C15" s="375"/>
      <c r="D15" s="373"/>
      <c r="E15" s="378"/>
      <c r="F15" s="378">
        <v>0.51858293588770721</v>
      </c>
      <c r="G15" s="378">
        <v>-0.17119231214374508</v>
      </c>
      <c r="H15" s="378">
        <v>-0.21607777740543099</v>
      </c>
      <c r="I15" s="378">
        <v>-0.38936672116301452</v>
      </c>
      <c r="J15" s="378"/>
      <c r="K15" s="404"/>
      <c r="L15" s="411"/>
      <c r="M15" s="404"/>
      <c r="N15" s="404"/>
      <c r="O15" s="404"/>
      <c r="P15" s="404"/>
      <c r="Q15" s="404"/>
      <c r="R15" s="407"/>
      <c r="S15" s="404"/>
      <c r="T15" s="404"/>
    </row>
    <row r="16" spans="1:22">
      <c r="A16" s="379" t="s">
        <v>282</v>
      </c>
      <c r="B16" s="379"/>
      <c r="C16" s="379"/>
      <c r="D16" s="380"/>
      <c r="E16" s="381"/>
      <c r="F16" s="381">
        <f>(((1+F14/100)/(1+F15/100))-1)*100</f>
        <v>-2.0939590519354345</v>
      </c>
      <c r="G16" s="381">
        <f>(((1+G14/100)/(1+G15/100))-1)*100</f>
        <v>1.7719769187120038</v>
      </c>
      <c r="H16" s="381">
        <f>(((1+H14/100)/(1+H15/100))-1)*100</f>
        <v>6.5274721863323393</v>
      </c>
      <c r="I16" s="381">
        <f>(((1+I14/100)/(1+I15/100))-1)*100</f>
        <v>3.389663542459842</v>
      </c>
      <c r="J16" s="381"/>
      <c r="K16" s="404"/>
      <c r="L16" s="404"/>
      <c r="M16" s="404"/>
      <c r="N16" s="404"/>
      <c r="O16" s="404"/>
      <c r="P16" s="360"/>
      <c r="Q16" s="404"/>
      <c r="R16" s="404"/>
      <c r="S16" s="360"/>
      <c r="T16" s="404"/>
    </row>
    <row r="17" spans="1:20">
      <c r="A17" s="382" t="s">
        <v>283</v>
      </c>
      <c r="B17" s="382"/>
      <c r="C17" s="382"/>
      <c r="D17" s="382"/>
      <c r="E17" s="370"/>
      <c r="F17" s="370">
        <v>2.0295509610511075</v>
      </c>
      <c r="G17" s="370">
        <v>1.974237303445614</v>
      </c>
      <c r="H17" s="370">
        <v>2.9909089988917836</v>
      </c>
      <c r="I17" s="370">
        <v>3.4774868023307981</v>
      </c>
      <c r="J17" s="370"/>
      <c r="K17" s="404"/>
      <c r="L17" s="411"/>
      <c r="M17" s="404"/>
      <c r="N17" s="404"/>
      <c r="O17" s="404"/>
      <c r="P17" s="376"/>
      <c r="Q17" s="415"/>
      <c r="R17" s="404"/>
      <c r="S17" s="404"/>
      <c r="T17" s="404"/>
    </row>
    <row r="18" spans="1:20">
      <c r="A18" s="382" t="s">
        <v>284</v>
      </c>
      <c r="B18" s="382"/>
      <c r="C18" s="382"/>
      <c r="D18" s="382"/>
      <c r="E18" s="370"/>
      <c r="F18" s="370">
        <f>F$24/(E11/F44)</f>
        <v>2.2397786061863005</v>
      </c>
      <c r="G18" s="370">
        <f>G$24/(F11/G44)</f>
        <v>2.2270576407738027</v>
      </c>
      <c r="H18" s="370">
        <f>H$24/(G11/H44)</f>
        <v>2.2723024826397085</v>
      </c>
      <c r="I18" s="370">
        <f>I$24/(H11/I44)</f>
        <v>1.005137498115642</v>
      </c>
      <c r="J18" s="370"/>
      <c r="K18" s="404"/>
      <c r="L18" s="383"/>
      <c r="M18" s="384"/>
      <c r="N18" s="384"/>
      <c r="O18" s="384"/>
      <c r="P18" s="384"/>
      <c r="Q18" s="404"/>
      <c r="R18" s="404"/>
      <c r="S18" s="384"/>
      <c r="T18" s="404"/>
    </row>
    <row r="19" spans="1:20">
      <c r="A19" s="380" t="s">
        <v>285</v>
      </c>
      <c r="B19" s="380"/>
      <c r="C19" s="380"/>
      <c r="D19" s="380"/>
      <c r="E19" s="381"/>
      <c r="F19" s="381">
        <f>F17-F18</f>
        <v>-0.21022764513519299</v>
      </c>
      <c r="G19" s="381">
        <f>G17-G18</f>
        <v>-0.25282033732818876</v>
      </c>
      <c r="H19" s="381">
        <f>H17-H18</f>
        <v>0.71860651625207517</v>
      </c>
      <c r="I19" s="381">
        <f>I17-I18</f>
        <v>2.4723493042151561</v>
      </c>
      <c r="J19" s="381"/>
      <c r="K19" s="404"/>
      <c r="L19" s="404"/>
      <c r="M19" s="404"/>
      <c r="N19" s="404"/>
      <c r="O19" s="404"/>
      <c r="P19" s="404"/>
      <c r="Q19" s="404"/>
      <c r="R19" s="404"/>
      <c r="S19" s="404"/>
      <c r="T19" s="404"/>
    </row>
    <row r="20" spans="1:20">
      <c r="A20" s="385" t="s">
        <v>286</v>
      </c>
      <c r="B20" s="385"/>
      <c r="C20" s="385"/>
      <c r="D20" s="385"/>
      <c r="E20" s="386"/>
      <c r="F20" s="386" t="s">
        <v>287</v>
      </c>
      <c r="G20" s="386" t="s">
        <v>288</v>
      </c>
      <c r="H20" s="386" t="s">
        <v>288</v>
      </c>
      <c r="I20" s="386" t="s">
        <v>288</v>
      </c>
      <c r="J20" s="387"/>
      <c r="K20" s="404"/>
      <c r="L20" s="416"/>
      <c r="M20" s="416"/>
      <c r="N20" s="417"/>
      <c r="O20" s="404"/>
      <c r="P20" s="404"/>
      <c r="Q20" s="404"/>
      <c r="R20" s="404"/>
      <c r="S20" s="404"/>
      <c r="T20" s="404"/>
    </row>
    <row r="21" spans="1:20">
      <c r="A21" s="388" t="s">
        <v>289</v>
      </c>
      <c r="B21" s="388"/>
      <c r="C21" s="388"/>
      <c r="D21" s="388"/>
      <c r="E21" s="377"/>
      <c r="F21" s="389">
        <f>((F19-F16)*E11)/F44</f>
        <v>0.69835704712517521</v>
      </c>
      <c r="G21" s="389">
        <f>((G19-G16)*F11)/G44</f>
        <v>-0.75494222949811618</v>
      </c>
      <c r="H21" s="389">
        <f>((H19-H16)*G11)/H44</f>
        <v>-2.1227009971416391</v>
      </c>
      <c r="I21" s="390">
        <f>((I19-I16)*H11)/I44</f>
        <v>-0.34820844096535991</v>
      </c>
      <c r="J21" s="357"/>
      <c r="N21" s="391"/>
    </row>
    <row r="22" spans="1:20">
      <c r="A22" s="392" t="s">
        <v>290</v>
      </c>
      <c r="B22" s="392"/>
      <c r="C22" s="392"/>
      <c r="D22" s="392"/>
      <c r="E22" s="393"/>
      <c r="F22" s="381"/>
      <c r="G22" s="394"/>
      <c r="H22" s="394">
        <f>SUM(F21:H21)</f>
        <v>-2.1792861795145799</v>
      </c>
      <c r="I22" s="394"/>
      <c r="J22" s="370"/>
      <c r="N22" s="391"/>
      <c r="O22" s="391"/>
      <c r="P22" s="395"/>
      <c r="Q22" s="395"/>
    </row>
    <row r="23" spans="1:20">
      <c r="A23" s="396" t="s">
        <v>291</v>
      </c>
      <c r="B23" s="396">
        <v>2486.96</v>
      </c>
      <c r="C23" s="396">
        <v>2441.0879999999997</v>
      </c>
      <c r="D23" s="397">
        <v>2691.759</v>
      </c>
      <c r="E23" s="397">
        <v>2435.8110000000001</v>
      </c>
      <c r="F23" s="397">
        <v>2466.08</v>
      </c>
      <c r="G23" s="397">
        <v>3023.41</v>
      </c>
      <c r="H23" s="397">
        <v>4950.6450000000004</v>
      </c>
      <c r="I23" s="397">
        <v>2974.2630817233862</v>
      </c>
      <c r="J23" s="370"/>
    </row>
    <row r="24" spans="1:20">
      <c r="A24" s="398" t="s">
        <v>292</v>
      </c>
      <c r="B24" s="399"/>
      <c r="C24" s="399"/>
      <c r="D24" s="399"/>
      <c r="E24" s="400">
        <f>P18</f>
        <v>0</v>
      </c>
      <c r="F24" s="400">
        <v>0.83035467157567844</v>
      </c>
      <c r="G24" s="400">
        <v>0.83035467157567844</v>
      </c>
      <c r="H24" s="400">
        <v>0.83035467157567844</v>
      </c>
      <c r="I24" s="400">
        <v>0.38154576325382533</v>
      </c>
      <c r="K24" s="401"/>
    </row>
    <row r="25" spans="1:20">
      <c r="I25" s="402" t="s">
        <v>293</v>
      </c>
      <c r="J25" s="370"/>
    </row>
    <row r="26" spans="1:20">
      <c r="A26" s="403"/>
      <c r="B26" s="403"/>
      <c r="C26" s="403"/>
      <c r="D26" s="403"/>
      <c r="E26" s="404"/>
      <c r="F26" s="404"/>
      <c r="G26" s="404"/>
      <c r="H26" s="404"/>
      <c r="J26" s="402"/>
    </row>
    <row r="27" spans="1:20">
      <c r="A27" s="405"/>
      <c r="B27" s="405"/>
      <c r="C27" s="405"/>
      <c r="D27" s="405"/>
      <c r="J27" s="402"/>
    </row>
    <row r="28" spans="1:20">
      <c r="A28" s="405"/>
      <c r="B28" s="405"/>
      <c r="C28" s="405"/>
      <c r="D28" s="405"/>
    </row>
    <row r="29" spans="1:20">
      <c r="A29" s="405"/>
      <c r="B29" s="405"/>
      <c r="C29" s="405"/>
      <c r="D29" s="405"/>
      <c r="G29" s="389"/>
      <c r="H29" s="389"/>
      <c r="I29" s="389"/>
      <c r="J29" s="389"/>
      <c r="K29" s="389"/>
    </row>
    <row r="30" spans="1:20">
      <c r="A30" s="405"/>
      <c r="B30" s="405"/>
      <c r="C30" s="405"/>
      <c r="D30" s="405"/>
      <c r="G30" s="389"/>
      <c r="H30" s="389"/>
      <c r="I30" s="389"/>
      <c r="J30" s="389"/>
      <c r="K30" s="389"/>
    </row>
    <row r="31" spans="1:20">
      <c r="A31" s="405"/>
      <c r="B31" s="405"/>
      <c r="C31" s="405"/>
      <c r="D31" s="405"/>
      <c r="J31" s="402"/>
    </row>
    <row r="32" spans="1:20">
      <c r="A32" s="405"/>
      <c r="B32" s="405"/>
      <c r="C32" s="405"/>
      <c r="D32" s="405"/>
      <c r="J32" s="402"/>
    </row>
    <row r="33" spans="1:26">
      <c r="A33" s="405"/>
      <c r="B33" s="405"/>
      <c r="C33" s="405"/>
      <c r="D33" s="405"/>
      <c r="J33" s="402"/>
    </row>
    <row r="34" spans="1:26">
      <c r="A34" s="405"/>
      <c r="B34" s="405"/>
      <c r="C34" s="405"/>
      <c r="D34" s="405"/>
      <c r="J34" s="402"/>
    </row>
    <row r="35" spans="1:26">
      <c r="A35" s="405"/>
      <c r="B35" s="405"/>
      <c r="C35" s="405"/>
      <c r="D35" s="405"/>
      <c r="J35" s="402"/>
    </row>
    <row r="36" spans="1:26">
      <c r="A36" s="405"/>
      <c r="B36" s="405"/>
      <c r="C36" s="405"/>
      <c r="D36" s="405"/>
      <c r="J36" s="402"/>
    </row>
    <row r="37" spans="1:26">
      <c r="A37" s="405"/>
      <c r="B37" s="405"/>
      <c r="C37" s="405"/>
      <c r="D37" s="405"/>
      <c r="J37" s="402"/>
    </row>
    <row r="38" spans="1:26">
      <c r="A38" s="405"/>
      <c r="B38" s="405"/>
      <c r="C38" s="405"/>
      <c r="D38" s="405"/>
      <c r="J38" s="402"/>
    </row>
    <row r="39" spans="1:26">
      <c r="A39" s="405"/>
      <c r="B39" s="405"/>
      <c r="C39" s="405"/>
      <c r="D39" s="405"/>
      <c r="J39" s="402"/>
    </row>
    <row r="40" spans="1:26">
      <c r="A40" s="405"/>
      <c r="B40" s="405"/>
      <c r="C40" s="405"/>
      <c r="D40" s="405"/>
      <c r="J40" s="402"/>
    </row>
    <row r="41" spans="1:26">
      <c r="A41" s="405"/>
      <c r="B41" s="405"/>
      <c r="C41" s="405"/>
      <c r="D41" s="405"/>
      <c r="J41" s="402"/>
    </row>
    <row r="42" spans="1:26">
      <c r="A42" s="405"/>
      <c r="B42" s="405"/>
      <c r="C42" s="405"/>
      <c r="D42" s="405"/>
      <c r="J42" s="402"/>
    </row>
    <row r="43" spans="1:26" s="377" customFormat="1" ht="12">
      <c r="A43" s="408"/>
      <c r="B43" s="408"/>
      <c r="C43" s="408"/>
      <c r="D43" s="406">
        <v>2011</v>
      </c>
      <c r="E43" s="406">
        <v>2012</v>
      </c>
      <c r="F43" s="406">
        <v>2013</v>
      </c>
      <c r="G43" s="406">
        <v>2014</v>
      </c>
      <c r="H43" s="406">
        <v>2015</v>
      </c>
      <c r="I43" s="406">
        <v>2016</v>
      </c>
      <c r="W43" s="406"/>
      <c r="X43" s="406"/>
    </row>
    <row r="44" spans="1:26" s="377" customFormat="1" ht="12">
      <c r="A44" s="377" t="s">
        <v>294</v>
      </c>
      <c r="D44" s="410">
        <v>70627.199999999997</v>
      </c>
      <c r="E44" s="410">
        <v>72703.5</v>
      </c>
      <c r="F44" s="410">
        <v>74169.899999999994</v>
      </c>
      <c r="G44" s="410">
        <v>75946.399999999994</v>
      </c>
      <c r="H44" s="410">
        <v>78685.600000000006</v>
      </c>
      <c r="I44" s="410">
        <v>81182.096524639157</v>
      </c>
      <c r="W44" s="410"/>
      <c r="X44" s="407"/>
    </row>
    <row r="47" spans="1:26" ht="16.5">
      <c r="E47" s="409"/>
      <c r="F47" s="409"/>
      <c r="G47" s="409"/>
      <c r="H47" s="409"/>
      <c r="I47" s="409"/>
      <c r="J47" s="409"/>
      <c r="K47" s="409"/>
      <c r="L47" s="409"/>
      <c r="M47" s="409"/>
      <c r="N47" s="409"/>
      <c r="O47" s="409"/>
      <c r="P47" s="409"/>
      <c r="Q47" s="409"/>
      <c r="R47" s="409"/>
      <c r="S47" s="409"/>
      <c r="T47" s="409"/>
      <c r="U47" s="409"/>
      <c r="V47" s="409"/>
      <c r="W47" s="409"/>
      <c r="X47" s="409"/>
      <c r="Y47" s="409"/>
      <c r="Z47" s="409"/>
    </row>
    <row r="48" spans="1:26" ht="16.5">
      <c r="E48" s="409"/>
      <c r="F48" s="409"/>
      <c r="G48" s="409"/>
      <c r="H48" s="409"/>
      <c r="I48" s="409"/>
      <c r="J48" s="409"/>
      <c r="K48" s="409"/>
      <c r="L48" s="409"/>
      <c r="M48" s="409"/>
      <c r="N48" s="409"/>
      <c r="O48" s="409"/>
      <c r="P48" s="409"/>
      <c r="Q48" s="409"/>
      <c r="R48" s="409"/>
      <c r="S48" s="409"/>
      <c r="T48" s="409"/>
      <c r="U48" s="409"/>
      <c r="V48" s="409"/>
      <c r="W48" s="409"/>
      <c r="X48" s="409"/>
      <c r="Y48" s="409"/>
      <c r="Z48" s="409"/>
    </row>
  </sheetData>
  <pageMargins left="0.7" right="0.7" top="0.75" bottom="0.75" header="0.3" footer="0.3"/>
  <pageSetup paperSize="9" scale="58" orientation="landscape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M53"/>
  <sheetViews>
    <sheetView showGridLines="0" workbookViewId="0"/>
  </sheetViews>
  <sheetFormatPr defaultRowHeight="12"/>
  <cols>
    <col min="1" max="1" width="51" style="40" customWidth="1"/>
    <col min="2" max="2" width="10" style="40" bestFit="1" customWidth="1"/>
    <col min="3" max="3" width="10.28515625" style="40" bestFit="1" customWidth="1"/>
    <col min="4" max="4" width="10.140625" style="40" bestFit="1" customWidth="1"/>
    <col min="5" max="5" width="9.85546875" style="40" bestFit="1" customWidth="1"/>
    <col min="6" max="6" width="10" style="40" bestFit="1" customWidth="1"/>
    <col min="7" max="7" width="9.140625" style="40"/>
    <col min="8" max="8" width="53.42578125" style="40" bestFit="1" customWidth="1"/>
    <col min="9" max="16384" width="9.140625" style="40"/>
  </cols>
  <sheetData>
    <row r="1" spans="1:13" ht="15" customHeight="1">
      <c r="A1" s="237" t="s">
        <v>268</v>
      </c>
      <c r="B1" s="117"/>
      <c r="C1" s="118"/>
      <c r="D1" s="1776"/>
      <c r="E1" s="1776"/>
      <c r="F1" s="1776"/>
      <c r="H1" s="237" t="s">
        <v>267</v>
      </c>
    </row>
    <row r="2" spans="1:13">
      <c r="A2" s="119"/>
      <c r="B2" s="120" t="s">
        <v>82</v>
      </c>
      <c r="C2" s="120" t="s">
        <v>114</v>
      </c>
      <c r="D2" s="120" t="s">
        <v>221</v>
      </c>
      <c r="E2" s="120" t="s">
        <v>222</v>
      </c>
      <c r="F2" s="120" t="s">
        <v>223</v>
      </c>
      <c r="H2" s="119"/>
      <c r="I2" s="120" t="s">
        <v>82</v>
      </c>
      <c r="J2" s="120" t="s">
        <v>114</v>
      </c>
      <c r="K2" s="120" t="s">
        <v>221</v>
      </c>
      <c r="L2" s="120" t="s">
        <v>222</v>
      </c>
      <c r="M2" s="120" t="s">
        <v>223</v>
      </c>
    </row>
    <row r="3" spans="1:13">
      <c r="A3" s="73" t="s">
        <v>26</v>
      </c>
      <c r="B3" s="121">
        <f>B4+B17+B20+B25</f>
        <v>30678.123</v>
      </c>
      <c r="C3" s="121">
        <f>C4+C17+C20+C25</f>
        <v>32072.526999999998</v>
      </c>
      <c r="D3" s="121">
        <f>D4+D17+D20+D25</f>
        <v>33414.580999999998</v>
      </c>
      <c r="E3" s="121">
        <f>E4+E17+E20+E25</f>
        <v>35242.577000000005</v>
      </c>
      <c r="F3" s="121">
        <f>F4+F17+F20+F25</f>
        <v>36479.297000000006</v>
      </c>
      <c r="H3" s="73" t="s">
        <v>26</v>
      </c>
      <c r="I3" s="150">
        <f>B3/B$53*100</f>
        <v>38.039641541983848</v>
      </c>
      <c r="J3" s="150">
        <f>C3/C$53*100</f>
        <v>39.818002983669167</v>
      </c>
      <c r="K3" s="150">
        <f>D3/D$53*100</f>
        <v>39.783342782318179</v>
      </c>
      <c r="L3" s="150">
        <f>E3/E$53*100</f>
        <v>39.812544749829506</v>
      </c>
      <c r="M3" s="150">
        <f>F3/F$53*100</f>
        <v>38.719360287799084</v>
      </c>
    </row>
    <row r="4" spans="1:13">
      <c r="A4" s="110" t="s">
        <v>27</v>
      </c>
      <c r="B4" s="122">
        <f>B5+B10+B16</f>
        <v>14463.661</v>
      </c>
      <c r="C4" s="122">
        <f>C5+C10+C16</f>
        <v>14945.011</v>
      </c>
      <c r="D4" s="122">
        <f>D5+D10+D16</f>
        <v>15627.312000000002</v>
      </c>
      <c r="E4" s="122">
        <f>E5+E10+E16</f>
        <v>16380.196</v>
      </c>
      <c r="F4" s="122">
        <f>F5+F10+F16</f>
        <v>17236.809000000001</v>
      </c>
      <c r="H4" s="110" t="s">
        <v>27</v>
      </c>
      <c r="I4" s="151">
        <f t="shared" ref="I4:I49" si="0">B4/B$53*100</f>
        <v>17.934359276960055</v>
      </c>
      <c r="J4" s="151">
        <f t="shared" ref="J4:J49" si="1">C4/C$53*100</f>
        <v>18.554212849800351</v>
      </c>
      <c r="K4" s="151">
        <f t="shared" ref="K4:K49" si="2">D4/D$53*100</f>
        <v>18.605850842847151</v>
      </c>
      <c r="L4" s="151">
        <f t="shared" ref="L4:L49" si="3">E4/E$53*100</f>
        <v>18.504245199236653</v>
      </c>
      <c r="M4" s="151">
        <f t="shared" ref="M4:M49" si="4">F4/F$53*100</f>
        <v>18.295259853362246</v>
      </c>
    </row>
    <row r="5" spans="1:13">
      <c r="A5" s="111" t="s">
        <v>28</v>
      </c>
      <c r="B5" s="123">
        <v>8735.9709999999995</v>
      </c>
      <c r="C5" s="123">
        <v>8688.1380000000008</v>
      </c>
      <c r="D5" s="123">
        <v>9138.4410000000007</v>
      </c>
      <c r="E5" s="123">
        <v>9441.7450000000008</v>
      </c>
      <c r="F5" s="123">
        <v>9856.5360000000001</v>
      </c>
      <c r="H5" s="111" t="s">
        <v>28</v>
      </c>
      <c r="I5" s="152">
        <f t="shared" si="0"/>
        <v>10.832253503943711</v>
      </c>
      <c r="J5" s="152">
        <f t="shared" si="1"/>
        <v>10.786312684576727</v>
      </c>
      <c r="K5" s="152">
        <f t="shared" si="2"/>
        <v>10.880212168424034</v>
      </c>
      <c r="L5" s="152">
        <f t="shared" si="3"/>
        <v>10.666072896115939</v>
      </c>
      <c r="M5" s="152">
        <f t="shared" si="4"/>
        <v>10.461790658237247</v>
      </c>
    </row>
    <row r="6" spans="1:13">
      <c r="A6" s="112" t="s">
        <v>29</v>
      </c>
      <c r="B6" s="123">
        <v>5623.7510000000002</v>
      </c>
      <c r="C6" s="123">
        <v>5513.8960000000006</v>
      </c>
      <c r="D6" s="123">
        <v>5759.7039999999997</v>
      </c>
      <c r="E6" s="123">
        <v>5978.598</v>
      </c>
      <c r="F6" s="123">
        <v>6265.3419999999996</v>
      </c>
      <c r="H6" s="112" t="s">
        <v>29</v>
      </c>
      <c r="I6" s="152">
        <f t="shared" si="0"/>
        <v>6.9732255836308239</v>
      </c>
      <c r="J6" s="152">
        <f t="shared" si="1"/>
        <v>6.8454951298237754</v>
      </c>
      <c r="K6" s="152">
        <f t="shared" si="2"/>
        <v>6.8574936958416179</v>
      </c>
      <c r="L6" s="152">
        <f t="shared" si="3"/>
        <v>6.7538534544803897</v>
      </c>
      <c r="M6" s="152">
        <f t="shared" si="4"/>
        <v>6.6500742660769925</v>
      </c>
    </row>
    <row r="7" spans="1:13">
      <c r="A7" s="112" t="s">
        <v>30</v>
      </c>
      <c r="B7" s="123">
        <v>2162.5479999999998</v>
      </c>
      <c r="C7" s="123">
        <v>2168.8579999999997</v>
      </c>
      <c r="D7" s="123">
        <v>2259.7530000000002</v>
      </c>
      <c r="E7" s="123">
        <v>2320.1750000000002</v>
      </c>
      <c r="F7" s="123">
        <v>2417.7159999999999</v>
      </c>
      <c r="H7" s="112" t="s">
        <v>30</v>
      </c>
      <c r="I7" s="152">
        <f t="shared" si="0"/>
        <v>2.6814727464693351</v>
      </c>
      <c r="J7" s="152">
        <f t="shared" si="1"/>
        <v>2.6926345502851943</v>
      </c>
      <c r="K7" s="152">
        <f t="shared" si="2"/>
        <v>2.6904580429235927</v>
      </c>
      <c r="L7" s="152">
        <f t="shared" si="3"/>
        <v>2.6210362260096831</v>
      </c>
      <c r="M7" s="152">
        <f t="shared" si="4"/>
        <v>2.5661793010313887</v>
      </c>
    </row>
    <row r="8" spans="1:13">
      <c r="A8" s="112" t="s">
        <v>31</v>
      </c>
      <c r="B8" s="123">
        <v>0</v>
      </c>
      <c r="C8" s="123">
        <v>0</v>
      </c>
      <c r="D8" s="123">
        <v>0</v>
      </c>
      <c r="E8" s="123">
        <v>0</v>
      </c>
      <c r="F8" s="123">
        <v>0</v>
      </c>
      <c r="H8" s="112" t="s">
        <v>31</v>
      </c>
      <c r="I8" s="152">
        <f t="shared" si="0"/>
        <v>0</v>
      </c>
      <c r="J8" s="152">
        <f t="shared" si="1"/>
        <v>0</v>
      </c>
      <c r="K8" s="152">
        <f t="shared" si="2"/>
        <v>0</v>
      </c>
      <c r="L8" s="152">
        <f t="shared" si="3"/>
        <v>0</v>
      </c>
      <c r="M8" s="152">
        <f t="shared" si="4"/>
        <v>0</v>
      </c>
    </row>
    <row r="9" spans="1:13">
      <c r="A9" s="112" t="s">
        <v>32</v>
      </c>
      <c r="B9" s="123">
        <v>233.477</v>
      </c>
      <c r="C9" s="123">
        <v>235.756</v>
      </c>
      <c r="D9" s="123">
        <v>241.744</v>
      </c>
      <c r="E9" s="123">
        <v>246.60300000000001</v>
      </c>
      <c r="F9" s="123">
        <v>252.167</v>
      </c>
      <c r="H9" s="112" t="s">
        <v>32</v>
      </c>
      <c r="I9" s="152">
        <f t="shared" si="0"/>
        <v>0.28950211159586797</v>
      </c>
      <c r="J9" s="152">
        <f t="shared" si="1"/>
        <v>0.29269078521370984</v>
      </c>
      <c r="K9" s="152">
        <f t="shared" si="2"/>
        <v>0.28781999144531323</v>
      </c>
      <c r="L9" s="152">
        <f t="shared" si="3"/>
        <v>0.27858045037234946</v>
      </c>
      <c r="M9" s="152">
        <f t="shared" si="4"/>
        <v>0.26765167447424848</v>
      </c>
    </row>
    <row r="10" spans="1:13">
      <c r="A10" s="113" t="s">
        <v>33</v>
      </c>
      <c r="B10" s="123">
        <v>5727.69</v>
      </c>
      <c r="C10" s="123">
        <v>6256.8729999999996</v>
      </c>
      <c r="D10" s="123">
        <v>6488.8710000000001</v>
      </c>
      <c r="E10" s="123">
        <v>6938.451</v>
      </c>
      <c r="F10" s="123">
        <v>7380.2730000000001</v>
      </c>
      <c r="H10" s="113" t="s">
        <v>33</v>
      </c>
      <c r="I10" s="152">
        <f t="shared" si="0"/>
        <v>7.1021057730163424</v>
      </c>
      <c r="J10" s="152">
        <f t="shared" si="1"/>
        <v>7.7679001652236224</v>
      </c>
      <c r="K10" s="152">
        <f t="shared" si="2"/>
        <v>7.7256386744231129</v>
      </c>
      <c r="L10" s="152">
        <f t="shared" si="3"/>
        <v>7.838172303120718</v>
      </c>
      <c r="M10" s="152">
        <f t="shared" si="4"/>
        <v>7.8334691951249997</v>
      </c>
    </row>
    <row r="11" spans="1:13">
      <c r="A11" s="112" t="s">
        <v>34</v>
      </c>
      <c r="B11" s="123">
        <v>2554.893</v>
      </c>
      <c r="C11" s="123">
        <v>2653.03</v>
      </c>
      <c r="D11" s="123">
        <v>2815.1619999999998</v>
      </c>
      <c r="E11" s="123">
        <v>2999.3029999999999</v>
      </c>
      <c r="F11" s="123">
        <v>3204.2559999999999</v>
      </c>
      <c r="H11" s="112" t="s">
        <v>34</v>
      </c>
      <c r="I11" s="152">
        <f t="shared" si="0"/>
        <v>3.1679648033917771</v>
      </c>
      <c r="J11" s="152">
        <f t="shared" si="1"/>
        <v>3.29373349520491</v>
      </c>
      <c r="K11" s="152">
        <f t="shared" si="2"/>
        <v>3.3517270449614918</v>
      </c>
      <c r="L11" s="152">
        <f t="shared" si="3"/>
        <v>3.3882279637439074</v>
      </c>
      <c r="M11" s="152">
        <f t="shared" si="4"/>
        <v>3.4010179121144226</v>
      </c>
    </row>
    <row r="12" spans="1:13">
      <c r="A12" s="115" t="s">
        <v>35</v>
      </c>
      <c r="B12" s="123">
        <v>2676.886</v>
      </c>
      <c r="C12" s="123">
        <v>3070.942</v>
      </c>
      <c r="D12" s="123">
        <v>3005.0250000000001</v>
      </c>
      <c r="E12" s="123">
        <v>3191.337</v>
      </c>
      <c r="F12" s="123">
        <v>3467.558</v>
      </c>
      <c r="H12" s="115" t="s">
        <v>35</v>
      </c>
      <c r="I12" s="152">
        <f t="shared" si="0"/>
        <v>3.319231228349758</v>
      </c>
      <c r="J12" s="152">
        <f t="shared" si="1"/>
        <v>3.8125707312889618</v>
      </c>
      <c r="K12" s="152">
        <f t="shared" si="2"/>
        <v>3.5777776068607796</v>
      </c>
      <c r="L12" s="152">
        <f t="shared" si="3"/>
        <v>3.6051633546629298</v>
      </c>
      <c r="M12" s="152">
        <f t="shared" si="4"/>
        <v>3.6804883471531809</v>
      </c>
    </row>
    <row r="13" spans="1:13">
      <c r="A13" s="115" t="s">
        <v>36</v>
      </c>
      <c r="B13" s="123">
        <v>166.803</v>
      </c>
      <c r="C13" s="123">
        <v>174.61099999999999</v>
      </c>
      <c r="D13" s="123">
        <v>190.024</v>
      </c>
      <c r="E13" s="123">
        <v>261.44400000000002</v>
      </c>
      <c r="F13" s="123">
        <v>268.79899999999998</v>
      </c>
      <c r="H13" s="115" t="s">
        <v>36</v>
      </c>
      <c r="I13" s="152">
        <f t="shared" si="0"/>
        <v>0.20682902692995697</v>
      </c>
      <c r="J13" s="152">
        <f t="shared" si="1"/>
        <v>0.21677934261249376</v>
      </c>
      <c r="K13" s="152">
        <f t="shared" si="2"/>
        <v>0.22624224822293088</v>
      </c>
      <c r="L13" s="152">
        <f t="shared" si="3"/>
        <v>0.29534590928394433</v>
      </c>
      <c r="M13" s="152">
        <f t="shared" si="4"/>
        <v>0.28530498616791067</v>
      </c>
    </row>
    <row r="14" spans="1:13">
      <c r="A14" s="115" t="s">
        <v>37</v>
      </c>
      <c r="B14" s="123">
        <v>0</v>
      </c>
      <c r="C14" s="123">
        <v>0</v>
      </c>
      <c r="D14" s="123">
        <v>0</v>
      </c>
      <c r="E14" s="123">
        <v>0</v>
      </c>
      <c r="F14" s="123">
        <v>0</v>
      </c>
      <c r="H14" s="115" t="s">
        <v>37</v>
      </c>
      <c r="I14" s="152">
        <f t="shared" si="0"/>
        <v>0</v>
      </c>
      <c r="J14" s="152">
        <f t="shared" si="1"/>
        <v>0</v>
      </c>
      <c r="K14" s="152">
        <f t="shared" si="2"/>
        <v>0</v>
      </c>
      <c r="L14" s="152">
        <f t="shared" si="3"/>
        <v>0</v>
      </c>
      <c r="M14" s="152">
        <f t="shared" si="4"/>
        <v>0</v>
      </c>
    </row>
    <row r="15" spans="1:13">
      <c r="A15" s="115" t="s">
        <v>32</v>
      </c>
      <c r="B15" s="123">
        <v>107.562</v>
      </c>
      <c r="C15" s="123">
        <v>108.702</v>
      </c>
      <c r="D15" s="123">
        <v>111.367</v>
      </c>
      <c r="E15" s="123">
        <v>113.274</v>
      </c>
      <c r="F15" s="123">
        <v>115.42700000000001</v>
      </c>
      <c r="H15" s="115" t="s">
        <v>32</v>
      </c>
      <c r="I15" s="152">
        <f t="shared" si="0"/>
        <v>0.13337256401047959</v>
      </c>
      <c r="J15" s="152">
        <f t="shared" si="1"/>
        <v>0.13495339984687851</v>
      </c>
      <c r="K15" s="152">
        <f t="shared" si="2"/>
        <v>0.13259335903803279</v>
      </c>
      <c r="L15" s="152">
        <f t="shared" si="3"/>
        <v>0.12796244139559335</v>
      </c>
      <c r="M15" s="152">
        <f t="shared" si="4"/>
        <v>0.12251495964792809</v>
      </c>
    </row>
    <row r="16" spans="1:13">
      <c r="A16" s="111" t="s">
        <v>38</v>
      </c>
      <c r="B16" s="123">
        <v>0</v>
      </c>
      <c r="C16" s="123">
        <v>0</v>
      </c>
      <c r="D16" s="123">
        <v>0</v>
      </c>
      <c r="E16" s="123">
        <v>0</v>
      </c>
      <c r="F16" s="123">
        <v>0</v>
      </c>
      <c r="H16" s="111" t="s">
        <v>38</v>
      </c>
      <c r="I16" s="152">
        <f t="shared" si="0"/>
        <v>0</v>
      </c>
      <c r="J16" s="152">
        <f t="shared" si="1"/>
        <v>0</v>
      </c>
      <c r="K16" s="152">
        <f t="shared" si="2"/>
        <v>0</v>
      </c>
      <c r="L16" s="152">
        <f t="shared" si="3"/>
        <v>0</v>
      </c>
      <c r="M16" s="152">
        <f t="shared" si="4"/>
        <v>0</v>
      </c>
    </row>
    <row r="17" spans="1:13">
      <c r="A17" s="110" t="s">
        <v>39</v>
      </c>
      <c r="B17" s="122">
        <f>B18+B19</f>
        <v>10907.697</v>
      </c>
      <c r="C17" s="122">
        <f>C18+C19</f>
        <v>11520.681999999999</v>
      </c>
      <c r="D17" s="122">
        <f>D18+D19</f>
        <v>11941.597999999998</v>
      </c>
      <c r="E17" s="122">
        <f>E18+E19</f>
        <v>12501.901000000002</v>
      </c>
      <c r="F17" s="122">
        <f>F18+F19</f>
        <v>13152.304</v>
      </c>
      <c r="H17" s="110" t="s">
        <v>39</v>
      </c>
      <c r="I17" s="151">
        <f t="shared" si="0"/>
        <v>13.525106602140314</v>
      </c>
      <c r="J17" s="151">
        <f t="shared" si="1"/>
        <v>14.302912590888262</v>
      </c>
      <c r="K17" s="151">
        <f t="shared" si="2"/>
        <v>14.217646080992161</v>
      </c>
      <c r="L17" s="151">
        <f t="shared" si="3"/>
        <v>14.123044776789115</v>
      </c>
      <c r="M17" s="151">
        <f t="shared" si="4"/>
        <v>13.959939995298182</v>
      </c>
    </row>
    <row r="18" spans="1:13">
      <c r="A18" s="111" t="s">
        <v>40</v>
      </c>
      <c r="B18" s="124">
        <v>10762.893</v>
      </c>
      <c r="C18" s="124">
        <v>11353.898999999999</v>
      </c>
      <c r="D18" s="124">
        <v>11765.242999999999</v>
      </c>
      <c r="E18" s="124">
        <v>12326.647000000001</v>
      </c>
      <c r="F18" s="124">
        <v>12976.723</v>
      </c>
      <c r="H18" s="111" t="s">
        <v>40</v>
      </c>
      <c r="I18" s="153">
        <f t="shared" si="0"/>
        <v>13.345555452487337</v>
      </c>
      <c r="J18" s="153">
        <f t="shared" si="1"/>
        <v>14.095851700686959</v>
      </c>
      <c r="K18" s="153">
        <f t="shared" si="2"/>
        <v>14.007678120706329</v>
      </c>
      <c r="L18" s="153">
        <f t="shared" si="3"/>
        <v>13.925065278366322</v>
      </c>
      <c r="M18" s="153">
        <f t="shared" si="4"/>
        <v>13.773577193441225</v>
      </c>
    </row>
    <row r="19" spans="1:13">
      <c r="A19" s="111" t="s">
        <v>41</v>
      </c>
      <c r="B19" s="123">
        <v>144.804</v>
      </c>
      <c r="C19" s="123">
        <v>166.78300000000002</v>
      </c>
      <c r="D19" s="123">
        <v>176.35499999999999</v>
      </c>
      <c r="E19" s="123">
        <v>175.25399999999999</v>
      </c>
      <c r="F19" s="123">
        <v>175.58099999999999</v>
      </c>
      <c r="H19" s="111" t="s">
        <v>41</v>
      </c>
      <c r="I19" s="152">
        <f t="shared" si="0"/>
        <v>0.17955114965297678</v>
      </c>
      <c r="J19" s="152">
        <f t="shared" si="1"/>
        <v>0.20706089020130208</v>
      </c>
      <c r="K19" s="152">
        <f t="shared" si="2"/>
        <v>0.20996796028583214</v>
      </c>
      <c r="L19" s="152">
        <f t="shared" si="3"/>
        <v>0.19797949842279178</v>
      </c>
      <c r="M19" s="152">
        <f t="shared" si="4"/>
        <v>0.18636280185695603</v>
      </c>
    </row>
    <row r="20" spans="1:13">
      <c r="A20" s="110" t="s">
        <v>42</v>
      </c>
      <c r="B20" s="125">
        <f>B21+B22</f>
        <v>3580.9389999999999</v>
      </c>
      <c r="C20" s="125">
        <f>C21+C22</f>
        <v>3753.779</v>
      </c>
      <c r="D20" s="125">
        <f>D21+D22</f>
        <v>3935.0600000000004</v>
      </c>
      <c r="E20" s="125">
        <f>E21+E22</f>
        <v>3978.2660000000001</v>
      </c>
      <c r="F20" s="125">
        <f>F21+F22</f>
        <v>4038.7860000000001</v>
      </c>
      <c r="H20" s="110" t="s">
        <v>42</v>
      </c>
      <c r="I20" s="154">
        <f t="shared" si="0"/>
        <v>4.4402206726829441</v>
      </c>
      <c r="J20" s="154">
        <f t="shared" si="1"/>
        <v>4.6603120303565317</v>
      </c>
      <c r="K20" s="154">
        <f t="shared" si="2"/>
        <v>4.6850756814514298</v>
      </c>
      <c r="L20" s="154">
        <f t="shared" si="3"/>
        <v>4.4941348401317303</v>
      </c>
      <c r="M20" s="154">
        <f t="shared" si="4"/>
        <v>4.2867934176286049</v>
      </c>
    </row>
    <row r="21" spans="1:13">
      <c r="A21" s="111" t="s">
        <v>43</v>
      </c>
      <c r="B21" s="123">
        <v>3020.2779999999998</v>
      </c>
      <c r="C21" s="123">
        <v>3174.473</v>
      </c>
      <c r="D21" s="123">
        <v>3387.1220000000003</v>
      </c>
      <c r="E21" s="123">
        <v>3430.2040000000002</v>
      </c>
      <c r="F21" s="123">
        <v>3483.6759999999999</v>
      </c>
      <c r="H21" s="111" t="s">
        <v>43</v>
      </c>
      <c r="I21" s="152">
        <f t="shared" si="0"/>
        <v>3.7450235295405747</v>
      </c>
      <c r="J21" s="152">
        <f t="shared" si="1"/>
        <v>3.9411043409699906</v>
      </c>
      <c r="K21" s="152">
        <f t="shared" si="2"/>
        <v>4.0327016391895238</v>
      </c>
      <c r="L21" s="152">
        <f t="shared" si="3"/>
        <v>3.8750046641323692</v>
      </c>
      <c r="M21" s="152">
        <f t="shared" si="4"/>
        <v>3.6975960959433714</v>
      </c>
    </row>
    <row r="22" spans="1:13">
      <c r="A22" s="111" t="s">
        <v>44</v>
      </c>
      <c r="B22" s="123">
        <v>560.66099999999994</v>
      </c>
      <c r="C22" s="123">
        <v>579.30599999999993</v>
      </c>
      <c r="D22" s="123">
        <v>547.93799999999999</v>
      </c>
      <c r="E22" s="123">
        <v>548.06200000000001</v>
      </c>
      <c r="F22" s="123">
        <v>555.11</v>
      </c>
      <c r="H22" s="111" t="s">
        <v>44</v>
      </c>
      <c r="I22" s="152">
        <f t="shared" si="0"/>
        <v>0.69519714314236902</v>
      </c>
      <c r="J22" s="152">
        <f t="shared" si="1"/>
        <v>0.71920768938654112</v>
      </c>
      <c r="K22" s="152">
        <f t="shared" si="2"/>
        <v>0.65237404226190532</v>
      </c>
      <c r="L22" s="152">
        <f t="shared" si="3"/>
        <v>0.6191301759993616</v>
      </c>
      <c r="M22" s="152">
        <f t="shared" si="4"/>
        <v>0.58919732168523276</v>
      </c>
    </row>
    <row r="23" spans="1:13">
      <c r="A23" s="115" t="s">
        <v>45</v>
      </c>
      <c r="B23" s="123">
        <v>465.29500000000002</v>
      </c>
      <c r="C23" s="123">
        <v>483.19300000000004</v>
      </c>
      <c r="D23" s="123">
        <v>452.43299999999999</v>
      </c>
      <c r="E23" s="123">
        <v>452.928</v>
      </c>
      <c r="F23" s="123">
        <v>459.83300000000003</v>
      </c>
      <c r="H23" s="115" t="s">
        <v>45</v>
      </c>
      <c r="I23" s="152">
        <f t="shared" si="0"/>
        <v>0.57694712976010221</v>
      </c>
      <c r="J23" s="152">
        <f t="shared" si="1"/>
        <v>0.59988351761892855</v>
      </c>
      <c r="K23" s="152">
        <f t="shared" si="2"/>
        <v>0.53866595319667665</v>
      </c>
      <c r="L23" s="152">
        <f t="shared" si="3"/>
        <v>0.51165998072305485</v>
      </c>
      <c r="M23" s="152">
        <f t="shared" si="4"/>
        <v>0.48806970154111018</v>
      </c>
    </row>
    <row r="24" spans="1:13">
      <c r="A24" s="115" t="s">
        <v>46</v>
      </c>
      <c r="B24" s="123">
        <v>47.076000000000001</v>
      </c>
      <c r="C24" s="123">
        <v>44.177000000000007</v>
      </c>
      <c r="D24" s="123">
        <v>43.39</v>
      </c>
      <c r="E24" s="123">
        <v>43.317</v>
      </c>
      <c r="F24" s="123">
        <v>43.46</v>
      </c>
      <c r="H24" s="115" t="s">
        <v>46</v>
      </c>
      <c r="I24" s="152">
        <f t="shared" si="0"/>
        <v>5.8372351047371179E-2</v>
      </c>
      <c r="J24" s="152">
        <f t="shared" si="1"/>
        <v>5.4845691385950142E-2</v>
      </c>
      <c r="K24" s="152">
        <f t="shared" si="2"/>
        <v>5.166005952086563E-2</v>
      </c>
      <c r="L24" s="152">
        <f t="shared" si="3"/>
        <v>4.8933992566104464E-2</v>
      </c>
      <c r="M24" s="152">
        <f t="shared" si="4"/>
        <v>4.6128723316892536E-2</v>
      </c>
    </row>
    <row r="25" spans="1:13">
      <c r="A25" s="110" t="s">
        <v>47</v>
      </c>
      <c r="B25" s="125">
        <v>1725.826</v>
      </c>
      <c r="C25" s="125">
        <v>1853.0549999999998</v>
      </c>
      <c r="D25" s="125">
        <v>1910.6109999999999</v>
      </c>
      <c r="E25" s="125">
        <v>2382.2139999999999</v>
      </c>
      <c r="F25" s="125">
        <v>2051.3980000000001</v>
      </c>
      <c r="H25" s="110" t="s">
        <v>47</v>
      </c>
      <c r="I25" s="154">
        <f t="shared" si="0"/>
        <v>2.1399549902005353</v>
      </c>
      <c r="J25" s="154">
        <f t="shared" si="1"/>
        <v>2.300565512624031</v>
      </c>
      <c r="K25" s="154">
        <f t="shared" si="2"/>
        <v>2.2747701770274396</v>
      </c>
      <c r="L25" s="154">
        <f t="shared" si="3"/>
        <v>2.6911199336719993</v>
      </c>
      <c r="M25" s="154">
        <f t="shared" si="4"/>
        <v>2.1773670215100487</v>
      </c>
    </row>
    <row r="26" spans="1:13">
      <c r="A26" s="111" t="s">
        <v>48</v>
      </c>
      <c r="B26" s="123">
        <v>1093.943</v>
      </c>
      <c r="C26" s="123">
        <v>1014.8440000000001</v>
      </c>
      <c r="D26" s="123">
        <v>1148.5540000000001</v>
      </c>
      <c r="E26" s="123">
        <v>1643.8779999999999</v>
      </c>
      <c r="F26" s="123">
        <v>1337.825</v>
      </c>
      <c r="H26" s="111" t="s">
        <v>48</v>
      </c>
      <c r="I26" s="152">
        <f t="shared" si="0"/>
        <v>1.3564454248834728</v>
      </c>
      <c r="J26" s="152">
        <f t="shared" si="1"/>
        <v>1.2599275828798511</v>
      </c>
      <c r="K26" s="152">
        <f t="shared" si="2"/>
        <v>1.3674664209017817</v>
      </c>
      <c r="L26" s="152">
        <f t="shared" si="3"/>
        <v>1.8570425890893341</v>
      </c>
      <c r="M26" s="152">
        <f t="shared" si="4"/>
        <v>1.4199760531850383</v>
      </c>
    </row>
    <row r="27" spans="1:13">
      <c r="A27" s="73" t="s">
        <v>51</v>
      </c>
      <c r="B27" s="121">
        <f>B29+B30+B31+B32+B33+B35+B44+B46</f>
        <v>32234.626</v>
      </c>
      <c r="C27" s="121">
        <f>C29+C30+C31+C32+C33+C35+C44+C46</f>
        <v>33659.318999999996</v>
      </c>
      <c r="D27" s="121">
        <f>D29+D30+D31+D32+D33+D35+D44+D46</f>
        <v>34498.070000000007</v>
      </c>
      <c r="E27" s="121">
        <f>E29+E30+E31+E32+E33+E35+E44+E46</f>
        <v>35632.071000000004</v>
      </c>
      <c r="F27" s="121">
        <f>F29+F30+F31+F32+F33+F35+F44+F46</f>
        <v>36328.554000000004</v>
      </c>
      <c r="H27" s="73" t="s">
        <v>51</v>
      </c>
      <c r="I27" s="150">
        <f t="shared" si="0"/>
        <v>39.969642806370928</v>
      </c>
      <c r="J27" s="150">
        <f t="shared" si="1"/>
        <v>41.788003307948649</v>
      </c>
      <c r="K27" s="150">
        <f t="shared" si="2"/>
        <v>41.073342925904335</v>
      </c>
      <c r="L27" s="150">
        <f t="shared" si="3"/>
        <v>40.252545130754825</v>
      </c>
      <c r="M27" s="150">
        <f t="shared" si="4"/>
        <v>38.559360698775649</v>
      </c>
    </row>
    <row r="28" spans="1:13">
      <c r="A28" s="110" t="s">
        <v>52</v>
      </c>
      <c r="B28" s="125">
        <f>B29+B30+B31+B32+B33+B35+B44</f>
        <v>29781.785</v>
      </c>
      <c r="C28" s="125">
        <f>C29+C30+C31+C32+C33+C35+C44</f>
        <v>30411.631999999998</v>
      </c>
      <c r="D28" s="125">
        <f>D29+D30+D31+D32+D33+D35+D44</f>
        <v>31307.553000000004</v>
      </c>
      <c r="E28" s="125">
        <f>E29+E30+E31+E32+E33+E35+E44</f>
        <v>32280.559000000001</v>
      </c>
      <c r="F28" s="125">
        <f>F29+F30+F31+F32+F33+F35+F44</f>
        <v>33622.987000000001</v>
      </c>
      <c r="H28" s="110" t="s">
        <v>52</v>
      </c>
      <c r="I28" s="154">
        <f t="shared" si="0"/>
        <v>36.928218388081682</v>
      </c>
      <c r="J28" s="154">
        <f t="shared" si="1"/>
        <v>37.756003875661207</v>
      </c>
      <c r="K28" s="154">
        <f t="shared" si="2"/>
        <v>37.274718862241421</v>
      </c>
      <c r="L28" s="154">
        <f t="shared" si="3"/>
        <v>36.466436598464732</v>
      </c>
      <c r="M28" s="154">
        <f t="shared" si="4"/>
        <v>35.68765449632938</v>
      </c>
    </row>
    <row r="29" spans="1:13">
      <c r="A29" s="111" t="s">
        <v>53</v>
      </c>
      <c r="B29" s="123">
        <v>6857.2639999999992</v>
      </c>
      <c r="C29" s="123">
        <v>7222.4569999999994</v>
      </c>
      <c r="D29" s="123">
        <v>7342.7070000000003</v>
      </c>
      <c r="E29" s="123">
        <v>7699.1589999999997</v>
      </c>
      <c r="F29" s="123">
        <v>8085.4849999999997</v>
      </c>
      <c r="H29" s="111" t="s">
        <v>53</v>
      </c>
      <c r="I29" s="152">
        <f t="shared" si="0"/>
        <v>8.5027322081846499</v>
      </c>
      <c r="J29" s="152">
        <f t="shared" si="1"/>
        <v>8.9666715184438797</v>
      </c>
      <c r="K29" s="152">
        <f t="shared" si="2"/>
        <v>8.7422143504096965</v>
      </c>
      <c r="L29" s="152">
        <f t="shared" si="3"/>
        <v>8.6975226648026478</v>
      </c>
      <c r="M29" s="152">
        <f t="shared" si="4"/>
        <v>8.5819857443139629</v>
      </c>
    </row>
    <row r="30" spans="1:13">
      <c r="A30" s="111" t="s">
        <v>54</v>
      </c>
      <c r="B30" s="123">
        <v>4125.3379999999997</v>
      </c>
      <c r="C30" s="123">
        <v>4511.6189999999997</v>
      </c>
      <c r="D30" s="123">
        <v>4717.027</v>
      </c>
      <c r="E30" s="123">
        <v>4645.7870000000003</v>
      </c>
      <c r="F30" s="123">
        <v>4730.0879999999997</v>
      </c>
      <c r="H30" s="111" t="s">
        <v>54</v>
      </c>
      <c r="I30" s="152">
        <f t="shared" si="0"/>
        <v>5.1152535883477794</v>
      </c>
      <c r="J30" s="152">
        <f t="shared" si="1"/>
        <v>5.6011694620501382</v>
      </c>
      <c r="K30" s="152">
        <f t="shared" si="2"/>
        <v>5.6160842494014807</v>
      </c>
      <c r="L30" s="152">
        <f t="shared" si="3"/>
        <v>5.2482144774962434</v>
      </c>
      <c r="M30" s="152">
        <f t="shared" si="4"/>
        <v>5.0205458034181678</v>
      </c>
    </row>
    <row r="31" spans="1:13">
      <c r="A31" s="111" t="s">
        <v>55</v>
      </c>
      <c r="B31" s="123">
        <v>44.134999999999998</v>
      </c>
      <c r="C31" s="123">
        <v>44.140999999999998</v>
      </c>
      <c r="D31" s="123">
        <v>49.786000000000001</v>
      </c>
      <c r="E31" s="123">
        <v>50.771000000000001</v>
      </c>
      <c r="F31" s="123">
        <v>49.805999999999997</v>
      </c>
      <c r="H31" s="111" t="s">
        <v>55</v>
      </c>
      <c r="I31" s="152">
        <f t="shared" si="0"/>
        <v>5.4725629056753475E-2</v>
      </c>
      <c r="J31" s="152">
        <f t="shared" si="1"/>
        <v>5.4800997430047876E-2</v>
      </c>
      <c r="K31" s="152">
        <f t="shared" si="2"/>
        <v>5.9275126142102237E-2</v>
      </c>
      <c r="L31" s="152">
        <f t="shared" si="3"/>
        <v>5.7354566026587478E-2</v>
      </c>
      <c r="M31" s="152">
        <f t="shared" si="4"/>
        <v>5.2864408502557511E-2</v>
      </c>
    </row>
    <row r="32" spans="1:13">
      <c r="A32" s="111" t="s">
        <v>56</v>
      </c>
      <c r="B32" s="123">
        <v>612.471</v>
      </c>
      <c r="C32" s="123">
        <v>411.65199999999999</v>
      </c>
      <c r="D32" s="123">
        <v>479.62900000000002</v>
      </c>
      <c r="E32" s="123">
        <v>422.012</v>
      </c>
      <c r="F32" s="123">
        <v>413.887</v>
      </c>
      <c r="H32" s="111" t="s">
        <v>56</v>
      </c>
      <c r="I32" s="152">
        <f t="shared" si="0"/>
        <v>0.75943946423516162</v>
      </c>
      <c r="J32" s="152">
        <f t="shared" si="1"/>
        <v>0.51106545375215928</v>
      </c>
      <c r="K32" s="152">
        <f t="shared" si="2"/>
        <v>0.57104546411461776</v>
      </c>
      <c r="L32" s="152">
        <f t="shared" si="3"/>
        <v>0.47673504792129834</v>
      </c>
      <c r="M32" s="152">
        <f t="shared" si="4"/>
        <v>0.43930232184672574</v>
      </c>
    </row>
    <row r="33" spans="1:13">
      <c r="A33" s="111" t="s">
        <v>57</v>
      </c>
      <c r="B33" s="123">
        <v>1248.1690000000001</v>
      </c>
      <c r="C33" s="123">
        <v>1222.5329999999999</v>
      </c>
      <c r="D33" s="123">
        <v>1126.7070000000001</v>
      </c>
      <c r="E33" s="123">
        <v>1123.903</v>
      </c>
      <c r="F33" s="123">
        <v>1091.5160000000001</v>
      </c>
      <c r="H33" s="111" t="s">
        <v>57</v>
      </c>
      <c r="I33" s="152">
        <f t="shared" si="0"/>
        <v>1.5476794764730697</v>
      </c>
      <c r="J33" s="152">
        <f t="shared" si="1"/>
        <v>1.5177732219738727</v>
      </c>
      <c r="K33" s="152">
        <f t="shared" si="2"/>
        <v>1.3414554202022577</v>
      </c>
      <c r="L33" s="152">
        <f t="shared" si="3"/>
        <v>1.2696415044214169</v>
      </c>
      <c r="M33" s="152">
        <f t="shared" si="4"/>
        <v>1.1585420975600846</v>
      </c>
    </row>
    <row r="34" spans="1:13">
      <c r="A34" s="115" t="s">
        <v>58</v>
      </c>
      <c r="B34" s="123">
        <v>1248.1690000000001</v>
      </c>
      <c r="C34" s="123">
        <v>1222.5329999999999</v>
      </c>
      <c r="D34" s="123">
        <v>1126.7070000000001</v>
      </c>
      <c r="E34" s="123">
        <v>1123.903</v>
      </c>
      <c r="F34" s="123">
        <v>1091.5160000000001</v>
      </c>
      <c r="H34" s="115" t="s">
        <v>58</v>
      </c>
      <c r="I34" s="152">
        <f t="shared" si="0"/>
        <v>1.5476794764730697</v>
      </c>
      <c r="J34" s="152">
        <f t="shared" si="1"/>
        <v>1.5177732219738727</v>
      </c>
      <c r="K34" s="152">
        <f t="shared" si="2"/>
        <v>1.3414554202022577</v>
      </c>
      <c r="L34" s="152">
        <f t="shared" si="3"/>
        <v>1.2696415044214169</v>
      </c>
      <c r="M34" s="152">
        <f t="shared" si="4"/>
        <v>1.1585420975600846</v>
      </c>
    </row>
    <row r="35" spans="1:13">
      <c r="A35" s="111" t="s">
        <v>59</v>
      </c>
      <c r="B35" s="123">
        <f>B36+B43</f>
        <v>14946.615000000002</v>
      </c>
      <c r="C35" s="123">
        <f>C36+C43</f>
        <v>15401.468000000001</v>
      </c>
      <c r="D35" s="123">
        <f>D36+D43</f>
        <v>15640.957</v>
      </c>
      <c r="E35" s="123">
        <f>E36+E43</f>
        <v>16098.525</v>
      </c>
      <c r="F35" s="123">
        <f>F36+F43</f>
        <v>16667.45</v>
      </c>
      <c r="H35" s="111" t="s">
        <v>59</v>
      </c>
      <c r="I35" s="152">
        <f t="shared" si="0"/>
        <v>18.533202858142232</v>
      </c>
      <c r="J35" s="152">
        <f t="shared" si="1"/>
        <v>19.120903656169201</v>
      </c>
      <c r="K35" s="152">
        <f t="shared" si="2"/>
        <v>18.62209655642544</v>
      </c>
      <c r="L35" s="152">
        <f t="shared" si="3"/>
        <v>18.1860494188251</v>
      </c>
      <c r="M35" s="152">
        <f t="shared" si="4"/>
        <v>17.690938551498864</v>
      </c>
    </row>
    <row r="36" spans="1:13">
      <c r="A36" s="115" t="s">
        <v>60</v>
      </c>
      <c r="B36" s="123">
        <v>10898.744000000001</v>
      </c>
      <c r="C36" s="123">
        <v>11233.191000000001</v>
      </c>
      <c r="D36" s="123">
        <v>11419.075000000001</v>
      </c>
      <c r="E36" s="123">
        <v>11661.972</v>
      </c>
      <c r="F36" s="123">
        <v>11990.242</v>
      </c>
      <c r="H36" s="115" t="s">
        <v>60</v>
      </c>
      <c r="I36" s="152">
        <f t="shared" si="0"/>
        <v>13.514005241384789</v>
      </c>
      <c r="J36" s="152">
        <f t="shared" si="1"/>
        <v>13.945992866546678</v>
      </c>
      <c r="K36" s="152">
        <f t="shared" si="2"/>
        <v>13.595531094105295</v>
      </c>
      <c r="L36" s="152">
        <f t="shared" si="3"/>
        <v>13.174200686892409</v>
      </c>
      <c r="M36" s="152">
        <f t="shared" si="4"/>
        <v>12.726519919939813</v>
      </c>
    </row>
    <row r="37" spans="1:13">
      <c r="A37" s="114" t="s">
        <v>61</v>
      </c>
      <c r="B37" s="123">
        <v>45.512999999999998</v>
      </c>
      <c r="C37" s="123">
        <v>60.606999999999992</v>
      </c>
      <c r="D37" s="123">
        <v>52.673999999999999</v>
      </c>
      <c r="E37" s="123">
        <v>50.154000000000003</v>
      </c>
      <c r="F37" s="123">
        <v>55.15</v>
      </c>
      <c r="H37" s="114" t="s">
        <v>61</v>
      </c>
      <c r="I37" s="152">
        <f t="shared" si="0"/>
        <v>5.6434293763680088E-2</v>
      </c>
      <c r="J37" s="152">
        <f t="shared" si="1"/>
        <v>7.5243516260232235E-2</v>
      </c>
      <c r="K37" s="152">
        <f t="shared" si="2"/>
        <v>6.2713573984836971E-2</v>
      </c>
      <c r="L37" s="152">
        <f t="shared" si="3"/>
        <v>5.6657558537304142E-2</v>
      </c>
      <c r="M37" s="152">
        <f t="shared" si="4"/>
        <v>5.8536564448380665E-2</v>
      </c>
    </row>
    <row r="38" spans="1:13">
      <c r="A38" s="114" t="s">
        <v>62</v>
      </c>
      <c r="B38" s="123">
        <v>440.92399999999998</v>
      </c>
      <c r="C38" s="123">
        <v>465.26299999999998</v>
      </c>
      <c r="D38" s="123">
        <v>509.536</v>
      </c>
      <c r="E38" s="123">
        <v>543.25</v>
      </c>
      <c r="F38" s="123">
        <v>578.05600000000004</v>
      </c>
      <c r="H38" s="114" t="s">
        <v>62</v>
      </c>
      <c r="I38" s="152">
        <f t="shared" si="0"/>
        <v>0.54672806766103921</v>
      </c>
      <c r="J38" s="152">
        <f t="shared" si="1"/>
        <v>0.57762344458205206</v>
      </c>
      <c r="K38" s="152">
        <f t="shared" si="2"/>
        <v>0.60665268697911467</v>
      </c>
      <c r="L38" s="152">
        <f t="shared" si="3"/>
        <v>0.61369419538602066</v>
      </c>
      <c r="M38" s="152">
        <f t="shared" si="4"/>
        <v>0.61355235355889637</v>
      </c>
    </row>
    <row r="39" spans="1:13">
      <c r="A39" s="114" t="s">
        <v>69</v>
      </c>
      <c r="B39" s="123">
        <v>6545.8729999999996</v>
      </c>
      <c r="C39" s="123">
        <v>6875.5499999999993</v>
      </c>
      <c r="D39" s="123">
        <v>7149.6549999999997</v>
      </c>
      <c r="E39" s="123">
        <v>7316.3860000000004</v>
      </c>
      <c r="F39" s="123">
        <v>7535.6109999999999</v>
      </c>
      <c r="H39" s="114" t="s">
        <v>69</v>
      </c>
      <c r="I39" s="152">
        <f t="shared" si="0"/>
        <v>8.1166198629345878</v>
      </c>
      <c r="J39" s="152">
        <f t="shared" si="1"/>
        <v>8.5359869028831614</v>
      </c>
      <c r="K39" s="152">
        <f t="shared" si="2"/>
        <v>8.5123669705843419</v>
      </c>
      <c r="L39" s="152">
        <f t="shared" si="3"/>
        <v>8.2651148079218508</v>
      </c>
      <c r="M39" s="152">
        <f t="shared" si="4"/>
        <v>7.9983459466804394</v>
      </c>
    </row>
    <row r="40" spans="1:13">
      <c r="A40" s="114" t="s">
        <v>63</v>
      </c>
      <c r="B40" s="123">
        <v>147.126</v>
      </c>
      <c r="C40" s="123">
        <v>159.905</v>
      </c>
      <c r="D40" s="123">
        <v>153.10400000000001</v>
      </c>
      <c r="E40" s="123">
        <v>137.48400000000001</v>
      </c>
      <c r="F40" s="123">
        <v>123.541</v>
      </c>
      <c r="H40" s="114" t="s">
        <v>63</v>
      </c>
      <c r="I40" s="152">
        <f t="shared" si="0"/>
        <v>0.18243033648133936</v>
      </c>
      <c r="J40" s="152">
        <f t="shared" si="1"/>
        <v>0.19852186162641999</v>
      </c>
      <c r="K40" s="152">
        <f t="shared" si="2"/>
        <v>0.18228535959628053</v>
      </c>
      <c r="L40" s="152">
        <f t="shared" si="3"/>
        <v>0.15531179522954747</v>
      </c>
      <c r="M40" s="152">
        <f t="shared" si="4"/>
        <v>0.13112721139650763</v>
      </c>
    </row>
    <row r="41" spans="1:13">
      <c r="A41" s="114" t="s">
        <v>64</v>
      </c>
      <c r="B41" s="123">
        <v>1395.4290000000001</v>
      </c>
      <c r="C41" s="123">
        <v>1346.0170000000001</v>
      </c>
      <c r="D41" s="123">
        <v>1364.489</v>
      </c>
      <c r="E41" s="123">
        <v>1374.0260000000001</v>
      </c>
      <c r="F41" s="123">
        <v>1388.548</v>
      </c>
      <c r="H41" s="114" t="s">
        <v>64</v>
      </c>
      <c r="I41" s="152">
        <f t="shared" si="0"/>
        <v>1.730275967577579</v>
      </c>
      <c r="J41" s="152">
        <f t="shared" si="1"/>
        <v>1.6710784567137298</v>
      </c>
      <c r="K41" s="152">
        <f t="shared" si="2"/>
        <v>1.6245582612483618</v>
      </c>
      <c r="L41" s="152">
        <f t="shared" si="3"/>
        <v>1.5521983994652044</v>
      </c>
      <c r="M41" s="152">
        <f t="shared" si="4"/>
        <v>1.4738137713811434</v>
      </c>
    </row>
    <row r="42" spans="1:13">
      <c r="A42" s="114" t="s">
        <v>84</v>
      </c>
      <c r="B42" s="123">
        <v>1610.866</v>
      </c>
      <c r="C42" s="123">
        <v>1573.1589999999999</v>
      </c>
      <c r="D42" s="123">
        <v>1500.673</v>
      </c>
      <c r="E42" s="123">
        <v>1544.5069999999998</v>
      </c>
      <c r="F42" s="123">
        <v>1604.9350000000002</v>
      </c>
      <c r="H42" s="114" t="s">
        <v>84</v>
      </c>
      <c r="I42" s="152">
        <f t="shared" si="0"/>
        <v>1.9974092030392261</v>
      </c>
      <c r="J42" s="152">
        <f t="shared" si="1"/>
        <v>1.9530749714790483</v>
      </c>
      <c r="K42" s="152">
        <f t="shared" si="2"/>
        <v>1.7866986978879</v>
      </c>
      <c r="L42" s="152">
        <f t="shared" si="3"/>
        <v>1.7447859744741396</v>
      </c>
      <c r="M42" s="152">
        <f t="shared" si="4"/>
        <v>1.7034883238977665</v>
      </c>
    </row>
    <row r="43" spans="1:13">
      <c r="A43" s="115" t="s">
        <v>68</v>
      </c>
      <c r="B43" s="123">
        <v>4047.8710000000001</v>
      </c>
      <c r="C43" s="123">
        <v>4168.277</v>
      </c>
      <c r="D43" s="123">
        <v>4221.8819999999996</v>
      </c>
      <c r="E43" s="123">
        <v>4436.5529999999999</v>
      </c>
      <c r="F43" s="123">
        <v>4677.2079999999996</v>
      </c>
      <c r="H43" s="115" t="s">
        <v>68</v>
      </c>
      <c r="I43" s="152">
        <f t="shared" si="0"/>
        <v>5.0191976167574435</v>
      </c>
      <c r="J43" s="152">
        <f t="shared" si="1"/>
        <v>5.1749107896225199</v>
      </c>
      <c r="K43" s="152">
        <f t="shared" si="2"/>
        <v>5.0265654623201472</v>
      </c>
      <c r="L43" s="152">
        <f t="shared" si="3"/>
        <v>5.0118487319326928</v>
      </c>
      <c r="M43" s="152">
        <f t="shared" si="4"/>
        <v>4.9644186315590497</v>
      </c>
    </row>
    <row r="44" spans="1:13">
      <c r="A44" s="111" t="s">
        <v>49</v>
      </c>
      <c r="B44" s="123">
        <v>1947.7929999999999</v>
      </c>
      <c r="C44" s="123">
        <v>1597.7619999999999</v>
      </c>
      <c r="D44" s="123">
        <v>1950.74</v>
      </c>
      <c r="E44" s="123">
        <v>2240.402</v>
      </c>
      <c r="F44" s="123">
        <v>2584.7550000000001</v>
      </c>
      <c r="H44" s="111" t="s">
        <v>49</v>
      </c>
      <c r="I44" s="152">
        <f t="shared" si="0"/>
        <v>2.4151851636420303</v>
      </c>
      <c r="J44" s="152">
        <f t="shared" si="1"/>
        <v>1.9836195658419191</v>
      </c>
      <c r="K44" s="152">
        <f t="shared" si="2"/>
        <v>2.3225476955458269</v>
      </c>
      <c r="L44" s="152">
        <f t="shared" si="3"/>
        <v>2.5309189189714334</v>
      </c>
      <c r="M44" s="152">
        <f t="shared" si="4"/>
        <v>2.7434755691890147</v>
      </c>
    </row>
    <row r="45" spans="1:13">
      <c r="A45" s="115" t="s">
        <v>70</v>
      </c>
      <c r="B45" s="123">
        <v>726.71900000000005</v>
      </c>
      <c r="C45" s="123">
        <v>686.71900000000005</v>
      </c>
      <c r="D45" s="123">
        <v>706.14700000000005</v>
      </c>
      <c r="E45" s="123">
        <v>797.78099999999995</v>
      </c>
      <c r="F45" s="123">
        <v>828.06</v>
      </c>
      <c r="H45" s="115" t="s">
        <v>70</v>
      </c>
      <c r="I45" s="152">
        <f t="shared" si="0"/>
        <v>0.90110239996589636</v>
      </c>
      <c r="J45" s="152">
        <f t="shared" si="1"/>
        <v>0.85256079731236378</v>
      </c>
      <c r="K45" s="152">
        <f t="shared" si="2"/>
        <v>0.84073740609542991</v>
      </c>
      <c r="L45" s="152">
        <f t="shared" si="3"/>
        <v>0.90123068364335923</v>
      </c>
      <c r="M45" s="152">
        <f t="shared" si="4"/>
        <v>0.87890820593157004</v>
      </c>
    </row>
    <row r="46" spans="1:13">
      <c r="A46" s="110" t="s">
        <v>65</v>
      </c>
      <c r="B46" s="125">
        <f>B47+B48</f>
        <v>2452.8410000000003</v>
      </c>
      <c r="C46" s="125">
        <f>C47+C48</f>
        <v>3247.6869999999999</v>
      </c>
      <c r="D46" s="125">
        <f>D47+D48</f>
        <v>3190.5170000000007</v>
      </c>
      <c r="E46" s="125">
        <f>E47+E48</f>
        <v>3351.5120000000002</v>
      </c>
      <c r="F46" s="125">
        <f>F47+F48</f>
        <v>2705.567</v>
      </c>
      <c r="H46" s="110" t="s">
        <v>65</v>
      </c>
      <c r="I46" s="154">
        <f t="shared" si="0"/>
        <v>3.0414244182892554</v>
      </c>
      <c r="J46" s="154">
        <f t="shared" si="1"/>
        <v>4.0319994322874395</v>
      </c>
      <c r="K46" s="154">
        <f t="shared" si="2"/>
        <v>3.7986240636629103</v>
      </c>
      <c r="L46" s="154">
        <f t="shared" si="3"/>
        <v>3.7861085322900925</v>
      </c>
      <c r="M46" s="154">
        <f t="shared" si="4"/>
        <v>2.8717062024462723</v>
      </c>
    </row>
    <row r="47" spans="1:13">
      <c r="A47" s="111" t="s">
        <v>66</v>
      </c>
      <c r="B47" s="123">
        <v>2264.86</v>
      </c>
      <c r="C47" s="123">
        <v>2681.884</v>
      </c>
      <c r="D47" s="123">
        <v>2909.6140000000005</v>
      </c>
      <c r="E47" s="123">
        <v>2986.7170000000001</v>
      </c>
      <c r="F47" s="123">
        <v>2377.5369999999998</v>
      </c>
      <c r="H47" s="111" t="s">
        <v>66</v>
      </c>
      <c r="I47" s="152">
        <f t="shared" si="0"/>
        <v>2.8083355211392025</v>
      </c>
      <c r="J47" s="152">
        <f t="shared" si="1"/>
        <v>3.3295557008605723</v>
      </c>
      <c r="K47" s="152">
        <f t="shared" si="2"/>
        <v>3.4641814340342005</v>
      </c>
      <c r="L47" s="152">
        <f t="shared" si="3"/>
        <v>3.3740099146999527</v>
      </c>
      <c r="M47" s="152">
        <f t="shared" si="4"/>
        <v>2.5235330522014432</v>
      </c>
    </row>
    <row r="48" spans="1:13">
      <c r="A48" s="111" t="s">
        <v>50</v>
      </c>
      <c r="B48" s="123">
        <v>187.98099999999999</v>
      </c>
      <c r="C48" s="123">
        <v>565.803</v>
      </c>
      <c r="D48" s="123">
        <v>280.90300000000002</v>
      </c>
      <c r="E48" s="123">
        <v>364.79500000000002</v>
      </c>
      <c r="F48" s="123">
        <v>328.03</v>
      </c>
      <c r="H48" s="111" t="s">
        <v>50</v>
      </c>
      <c r="I48" s="152">
        <f t="shared" si="0"/>
        <v>0.23308889715005268</v>
      </c>
      <c r="J48" s="152">
        <f t="shared" si="1"/>
        <v>0.70244373142686789</v>
      </c>
      <c r="K48" s="152">
        <f t="shared" si="2"/>
        <v>0.33444262962870985</v>
      </c>
      <c r="L48" s="152">
        <f t="shared" si="3"/>
        <v>0.41209861759013966</v>
      </c>
      <c r="M48" s="152">
        <f t="shared" si="4"/>
        <v>0.34817315024482876</v>
      </c>
    </row>
    <row r="49" spans="1:13">
      <c r="A49" s="177" t="s">
        <v>67</v>
      </c>
      <c r="B49" s="161">
        <f>B3-B27</f>
        <v>-1556.5030000000006</v>
      </c>
      <c r="C49" s="161">
        <f>C3-C27</f>
        <v>-1586.7919999999976</v>
      </c>
      <c r="D49" s="161">
        <f>D3-D27</f>
        <v>-1083.4890000000087</v>
      </c>
      <c r="E49" s="161">
        <f>E3-E27</f>
        <v>-389.49399999999878</v>
      </c>
      <c r="F49" s="161">
        <f>F3-F27</f>
        <v>150.74300000000221</v>
      </c>
      <c r="H49" s="177" t="s">
        <v>67</v>
      </c>
      <c r="I49" s="162">
        <f t="shared" si="0"/>
        <v>-1.9300012643870847</v>
      </c>
      <c r="J49" s="162">
        <f t="shared" si="1"/>
        <v>-1.970000324279477</v>
      </c>
      <c r="K49" s="162">
        <f t="shared" si="2"/>
        <v>-1.2900001435861632</v>
      </c>
      <c r="L49" s="162">
        <f t="shared" si="3"/>
        <v>-0.44000038092532345</v>
      </c>
      <c r="M49" s="162">
        <f t="shared" si="4"/>
        <v>0.15999958902343381</v>
      </c>
    </row>
    <row r="50" spans="1:13">
      <c r="B50" s="126"/>
      <c r="C50" s="126"/>
      <c r="D50" s="126"/>
      <c r="E50" s="126"/>
      <c r="F50" s="163" t="s">
        <v>115</v>
      </c>
      <c r="I50" s="126"/>
      <c r="J50" s="126"/>
      <c r="K50" s="126"/>
      <c r="L50" s="126"/>
      <c r="M50" s="163" t="s">
        <v>115</v>
      </c>
    </row>
    <row r="51" spans="1:13">
      <c r="A51" s="73"/>
      <c r="B51" s="121"/>
      <c r="C51" s="121"/>
      <c r="D51" s="121"/>
      <c r="E51" s="121"/>
      <c r="F51" s="121"/>
      <c r="H51" s="73"/>
      <c r="I51" s="121"/>
      <c r="J51" s="121"/>
      <c r="K51" s="121"/>
      <c r="L51" s="121"/>
      <c r="M51" s="121"/>
    </row>
    <row r="53" spans="1:13">
      <c r="A53" s="116" t="s">
        <v>20</v>
      </c>
      <c r="B53" s="123">
        <v>80647.770999999993</v>
      </c>
      <c r="C53" s="123">
        <v>80547.804000000004</v>
      </c>
      <c r="D53" s="123">
        <v>83991.385999999999</v>
      </c>
      <c r="E53" s="123">
        <v>88521.286999999997</v>
      </c>
      <c r="F53" s="123">
        <v>94214.616999999998</v>
      </c>
      <c r="H53" s="116"/>
    </row>
  </sheetData>
  <mergeCells count="1">
    <mergeCell ref="D1:F1"/>
  </mergeCells>
  <pageMargins left="0.7" right="0.7" top="0.75" bottom="0.75" header="0.3" footer="0.3"/>
  <drawing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11"/>
  <dimension ref="A1:F39"/>
  <sheetViews>
    <sheetView showGridLines="0" zoomScaleNormal="100" workbookViewId="0">
      <selection activeCell="I32" sqref="I32"/>
    </sheetView>
  </sheetViews>
  <sheetFormatPr defaultRowHeight="12.75"/>
  <cols>
    <col min="1" max="1" width="36.85546875" style="7" customWidth="1"/>
    <col min="2" max="6" width="9.140625" style="7"/>
    <col min="7" max="7" width="4.7109375" style="7" customWidth="1"/>
    <col min="8" max="16384" width="9.140625" style="7"/>
  </cols>
  <sheetData>
    <row r="1" spans="1:6">
      <c r="A1" s="353" t="s">
        <v>266</v>
      </c>
    </row>
    <row r="2" spans="1:6">
      <c r="A2" s="87"/>
      <c r="B2" s="120" t="s">
        <v>82</v>
      </c>
      <c r="C2" s="120" t="s">
        <v>114</v>
      </c>
      <c r="D2" s="120" t="s">
        <v>221</v>
      </c>
      <c r="E2" s="120" t="s">
        <v>222</v>
      </c>
      <c r="F2" s="120" t="s">
        <v>223</v>
      </c>
    </row>
    <row r="3" spans="1:6">
      <c r="A3" s="167" t="s">
        <v>86</v>
      </c>
      <c r="B3" s="173">
        <v>-1987357</v>
      </c>
      <c r="C3" s="173">
        <v>-1554499</v>
      </c>
      <c r="D3" s="173">
        <v>-1724690</v>
      </c>
      <c r="E3" s="173">
        <v>-1067116</v>
      </c>
      <c r="F3" s="173">
        <v>-556644</v>
      </c>
    </row>
    <row r="4" spans="1:6">
      <c r="A4" s="167" t="s">
        <v>87</v>
      </c>
      <c r="B4" s="128">
        <f>SUM(B5:B34)</f>
        <v>430854</v>
      </c>
      <c r="C4" s="128">
        <f>SUM(C5:C34)</f>
        <v>-32293</v>
      </c>
      <c r="D4" s="128">
        <f>SUM(D5:D34)</f>
        <v>641201</v>
      </c>
      <c r="E4" s="128">
        <f>SUM(E5:E34)</f>
        <v>677622</v>
      </c>
      <c r="F4" s="128">
        <f>SUM(F5:F34)</f>
        <v>707387</v>
      </c>
    </row>
    <row r="5" spans="1:6">
      <c r="A5" s="168" t="s">
        <v>88</v>
      </c>
      <c r="B5" s="2">
        <v>109882</v>
      </c>
      <c r="C5" s="2">
        <v>96315</v>
      </c>
      <c r="D5" s="2">
        <v>130418</v>
      </c>
      <c r="E5" s="2">
        <v>118415</v>
      </c>
      <c r="F5" s="2">
        <v>116962</v>
      </c>
    </row>
    <row r="6" spans="1:6">
      <c r="A6" s="168" t="s">
        <v>1478</v>
      </c>
      <c r="B6" s="2">
        <v>4901</v>
      </c>
      <c r="C6" s="2">
        <v>1661</v>
      </c>
      <c r="D6" s="2">
        <v>3420</v>
      </c>
      <c r="E6" s="2">
        <v>9270</v>
      </c>
      <c r="F6" s="2">
        <v>2999</v>
      </c>
    </row>
    <row r="7" spans="1:6">
      <c r="A7" s="168" t="s">
        <v>89</v>
      </c>
      <c r="B7" s="2">
        <v>103463</v>
      </c>
      <c r="C7" s="2">
        <v>89405</v>
      </c>
      <c r="D7" s="2">
        <v>112861</v>
      </c>
      <c r="E7" s="2">
        <v>95518</v>
      </c>
      <c r="F7" s="2">
        <v>94963</v>
      </c>
    </row>
    <row r="8" spans="1:6">
      <c r="A8" s="168" t="s">
        <v>90</v>
      </c>
      <c r="B8" s="2">
        <v>-94437</v>
      </c>
      <c r="C8" s="2">
        <v>-190387</v>
      </c>
      <c r="D8" s="2">
        <v>36889</v>
      </c>
      <c r="E8" s="2">
        <v>40347</v>
      </c>
      <c r="F8" s="2">
        <v>44980</v>
      </c>
    </row>
    <row r="9" spans="1:6">
      <c r="A9" s="168" t="s">
        <v>91</v>
      </c>
      <c r="B9" s="2">
        <v>-6953</v>
      </c>
      <c r="C9" s="2">
        <v>-59984</v>
      </c>
      <c r="D9" s="2">
        <v>7085</v>
      </c>
      <c r="E9" s="2">
        <v>7821</v>
      </c>
      <c r="F9" s="2">
        <v>17795</v>
      </c>
    </row>
    <row r="10" spans="1:6">
      <c r="A10" s="168" t="s">
        <v>92</v>
      </c>
      <c r="B10" s="2">
        <v>117963</v>
      </c>
      <c r="C10" s="2">
        <v>92167</v>
      </c>
      <c r="D10" s="2">
        <v>94003</v>
      </c>
      <c r="E10" s="2">
        <v>122015</v>
      </c>
      <c r="F10" s="2">
        <v>143368</v>
      </c>
    </row>
    <row r="11" spans="1:6">
      <c r="A11" s="168" t="s">
        <v>117</v>
      </c>
      <c r="B11" s="2">
        <v>-9892</v>
      </c>
      <c r="C11" s="2">
        <v>-9267</v>
      </c>
      <c r="D11" s="2">
        <v>-3950</v>
      </c>
      <c r="E11" s="2">
        <v>-3041</v>
      </c>
      <c r="F11" s="2">
        <v>-2650</v>
      </c>
    </row>
    <row r="12" spans="1:6">
      <c r="A12" s="168" t="s">
        <v>93</v>
      </c>
      <c r="B12" s="2">
        <v>132240</v>
      </c>
      <c r="C12" s="2">
        <v>104510</v>
      </c>
      <c r="D12" s="2">
        <v>113514</v>
      </c>
      <c r="E12" s="2">
        <v>132391</v>
      </c>
      <c r="F12" s="2">
        <v>132465</v>
      </c>
    </row>
    <row r="13" spans="1:6">
      <c r="A13" s="168" t="s">
        <v>94</v>
      </c>
      <c r="B13" s="2">
        <v>49632</v>
      </c>
      <c r="C13" s="2">
        <v>45153</v>
      </c>
      <c r="D13" s="2">
        <v>48055</v>
      </c>
      <c r="E13" s="2">
        <v>47678</v>
      </c>
      <c r="F13" s="2">
        <v>47451</v>
      </c>
    </row>
    <row r="14" spans="1:6">
      <c r="A14" s="168" t="s">
        <v>95</v>
      </c>
      <c r="B14" s="2">
        <v>246</v>
      </c>
      <c r="C14" s="2">
        <v>-2513</v>
      </c>
      <c r="D14" s="2">
        <v>924</v>
      </c>
      <c r="E14" s="2">
        <v>979</v>
      </c>
      <c r="F14" s="2">
        <v>965</v>
      </c>
    </row>
    <row r="15" spans="1:6">
      <c r="A15" s="168" t="s">
        <v>96</v>
      </c>
      <c r="B15" s="2">
        <v>8114</v>
      </c>
      <c r="C15" s="2">
        <v>5075</v>
      </c>
      <c r="D15" s="2">
        <v>-917</v>
      </c>
      <c r="E15" s="2">
        <v>9194</v>
      </c>
      <c r="F15" s="2">
        <v>9154</v>
      </c>
    </row>
    <row r="16" spans="1:6">
      <c r="A16" s="169" t="s">
        <v>97</v>
      </c>
      <c r="B16" s="2">
        <v>4518</v>
      </c>
      <c r="C16" s="2">
        <v>-25</v>
      </c>
      <c r="D16" s="2">
        <v>1543</v>
      </c>
      <c r="E16" s="2">
        <v>163</v>
      </c>
      <c r="F16" s="2">
        <v>-755</v>
      </c>
    </row>
    <row r="17" spans="1:6">
      <c r="A17" s="168" t="s">
        <v>98</v>
      </c>
      <c r="B17" s="2">
        <v>101</v>
      </c>
      <c r="C17" s="2">
        <v>-29403</v>
      </c>
      <c r="D17" s="2">
        <v>178</v>
      </c>
      <c r="E17" s="2">
        <v>178</v>
      </c>
      <c r="F17" s="2">
        <v>178</v>
      </c>
    </row>
    <row r="18" spans="1:6">
      <c r="A18" s="168" t="s">
        <v>99</v>
      </c>
      <c r="B18" s="2">
        <v>744</v>
      </c>
      <c r="C18" s="2">
        <v>-10871</v>
      </c>
      <c r="D18" s="2">
        <v>168</v>
      </c>
      <c r="E18" s="2">
        <v>168</v>
      </c>
      <c r="F18" s="2">
        <v>168</v>
      </c>
    </row>
    <row r="19" spans="1:6">
      <c r="A19" s="168" t="s">
        <v>100</v>
      </c>
      <c r="B19" s="2">
        <v>147</v>
      </c>
      <c r="C19" s="2">
        <v>-35</v>
      </c>
      <c r="D19" s="2">
        <v>141</v>
      </c>
      <c r="E19" s="2">
        <v>130</v>
      </c>
      <c r="F19" s="2">
        <v>130</v>
      </c>
    </row>
    <row r="20" spans="1:6">
      <c r="A20" s="168" t="s">
        <v>101</v>
      </c>
      <c r="B20" s="2">
        <v>4</v>
      </c>
      <c r="C20" s="2">
        <v>-138</v>
      </c>
      <c r="D20" s="2">
        <v>0</v>
      </c>
      <c r="E20" s="2">
        <v>0</v>
      </c>
      <c r="F20" s="2">
        <v>0</v>
      </c>
    </row>
    <row r="21" spans="1:6">
      <c r="A21" s="168" t="s">
        <v>102</v>
      </c>
      <c r="B21" s="2">
        <v>0</v>
      </c>
      <c r="C21" s="2">
        <v>0</v>
      </c>
      <c r="D21" s="2">
        <v>-194</v>
      </c>
      <c r="E21" s="2">
        <v>-151</v>
      </c>
      <c r="F21" s="2">
        <v>-90</v>
      </c>
    </row>
    <row r="22" spans="1:6">
      <c r="A22" s="168" t="s">
        <v>103</v>
      </c>
      <c r="B22" s="2">
        <v>86</v>
      </c>
      <c r="C22" s="2">
        <v>0</v>
      </c>
      <c r="D22" s="2">
        <v>-148</v>
      </c>
      <c r="E22" s="2">
        <v>2</v>
      </c>
      <c r="F22" s="2">
        <v>1</v>
      </c>
    </row>
    <row r="23" spans="1:6">
      <c r="A23" s="168" t="s">
        <v>104</v>
      </c>
      <c r="B23" s="2">
        <v>0</v>
      </c>
      <c r="C23" s="2">
        <v>46380</v>
      </c>
      <c r="D23" s="2">
        <v>0</v>
      </c>
      <c r="E23" s="2">
        <v>0</v>
      </c>
      <c r="F23" s="2">
        <v>0</v>
      </c>
    </row>
    <row r="24" spans="1:6">
      <c r="A24" s="170" t="s">
        <v>105</v>
      </c>
      <c r="B24" s="2">
        <v>0</v>
      </c>
      <c r="C24" s="2">
        <v>-21746</v>
      </c>
      <c r="D24" s="2">
        <v>-4256</v>
      </c>
      <c r="E24" s="2">
        <v>-6719</v>
      </c>
      <c r="F24" s="2">
        <v>-17449</v>
      </c>
    </row>
    <row r="25" spans="1:6">
      <c r="A25" s="168" t="s">
        <v>106</v>
      </c>
      <c r="B25" s="2">
        <v>35890</v>
      </c>
      <c r="C25" s="2">
        <v>-60554</v>
      </c>
      <c r="D25" s="2">
        <v>53009</v>
      </c>
      <c r="E25" s="2">
        <v>36965</v>
      </c>
      <c r="F25" s="2">
        <v>36965</v>
      </c>
    </row>
    <row r="26" spans="1:6">
      <c r="A26" s="168" t="s">
        <v>107</v>
      </c>
      <c r="B26" s="2">
        <v>10465</v>
      </c>
      <c r="C26" s="2">
        <v>247</v>
      </c>
      <c r="D26" s="2">
        <v>62654</v>
      </c>
      <c r="E26" s="2">
        <v>66800</v>
      </c>
      <c r="F26" s="2">
        <v>65016</v>
      </c>
    </row>
    <row r="27" spans="1:6">
      <c r="A27" s="168" t="s">
        <v>108</v>
      </c>
      <c r="B27" s="2">
        <v>195</v>
      </c>
      <c r="C27" s="2">
        <v>298</v>
      </c>
      <c r="D27" s="2">
        <v>203</v>
      </c>
      <c r="E27" s="2">
        <v>224</v>
      </c>
      <c r="F27" s="2">
        <v>224</v>
      </c>
    </row>
    <row r="28" spans="1:6">
      <c r="A28" s="168" t="s">
        <v>1477</v>
      </c>
      <c r="B28" s="2">
        <v>0</v>
      </c>
      <c r="C28" s="2">
        <v>0</v>
      </c>
      <c r="D28" s="2">
        <v>0</v>
      </c>
      <c r="E28" s="2">
        <v>0</v>
      </c>
      <c r="F28" s="2">
        <v>0</v>
      </c>
    </row>
    <row r="29" spans="1:6">
      <c r="A29" s="168" t="s">
        <v>21</v>
      </c>
      <c r="B29" s="2">
        <v>163</v>
      </c>
      <c r="C29" s="2">
        <v>97</v>
      </c>
      <c r="D29" s="2">
        <v>100</v>
      </c>
      <c r="E29" s="2">
        <v>90</v>
      </c>
      <c r="F29" s="2">
        <v>80</v>
      </c>
    </row>
    <row r="30" spans="1:6">
      <c r="A30" s="168" t="s">
        <v>109</v>
      </c>
      <c r="B30" s="2">
        <v>-31043</v>
      </c>
      <c r="C30" s="2">
        <v>-42580</v>
      </c>
      <c r="D30" s="2">
        <v>-2182</v>
      </c>
      <c r="E30" s="2">
        <v>0</v>
      </c>
      <c r="F30" s="2">
        <v>0</v>
      </c>
    </row>
    <row r="31" spans="1:6">
      <c r="A31" s="168" t="s">
        <v>110</v>
      </c>
      <c r="B31" s="2">
        <v>-4208</v>
      </c>
      <c r="C31" s="2">
        <v>-19723</v>
      </c>
      <c r="D31" s="2">
        <v>-1169</v>
      </c>
      <c r="E31" s="2">
        <v>3741</v>
      </c>
      <c r="F31" s="2">
        <v>5461</v>
      </c>
    </row>
    <row r="32" spans="1:6">
      <c r="A32" s="168" t="s">
        <v>111</v>
      </c>
      <c r="B32" s="2">
        <v>-1367</v>
      </c>
      <c r="C32" s="2">
        <v>-967</v>
      </c>
      <c r="D32" s="2">
        <v>-11148</v>
      </c>
      <c r="E32" s="2">
        <v>-4556</v>
      </c>
      <c r="F32" s="2">
        <v>-3056</v>
      </c>
    </row>
    <row r="33" spans="1:6">
      <c r="A33" s="170" t="s">
        <v>83</v>
      </c>
      <c r="B33" s="2">
        <v>0</v>
      </c>
      <c r="C33" s="2">
        <v>-31898</v>
      </c>
      <c r="D33" s="2">
        <v>0</v>
      </c>
      <c r="E33" s="2">
        <v>0</v>
      </c>
      <c r="F33" s="2">
        <v>12062</v>
      </c>
    </row>
    <row r="34" spans="1:6">
      <c r="A34" s="18" t="s">
        <v>116</v>
      </c>
      <c r="B34" s="7">
        <v>0</v>
      </c>
      <c r="C34" s="7">
        <v>-33510</v>
      </c>
      <c r="D34" s="7">
        <v>0</v>
      </c>
      <c r="E34" s="7">
        <v>0</v>
      </c>
      <c r="F34" s="7">
        <v>0</v>
      </c>
    </row>
    <row r="35" spans="1:6">
      <c r="A35" s="171" t="s">
        <v>112</v>
      </c>
      <c r="B35" s="89">
        <f>B3+B4</f>
        <v>-1556503</v>
      </c>
      <c r="C35" s="89">
        <f>C3+C4</f>
        <v>-1586792</v>
      </c>
      <c r="D35" s="89">
        <f>D3+D4</f>
        <v>-1083489</v>
      </c>
      <c r="E35" s="89">
        <f>E3+E4</f>
        <v>-389494</v>
      </c>
      <c r="F35" s="89">
        <f>F3+F4</f>
        <v>150743</v>
      </c>
    </row>
    <row r="36" spans="1:6">
      <c r="A36" s="172" t="s">
        <v>113</v>
      </c>
      <c r="B36" s="159">
        <f>B35/1000/B39*100</f>
        <v>-1.9300012643870841</v>
      </c>
      <c r="C36" s="159">
        <f>C35/1000/C39*100</f>
        <v>-1.9700003242794799</v>
      </c>
      <c r="D36" s="159">
        <f>D35/1000/D39*100</f>
        <v>-1.290000143586153</v>
      </c>
      <c r="E36" s="159">
        <f>E35/1000/E39*100</f>
        <v>-0.44000038092532484</v>
      </c>
      <c r="F36" s="159">
        <f>F35/1000/F39*100</f>
        <v>0.15999958902343148</v>
      </c>
    </row>
    <row r="37" spans="1:6">
      <c r="F37" s="88" t="s">
        <v>115</v>
      </c>
    </row>
    <row r="39" spans="1:6">
      <c r="A39" s="7" t="s">
        <v>20</v>
      </c>
      <c r="B39" s="155">
        <f>'T45,T46'!B53</f>
        <v>80647.770999999993</v>
      </c>
      <c r="C39" s="155">
        <f>'T45,T46'!C53</f>
        <v>80547.804000000004</v>
      </c>
      <c r="D39" s="155">
        <f>'T45,T46'!D53</f>
        <v>83991.385999999999</v>
      </c>
      <c r="E39" s="155">
        <f>'T45,T46'!E53</f>
        <v>88521.286999999997</v>
      </c>
      <c r="F39" s="155">
        <f>'T45,T46'!F53</f>
        <v>94214.616999999998</v>
      </c>
    </row>
  </sheetData>
  <pageMargins left="0.7" right="0.7" top="0.75" bottom="0.75" header="0.3" footer="0.3"/>
  <drawing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5"/>
  <sheetViews>
    <sheetView showGridLines="0" topLeftCell="A22" zoomScaleNormal="100" workbookViewId="0">
      <selection activeCell="A3" sqref="A3"/>
    </sheetView>
  </sheetViews>
  <sheetFormatPr defaultRowHeight="15"/>
  <cols>
    <col min="1" max="1" width="57.7109375" style="758" customWidth="1"/>
    <col min="2" max="6" width="9.140625" style="758" customWidth="1"/>
    <col min="7" max="13" width="9.140625" style="758"/>
    <col min="14" max="14" width="57.7109375" style="758" customWidth="1"/>
    <col min="15" max="16384" width="9.140625" style="758"/>
  </cols>
  <sheetData>
    <row r="1" spans="1:29">
      <c r="A1" s="793" t="s">
        <v>1315</v>
      </c>
      <c r="B1" s="794"/>
      <c r="C1" s="794"/>
      <c r="D1" s="794"/>
      <c r="E1" s="794"/>
      <c r="F1" s="794"/>
      <c r="G1" s="794"/>
      <c r="H1" s="794"/>
      <c r="I1" s="793"/>
      <c r="J1" s="793"/>
      <c r="K1" s="793"/>
      <c r="L1" s="793"/>
      <c r="N1" s="793" t="s">
        <v>1314</v>
      </c>
      <c r="O1" s="794"/>
      <c r="P1" s="794"/>
      <c r="Q1" s="794"/>
      <c r="R1" s="794"/>
      <c r="S1" s="794"/>
      <c r="T1" s="794"/>
      <c r="U1" s="794"/>
      <c r="V1" s="793"/>
      <c r="W1" s="793"/>
      <c r="X1" s="793"/>
      <c r="Y1" s="793"/>
    </row>
    <row r="2" spans="1:29">
      <c r="A2" s="513"/>
      <c r="B2" s="514" t="s">
        <v>891</v>
      </c>
      <c r="C2" s="514" t="s">
        <v>890</v>
      </c>
      <c r="D2" s="514" t="s">
        <v>536</v>
      </c>
      <c r="E2" s="514" t="s">
        <v>537</v>
      </c>
      <c r="F2" s="514" t="s">
        <v>538</v>
      </c>
      <c r="G2" s="514" t="s">
        <v>539</v>
      </c>
      <c r="H2" s="514" t="s">
        <v>540</v>
      </c>
      <c r="I2" s="514" t="s">
        <v>541</v>
      </c>
      <c r="J2" s="514" t="s">
        <v>542</v>
      </c>
      <c r="K2" s="514" t="s">
        <v>543</v>
      </c>
      <c r="L2" s="514" t="s">
        <v>544</v>
      </c>
      <c r="N2" s="513"/>
      <c r="O2" s="1339" t="s">
        <v>891</v>
      </c>
      <c r="P2" s="1339" t="s">
        <v>890</v>
      </c>
      <c r="Q2" s="1339" t="s">
        <v>536</v>
      </c>
      <c r="R2" s="1339" t="s">
        <v>537</v>
      </c>
      <c r="S2" s="1339" t="s">
        <v>538</v>
      </c>
      <c r="T2" s="1339" t="s">
        <v>539</v>
      </c>
      <c r="U2" s="1339" t="s">
        <v>540</v>
      </c>
      <c r="V2" s="1339" t="s">
        <v>541</v>
      </c>
      <c r="W2" s="1339" t="s">
        <v>542</v>
      </c>
      <c r="X2" s="1339" t="s">
        <v>543</v>
      </c>
      <c r="Y2" s="1339" t="s">
        <v>544</v>
      </c>
      <c r="AB2" s="3"/>
      <c r="AC2" s="109"/>
    </row>
    <row r="3" spans="1:29">
      <c r="A3" s="1337" t="s">
        <v>1313</v>
      </c>
      <c r="B3" s="1338">
        <f t="shared" ref="B3:L3" si="0">B7+B5+B4+B6</f>
        <v>23227.661999999997</v>
      </c>
      <c r="C3" s="1338">
        <f t="shared" si="0"/>
        <v>23422.342000000001</v>
      </c>
      <c r="D3" s="1338">
        <f t="shared" si="0"/>
        <v>25807.130999999998</v>
      </c>
      <c r="E3" s="1338">
        <f t="shared" si="0"/>
        <v>26380.595999999998</v>
      </c>
      <c r="F3" s="1338">
        <f t="shared" si="0"/>
        <v>28719.138999999996</v>
      </c>
      <c r="G3" s="1338">
        <f t="shared" si="0"/>
        <v>29854.5</v>
      </c>
      <c r="H3" s="1338">
        <f t="shared" si="0"/>
        <v>33720.111999999994</v>
      </c>
      <c r="I3" s="1338">
        <f t="shared" si="0"/>
        <v>32123.402471743695</v>
      </c>
      <c r="J3" s="1338">
        <f t="shared" si="0"/>
        <v>33443.022140251262</v>
      </c>
      <c r="K3" s="1338">
        <f t="shared" si="0"/>
        <v>34629.156400414598</v>
      </c>
      <c r="L3" s="1338">
        <f t="shared" si="0"/>
        <v>36085.642757722315</v>
      </c>
      <c r="N3" s="1337" t="s">
        <v>1313</v>
      </c>
      <c r="O3" s="1336">
        <f t="shared" ref="O3:O46" si="1">B3/B$95*100</f>
        <v>36.280127016654923</v>
      </c>
      <c r="P3" s="1336">
        <f t="shared" ref="P3:P46" si="2">C3/C$95*100</f>
        <v>34.66007372298094</v>
      </c>
      <c r="Q3" s="1336">
        <f t="shared" ref="Q3:Q46" si="3">D3/D$95*100</f>
        <v>36.539932207421501</v>
      </c>
      <c r="R3" s="1336">
        <f t="shared" ref="R3:R46" si="4">E3/E$95*100</f>
        <v>36.285180218283848</v>
      </c>
      <c r="S3" s="1336">
        <f t="shared" ref="S3:S46" si="5">F3/F$95*100</f>
        <v>38.720746556217541</v>
      </c>
      <c r="T3" s="1336">
        <f t="shared" ref="T3:T46" si="6">G3/G$95*100</f>
        <v>39.309960709131708</v>
      </c>
      <c r="U3" s="1336">
        <f t="shared" ref="U3:U46" si="7">H3/H$95*100</f>
        <v>42.854235082403882</v>
      </c>
      <c r="V3" s="1336">
        <f t="shared" ref="V3:V46" si="8">I3/I$95*100</f>
        <v>39.569565023482838</v>
      </c>
      <c r="W3" s="1336">
        <f t="shared" ref="W3:W46" si="9">J3/J$95*100</f>
        <v>39.506104857805802</v>
      </c>
      <c r="X3" s="1336">
        <f t="shared" ref="X3:X46" si="10">K3/K$95*100</f>
        <v>38.813931467868429</v>
      </c>
      <c r="Y3" s="1336">
        <f t="shared" ref="Y3:Y46" si="11">L3/L$95*100</f>
        <v>38.00227526057958</v>
      </c>
      <c r="AB3" s="3"/>
      <c r="AC3" s="109"/>
    </row>
    <row r="4" spans="1:29">
      <c r="A4" s="1334" t="s">
        <v>1312</v>
      </c>
      <c r="B4" s="1309">
        <v>903.52031133999992</v>
      </c>
      <c r="C4" s="1309">
        <v>871.25023450000003</v>
      </c>
      <c r="D4" s="1309">
        <v>1066.4957270999998</v>
      </c>
      <c r="E4" s="1309">
        <v>1059.4342243000001</v>
      </c>
      <c r="F4" s="1309">
        <v>1232.1773607399998</v>
      </c>
      <c r="G4" s="1309">
        <v>1295.4268882200006</v>
      </c>
      <c r="H4" s="1309">
        <v>2793.4854567200005</v>
      </c>
      <c r="I4" s="1309">
        <v>859.92262567251009</v>
      </c>
      <c r="J4" s="1309">
        <v>968.32622371318007</v>
      </c>
      <c r="K4" s="1309">
        <v>791.29084478316986</v>
      </c>
      <c r="L4" s="1309">
        <v>696.37356914403995</v>
      </c>
      <c r="N4" s="1334" t="s">
        <v>1312</v>
      </c>
      <c r="O4" s="1319">
        <f t="shared" si="1"/>
        <v>1.4112411166282168</v>
      </c>
      <c r="P4" s="1319">
        <f t="shared" si="2"/>
        <v>1.2892646413810553</v>
      </c>
      <c r="Q4" s="1319">
        <f t="shared" si="3"/>
        <v>1.5100354071802364</v>
      </c>
      <c r="R4" s="1319">
        <f t="shared" si="4"/>
        <v>1.4571983801330062</v>
      </c>
      <c r="S4" s="1319">
        <f t="shared" si="5"/>
        <v>1.6612903087910322</v>
      </c>
      <c r="T4" s="1319">
        <f t="shared" si="6"/>
        <v>1.70571203930667</v>
      </c>
      <c r="U4" s="1319">
        <f t="shared" si="7"/>
        <v>3.5501863831755749</v>
      </c>
      <c r="V4" s="1319">
        <f t="shared" si="8"/>
        <v>1.0592515622105416</v>
      </c>
      <c r="W4" s="1319">
        <f t="shared" si="9"/>
        <v>1.1438797956161206</v>
      </c>
      <c r="X4" s="1319">
        <f t="shared" si="10"/>
        <v>0.88691472195949772</v>
      </c>
      <c r="Y4" s="1319">
        <f t="shared" si="11"/>
        <v>0.73336036263732107</v>
      </c>
      <c r="AB4" s="3"/>
      <c r="AC4" s="109"/>
    </row>
    <row r="5" spans="1:29">
      <c r="A5" s="1334" t="s">
        <v>1277</v>
      </c>
      <c r="B5" s="1309">
        <v>1329.4569430000001</v>
      </c>
      <c r="C5" s="1309">
        <v>1504.333746</v>
      </c>
      <c r="D5" s="1309">
        <v>1389.15761744</v>
      </c>
      <c r="E5" s="1309">
        <v>1521.1823828300001</v>
      </c>
      <c r="F5" s="1309">
        <v>1507.1484668400001</v>
      </c>
      <c r="G5" s="1309">
        <v>1420.9541247499999</v>
      </c>
      <c r="H5" s="1309">
        <v>1557.16760903</v>
      </c>
      <c r="I5" s="1309">
        <v>1551.3690000000001</v>
      </c>
      <c r="J5" s="1309">
        <v>1494.972</v>
      </c>
      <c r="K5" s="1309">
        <v>1537.8869999999999</v>
      </c>
      <c r="L5" s="1309">
        <v>1596.4360000000001</v>
      </c>
      <c r="N5" s="1334" t="s">
        <v>1277</v>
      </c>
      <c r="O5" s="1319">
        <f t="shared" si="1"/>
        <v>2.076526976981746</v>
      </c>
      <c r="P5" s="1319">
        <f t="shared" si="2"/>
        <v>2.2260932976014134</v>
      </c>
      <c r="Q5" s="1319">
        <f t="shared" si="3"/>
        <v>1.9668875694350052</v>
      </c>
      <c r="R5" s="1319">
        <f t="shared" si="4"/>
        <v>2.0923097001244786</v>
      </c>
      <c r="S5" s="1319">
        <f t="shared" si="5"/>
        <v>2.0320217053548681</v>
      </c>
      <c r="T5" s="1319">
        <f t="shared" si="6"/>
        <v>1.8709960244988573</v>
      </c>
      <c r="U5" s="1319">
        <f t="shared" si="7"/>
        <v>1.9789740550113362</v>
      </c>
      <c r="V5" s="1319">
        <f t="shared" si="8"/>
        <v>1.9109742990305161</v>
      </c>
      <c r="W5" s="1319">
        <f t="shared" si="9"/>
        <v>1.7660042906349587</v>
      </c>
      <c r="X5" s="1319">
        <f t="shared" si="10"/>
        <v>1.7237336056679426</v>
      </c>
      <c r="Y5" s="1319">
        <f t="shared" si="11"/>
        <v>1.6812282024522249</v>
      </c>
    </row>
    <row r="6" spans="1:29">
      <c r="A6" s="1242" t="s">
        <v>1311</v>
      </c>
      <c r="B6" s="1309">
        <v>95.790999999999997</v>
      </c>
      <c r="C6" s="1309">
        <v>138.78800000000001</v>
      </c>
      <c r="D6" s="1309">
        <v>148.33500000000001</v>
      </c>
      <c r="E6" s="1309">
        <v>120.09799999999996</v>
      </c>
      <c r="F6" s="1309">
        <v>142.29199999999946</v>
      </c>
      <c r="G6" s="1309">
        <v>153.36300000000119</v>
      </c>
      <c r="H6" s="1309">
        <v>170.85600000000068</v>
      </c>
      <c r="I6" s="1309">
        <v>166.78300000000002</v>
      </c>
      <c r="J6" s="1309">
        <v>176.35499999999999</v>
      </c>
      <c r="K6" s="1309">
        <v>175.25399999999999</v>
      </c>
      <c r="L6" s="1309">
        <v>175.58099999999999</v>
      </c>
      <c r="N6" s="1242" t="s">
        <v>1311</v>
      </c>
      <c r="O6" s="1319">
        <f t="shared" si="1"/>
        <v>0.14961943423545562</v>
      </c>
      <c r="P6" s="1319">
        <f t="shared" si="2"/>
        <v>0.20537665754624704</v>
      </c>
      <c r="Q6" s="1319">
        <f t="shared" si="3"/>
        <v>0.21002531602555391</v>
      </c>
      <c r="R6" s="1319">
        <f t="shared" si="4"/>
        <v>0.16518874607137202</v>
      </c>
      <c r="S6" s="1319">
        <f t="shared" si="5"/>
        <v>0.19184601839829832</v>
      </c>
      <c r="T6" s="1319">
        <f t="shared" si="6"/>
        <v>0.20193583896011028</v>
      </c>
      <c r="U6" s="1319">
        <f t="shared" si="7"/>
        <v>0.21713757027969621</v>
      </c>
      <c r="V6" s="1319">
        <f t="shared" si="8"/>
        <v>0.20544308060506983</v>
      </c>
      <c r="W6" s="1319">
        <f t="shared" si="9"/>
        <v>0.20832743802220252</v>
      </c>
      <c r="X6" s="1319">
        <f t="shared" si="10"/>
        <v>0.19643264383386402</v>
      </c>
      <c r="Y6" s="1319">
        <f t="shared" si="11"/>
        <v>0.18490671033149092</v>
      </c>
    </row>
    <row r="7" spans="1:29">
      <c r="A7" s="1351" t="s">
        <v>1310</v>
      </c>
      <c r="B7" s="1338">
        <f t="shared" ref="B7:L7" si="12">B8+B22+B31+B32+B37+B41+B45</f>
        <v>20898.893745659996</v>
      </c>
      <c r="C7" s="1338">
        <f t="shared" si="12"/>
        <v>20907.9700195</v>
      </c>
      <c r="D7" s="1338">
        <f t="shared" si="12"/>
        <v>23203.14265546</v>
      </c>
      <c r="E7" s="1338">
        <f t="shared" si="12"/>
        <v>23679.88139287</v>
      </c>
      <c r="F7" s="1338">
        <f t="shared" si="12"/>
        <v>25837.521172419998</v>
      </c>
      <c r="G7" s="1338">
        <f t="shared" si="12"/>
        <v>26984.755987029999</v>
      </c>
      <c r="H7" s="1338">
        <f t="shared" si="12"/>
        <v>29198.602934249997</v>
      </c>
      <c r="I7" s="1338">
        <f t="shared" si="12"/>
        <v>29545.327846071188</v>
      </c>
      <c r="J7" s="1338">
        <f t="shared" si="12"/>
        <v>30803.368916538078</v>
      </c>
      <c r="K7" s="1338">
        <f t="shared" si="12"/>
        <v>32124.724555631426</v>
      </c>
      <c r="L7" s="1338">
        <f t="shared" si="12"/>
        <v>33617.252188578277</v>
      </c>
      <c r="N7" s="1351" t="s">
        <v>1310</v>
      </c>
      <c r="O7" s="1336">
        <f t="shared" si="1"/>
        <v>32.642739488809504</v>
      </c>
      <c r="P7" s="1336">
        <f t="shared" si="2"/>
        <v>30.939339126452225</v>
      </c>
      <c r="Q7" s="1336">
        <f t="shared" si="3"/>
        <v>32.852983914780708</v>
      </c>
      <c r="R7" s="1336">
        <f t="shared" si="4"/>
        <v>32.570483391954994</v>
      </c>
      <c r="S7" s="1336">
        <f t="shared" si="5"/>
        <v>34.835588523673351</v>
      </c>
      <c r="T7" s="1336">
        <f t="shared" si="6"/>
        <v>35.531316806366071</v>
      </c>
      <c r="U7" s="1336">
        <f t="shared" si="7"/>
        <v>37.107937073937279</v>
      </c>
      <c r="V7" s="1336">
        <f t="shared" si="8"/>
        <v>36.393896081636719</v>
      </c>
      <c r="W7" s="1336">
        <f t="shared" si="9"/>
        <v>36.38789333353251</v>
      </c>
      <c r="X7" s="1336">
        <f t="shared" si="10"/>
        <v>36.006850496407125</v>
      </c>
      <c r="Y7" s="1336">
        <f t="shared" si="11"/>
        <v>35.402779985158553</v>
      </c>
    </row>
    <row r="8" spans="1:29">
      <c r="A8" s="1349" t="s">
        <v>901</v>
      </c>
      <c r="B8" s="1323">
        <f t="shared" ref="B8:L8" si="13">SUM(B9:B21)</f>
        <v>6630.0069999999996</v>
      </c>
      <c r="C8" s="1323">
        <f t="shared" si="13"/>
        <v>6779.116</v>
      </c>
      <c r="D8" s="1323">
        <f t="shared" si="13"/>
        <v>7377.5660000000007</v>
      </c>
      <c r="E8" s="1323">
        <f t="shared" si="13"/>
        <v>7163.223</v>
      </c>
      <c r="F8" s="1323">
        <f t="shared" si="13"/>
        <v>7632.2809999999999</v>
      </c>
      <c r="G8" s="1323">
        <f t="shared" si="13"/>
        <v>8097.7201070000001</v>
      </c>
      <c r="H8" s="1323">
        <f t="shared" si="13"/>
        <v>8562.2123384099996</v>
      </c>
      <c r="I8" s="1323">
        <f t="shared" si="13"/>
        <v>8752.639000000001</v>
      </c>
      <c r="J8" s="1323">
        <f t="shared" si="13"/>
        <v>9193.7405220204455</v>
      </c>
      <c r="K8" s="1323">
        <f t="shared" si="13"/>
        <v>9501.2310092373737</v>
      </c>
      <c r="L8" s="1323">
        <f t="shared" si="13"/>
        <v>9917.7676859044732</v>
      </c>
      <c r="N8" s="1349" t="s">
        <v>901</v>
      </c>
      <c r="O8" s="1321">
        <f t="shared" si="1"/>
        <v>10.355648195729355</v>
      </c>
      <c r="P8" s="1321">
        <f t="shared" si="2"/>
        <v>10.031646721606219</v>
      </c>
      <c r="Q8" s="1321">
        <f t="shared" si="3"/>
        <v>10.44578575959404</v>
      </c>
      <c r="R8" s="1321">
        <f t="shared" si="4"/>
        <v>9.8526522106913692</v>
      </c>
      <c r="S8" s="1321">
        <f t="shared" si="5"/>
        <v>10.290267345648303</v>
      </c>
      <c r="T8" s="1321">
        <f t="shared" si="6"/>
        <v>10.66241468588373</v>
      </c>
      <c r="U8" s="1321">
        <f t="shared" si="7"/>
        <v>10.881549277644192</v>
      </c>
      <c r="V8" s="1321">
        <f t="shared" si="8"/>
        <v>10.781489238016331</v>
      </c>
      <c r="W8" s="1321">
        <f t="shared" si="9"/>
        <v>10.860527962311396</v>
      </c>
      <c r="X8" s="1321">
        <f t="shared" si="10"/>
        <v>10.649411293441458</v>
      </c>
      <c r="Y8" s="1321">
        <f t="shared" si="11"/>
        <v>10.444534412223188</v>
      </c>
    </row>
    <row r="9" spans="1:29">
      <c r="A9" s="764" t="s">
        <v>1309</v>
      </c>
      <c r="B9" s="1309">
        <v>4221.288679809998</v>
      </c>
      <c r="C9" s="1309">
        <v>4182.1005600299986</v>
      </c>
      <c r="D9" s="1309">
        <v>4710.9142470200004</v>
      </c>
      <c r="E9" s="1309">
        <v>4327.7016743700015</v>
      </c>
      <c r="F9" s="1309">
        <v>4696.1409682200001</v>
      </c>
      <c r="G9" s="1309">
        <v>5021.1323826400003</v>
      </c>
      <c r="H9" s="1309">
        <v>5420.17284268</v>
      </c>
      <c r="I9" s="1309">
        <v>5513.8959999999997</v>
      </c>
      <c r="J9" s="1309">
        <v>5759.7039999999997</v>
      </c>
      <c r="K9" s="1309">
        <v>5978.598</v>
      </c>
      <c r="L9" s="1309">
        <v>6265.3419999999996</v>
      </c>
      <c r="N9" s="764" t="s">
        <v>1309</v>
      </c>
      <c r="O9" s="1319">
        <f t="shared" si="1"/>
        <v>6.5933837627512535</v>
      </c>
      <c r="P9" s="1319">
        <f t="shared" si="2"/>
        <v>6.1886174203911644</v>
      </c>
      <c r="Q9" s="1319">
        <f t="shared" si="3"/>
        <v>6.6701132807473611</v>
      </c>
      <c r="R9" s="1319">
        <f t="shared" si="4"/>
        <v>5.9525355373125111</v>
      </c>
      <c r="S9" s="1319">
        <f t="shared" si="5"/>
        <v>6.3315994334898669</v>
      </c>
      <c r="T9" s="1319">
        <f t="shared" si="6"/>
        <v>6.6114159231247305</v>
      </c>
      <c r="U9" s="1319">
        <f t="shared" si="7"/>
        <v>6.8883923394877842</v>
      </c>
      <c r="V9" s="1319">
        <f t="shared" si="8"/>
        <v>6.792009859373989</v>
      </c>
      <c r="W9" s="1319">
        <f t="shared" si="9"/>
        <v>6.8039147066214847</v>
      </c>
      <c r="X9" s="1319">
        <f t="shared" si="10"/>
        <v>6.7010842066934391</v>
      </c>
      <c r="Y9" s="1319">
        <f t="shared" si="11"/>
        <v>6.5981158458017903</v>
      </c>
    </row>
    <row r="10" spans="1:29">
      <c r="A10" s="764" t="s">
        <v>1308</v>
      </c>
      <c r="B10" s="1309">
        <v>1761.71912937</v>
      </c>
      <c r="C10" s="1309">
        <v>1930.8065469600001</v>
      </c>
      <c r="D10" s="1309">
        <v>1999.1319926000001</v>
      </c>
      <c r="E10" s="1309">
        <v>1978.4394972499999</v>
      </c>
      <c r="F10" s="1309">
        <v>1984.78336704</v>
      </c>
      <c r="G10" s="1309">
        <v>2014.99334681</v>
      </c>
      <c r="H10" s="1309">
        <v>2108.2236376400001</v>
      </c>
      <c r="I10" s="1309">
        <v>2168.8580000000002</v>
      </c>
      <c r="J10" s="1309">
        <v>2259.7530000000002</v>
      </c>
      <c r="K10" s="1309">
        <v>2320.1750000000002</v>
      </c>
      <c r="L10" s="1309">
        <v>2417.7159999999999</v>
      </c>
      <c r="N10" s="764" t="s">
        <v>1308</v>
      </c>
      <c r="O10" s="1319">
        <f t="shared" si="1"/>
        <v>2.7516929504663161</v>
      </c>
      <c r="P10" s="1319">
        <f t="shared" si="2"/>
        <v>2.8571821409852127</v>
      </c>
      <c r="Q10" s="1319">
        <f t="shared" si="3"/>
        <v>2.8305411974423453</v>
      </c>
      <c r="R10" s="1319">
        <f t="shared" si="4"/>
        <v>2.7212438152908733</v>
      </c>
      <c r="S10" s="1319">
        <f t="shared" si="5"/>
        <v>2.6759957436102786</v>
      </c>
      <c r="T10" s="1319">
        <f t="shared" si="6"/>
        <v>2.6531782241291229</v>
      </c>
      <c r="U10" s="1319">
        <f t="shared" si="7"/>
        <v>2.6793004535010221</v>
      </c>
      <c r="V10" s="1319">
        <f t="shared" si="8"/>
        <v>2.671596439175159</v>
      </c>
      <c r="W10" s="1319">
        <f t="shared" si="9"/>
        <v>2.6694369485015237</v>
      </c>
      <c r="X10" s="1319">
        <f t="shared" si="10"/>
        <v>2.600557530254576</v>
      </c>
      <c r="Y10" s="1319">
        <f t="shared" si="11"/>
        <v>2.5461292057558103</v>
      </c>
    </row>
    <row r="11" spans="1:29">
      <c r="A11" s="764" t="s">
        <v>1307</v>
      </c>
      <c r="B11" s="1309">
        <v>170.7254135</v>
      </c>
      <c r="C11" s="1309">
        <v>178.41017615000001</v>
      </c>
      <c r="D11" s="1309">
        <v>183.95781299999999</v>
      </c>
      <c r="E11" s="1309">
        <v>204.0005579825</v>
      </c>
      <c r="F11" s="1309">
        <v>212.24949600850002</v>
      </c>
      <c r="G11" s="1309">
        <v>214.70320749000001</v>
      </c>
      <c r="H11" s="1309">
        <v>217.11566062</v>
      </c>
      <c r="I11" s="1309">
        <v>222.10098000000002</v>
      </c>
      <c r="J11" s="1309">
        <v>226.10959</v>
      </c>
      <c r="K11" s="1309">
        <v>229.98151999999999</v>
      </c>
      <c r="L11" s="1309">
        <v>234.35126</v>
      </c>
      <c r="N11" s="764" t="s">
        <v>1307</v>
      </c>
      <c r="O11" s="1319">
        <f t="shared" si="1"/>
        <v>0.26666221020225517</v>
      </c>
      <c r="P11" s="1319">
        <f t="shared" si="2"/>
        <v>0.2640090328409096</v>
      </c>
      <c r="Q11" s="1319">
        <f t="shared" si="3"/>
        <v>0.26046312610439037</v>
      </c>
      <c r="R11" s="1319">
        <f t="shared" si="4"/>
        <v>0.28059248589476438</v>
      </c>
      <c r="S11" s="1319">
        <f t="shared" si="5"/>
        <v>0.28616662016330074</v>
      </c>
      <c r="T11" s="1319">
        <f t="shared" si="6"/>
        <v>0.28270360081583856</v>
      </c>
      <c r="U11" s="1319">
        <f t="shared" si="7"/>
        <v>0.27592807403133479</v>
      </c>
      <c r="V11" s="1319">
        <f t="shared" si="8"/>
        <v>0.27358369579996167</v>
      </c>
      <c r="W11" s="1319">
        <f t="shared" si="9"/>
        <v>0.26710233107624182</v>
      </c>
      <c r="X11" s="1319">
        <f t="shared" si="10"/>
        <v>0.2577737341603083</v>
      </c>
      <c r="Y11" s="1319">
        <f t="shared" si="11"/>
        <v>0.2467984608166027</v>
      </c>
    </row>
    <row r="12" spans="1:29">
      <c r="A12" s="764" t="s">
        <v>1306</v>
      </c>
      <c r="B12" s="1309">
        <v>117.92742145</v>
      </c>
      <c r="C12" s="1309">
        <v>122.04209806</v>
      </c>
      <c r="D12" s="1309">
        <v>134.51499999999999</v>
      </c>
      <c r="E12" s="1309">
        <v>134.96098344999999</v>
      </c>
      <c r="F12" s="1309">
        <v>147.36329751</v>
      </c>
      <c r="G12" s="1309">
        <v>150.82355088000003</v>
      </c>
      <c r="H12" s="1309">
        <v>142.08440791000001</v>
      </c>
      <c r="I12" s="1309">
        <v>146.41300000000001</v>
      </c>
      <c r="J12" s="1309">
        <v>152.673</v>
      </c>
      <c r="K12" s="1309">
        <v>160.90700000000001</v>
      </c>
      <c r="L12" s="1309">
        <v>171.255</v>
      </c>
      <c r="N12" s="764" t="s">
        <v>1306</v>
      </c>
      <c r="O12" s="1319">
        <f t="shared" si="1"/>
        <v>0.18419511309199335</v>
      </c>
      <c r="P12" s="1319">
        <f t="shared" si="2"/>
        <v>0.18059629203889471</v>
      </c>
      <c r="Q12" s="1319">
        <f t="shared" si="3"/>
        <v>0.19045778396991525</v>
      </c>
      <c r="R12" s="1319">
        <f t="shared" si="4"/>
        <v>0.18563203071378956</v>
      </c>
      <c r="S12" s="1319">
        <f t="shared" si="5"/>
        <v>0.1986834248259739</v>
      </c>
      <c r="T12" s="1319">
        <f t="shared" si="6"/>
        <v>0.19859210032338601</v>
      </c>
      <c r="U12" s="1319">
        <f t="shared" si="7"/>
        <v>0.18057231298992446</v>
      </c>
      <c r="V12" s="1319">
        <f t="shared" si="8"/>
        <v>0.18035134132753392</v>
      </c>
      <c r="W12" s="1319">
        <f t="shared" si="9"/>
        <v>0.18035198857511114</v>
      </c>
      <c r="X12" s="1319">
        <f t="shared" si="10"/>
        <v>0.18035187454423615</v>
      </c>
      <c r="Y12" s="1319">
        <f t="shared" si="11"/>
        <v>0.18035094160427084</v>
      </c>
    </row>
    <row r="13" spans="1:29">
      <c r="A13" s="1207" t="s">
        <v>1305</v>
      </c>
      <c r="B13" s="1309">
        <v>11.602235634000001</v>
      </c>
      <c r="C13" s="1309">
        <v>11.414696718</v>
      </c>
      <c r="D13" s="1309">
        <v>11.08755</v>
      </c>
      <c r="E13" s="1309">
        <v>10.856186249999999</v>
      </c>
      <c r="F13" s="1309">
        <v>10.698315000000001</v>
      </c>
      <c r="G13" s="1309">
        <v>10.669170599999999</v>
      </c>
      <c r="H13" s="1309">
        <v>11.277473024999999</v>
      </c>
      <c r="I13" s="1309">
        <v>11.787000000000001</v>
      </c>
      <c r="J13" s="1309">
        <v>11.735850000000001</v>
      </c>
      <c r="K13" s="1309">
        <v>11.735850000000001</v>
      </c>
      <c r="L13" s="1309">
        <v>11.735850000000001</v>
      </c>
      <c r="N13" s="1207" t="s">
        <v>1305</v>
      </c>
      <c r="O13" s="1319">
        <f t="shared" si="1"/>
        <v>1.8121952285971785E-2</v>
      </c>
      <c r="P13" s="1319">
        <f t="shared" si="2"/>
        <v>1.6891318117178401E-2</v>
      </c>
      <c r="Q13" s="1319">
        <f t="shared" si="3"/>
        <v>1.5698696819355717E-2</v>
      </c>
      <c r="R13" s="1319">
        <f t="shared" si="4"/>
        <v>1.4932137036043656E-2</v>
      </c>
      <c r="S13" s="1319">
        <f t="shared" si="5"/>
        <v>1.4424065557591424E-2</v>
      </c>
      <c r="T13" s="1319">
        <f t="shared" si="6"/>
        <v>1.4048290109866961E-2</v>
      </c>
      <c r="U13" s="1319">
        <f t="shared" si="7"/>
        <v>1.4332321320546579E-2</v>
      </c>
      <c r="V13" s="1319">
        <f t="shared" si="8"/>
        <v>1.4519211137177997E-2</v>
      </c>
      <c r="W13" s="1319">
        <f t="shared" si="9"/>
        <v>1.3863511459912483E-2</v>
      </c>
      <c r="X13" s="1319">
        <f t="shared" si="10"/>
        <v>1.3154073762297314E-2</v>
      </c>
      <c r="Y13" s="1319">
        <f t="shared" si="11"/>
        <v>1.2359181326247306E-2</v>
      </c>
    </row>
    <row r="14" spans="1:29">
      <c r="A14" s="1207" t="s">
        <v>1304</v>
      </c>
      <c r="B14" s="1309">
        <v>0</v>
      </c>
      <c r="C14" s="1309">
        <v>0</v>
      </c>
      <c r="D14" s="1309">
        <v>0</v>
      </c>
      <c r="E14" s="1309">
        <v>169.92218742</v>
      </c>
      <c r="F14" s="1309">
        <v>204.00195919000001</v>
      </c>
      <c r="G14" s="1309">
        <v>153.18760373000003</v>
      </c>
      <c r="H14" s="1309">
        <v>110.28934038</v>
      </c>
      <c r="I14" s="1309">
        <v>119.986</v>
      </c>
      <c r="J14" s="1309">
        <v>126.69199999999999</v>
      </c>
      <c r="K14" s="1309">
        <v>131.57499999999999</v>
      </c>
      <c r="L14" s="1309">
        <v>138.71199999999999</v>
      </c>
      <c r="N14" s="1207" t="s">
        <v>1304</v>
      </c>
      <c r="O14" s="1319">
        <f t="shared" si="1"/>
        <v>0</v>
      </c>
      <c r="P14" s="1319">
        <f t="shared" si="2"/>
        <v>0</v>
      </c>
      <c r="Q14" s="1319">
        <f t="shared" si="3"/>
        <v>0</v>
      </c>
      <c r="R14" s="1319">
        <f t="shared" si="4"/>
        <v>0.23371940473292208</v>
      </c>
      <c r="S14" s="1319">
        <f t="shared" si="5"/>
        <v>0.27504683057412782</v>
      </c>
      <c r="T14" s="1319">
        <f t="shared" si="6"/>
        <v>0.20170489151559529</v>
      </c>
      <c r="U14" s="1319">
        <f t="shared" si="7"/>
        <v>0.14016457951645536</v>
      </c>
      <c r="V14" s="1319">
        <f t="shared" si="8"/>
        <v>0.1477985973958971</v>
      </c>
      <c r="W14" s="1319">
        <f t="shared" si="9"/>
        <v>0.14966073985942493</v>
      </c>
      <c r="X14" s="1319">
        <f t="shared" si="10"/>
        <v>0.14747523658484632</v>
      </c>
      <c r="Y14" s="1319">
        <f t="shared" si="11"/>
        <v>0.14607947103332233</v>
      </c>
    </row>
    <row r="15" spans="1:29">
      <c r="A15" s="1207" t="s">
        <v>1303</v>
      </c>
      <c r="B15" s="1309">
        <v>112.95462790000001</v>
      </c>
      <c r="C15" s="1309">
        <v>123.32121861</v>
      </c>
      <c r="D15" s="1309">
        <v>105.70405941</v>
      </c>
      <c r="E15" s="1309">
        <v>121.16282968</v>
      </c>
      <c r="F15" s="1309">
        <v>136.41496910999999</v>
      </c>
      <c r="G15" s="1309">
        <v>148.18907462000001</v>
      </c>
      <c r="H15" s="1309">
        <v>170.19069078000001</v>
      </c>
      <c r="I15" s="1309">
        <v>165</v>
      </c>
      <c r="J15" s="1309">
        <v>187.9</v>
      </c>
      <c r="K15" s="1309">
        <v>187.9</v>
      </c>
      <c r="L15" s="1309">
        <v>187.9</v>
      </c>
      <c r="N15" s="1207" t="s">
        <v>1303</v>
      </c>
      <c r="O15" s="1319">
        <f t="shared" si="1"/>
        <v>0.17642792663897874</v>
      </c>
      <c r="P15" s="1319">
        <f t="shared" si="2"/>
        <v>0.18248911781027061</v>
      </c>
      <c r="Q15" s="1319">
        <f t="shared" si="3"/>
        <v>0.14966480252650538</v>
      </c>
      <c r="R15" s="1319">
        <f t="shared" si="4"/>
        <v>0.16665336562888994</v>
      </c>
      <c r="S15" s="1319">
        <f t="shared" si="5"/>
        <v>0.1839222772445426</v>
      </c>
      <c r="T15" s="1319">
        <f t="shared" si="6"/>
        <v>0.19512323773082071</v>
      </c>
      <c r="U15" s="1319">
        <f t="shared" si="7"/>
        <v>0.21629204172046729</v>
      </c>
      <c r="V15" s="1319">
        <f t="shared" si="8"/>
        <v>0.20324678354410533</v>
      </c>
      <c r="W15" s="1319">
        <f t="shared" si="9"/>
        <v>0.22196549916005701</v>
      </c>
      <c r="X15" s="1319">
        <f t="shared" si="10"/>
        <v>0.21060685505827573</v>
      </c>
      <c r="Y15" s="1319">
        <f t="shared" si="11"/>
        <v>0.1978800147583574</v>
      </c>
    </row>
    <row r="16" spans="1:29">
      <c r="A16" s="1207" t="s">
        <v>1302</v>
      </c>
      <c r="B16" s="1309">
        <v>30.470322289999999</v>
      </c>
      <c r="C16" s="1309">
        <v>27.352508839999999</v>
      </c>
      <c r="D16" s="1309">
        <v>28.328623610000001</v>
      </c>
      <c r="E16" s="1309">
        <v>28.599538899999999</v>
      </c>
      <c r="F16" s="1309">
        <v>28.390346529999999</v>
      </c>
      <c r="G16" s="1309">
        <v>28.20557655</v>
      </c>
      <c r="H16" s="1309">
        <v>30.440794260000001</v>
      </c>
      <c r="I16" s="1309">
        <v>35</v>
      </c>
      <c r="J16" s="1309">
        <v>39.723768999999997</v>
      </c>
      <c r="K16" s="1309">
        <v>42.204329999999999</v>
      </c>
      <c r="L16" s="1309">
        <v>45.238199999999999</v>
      </c>
      <c r="N16" s="1207" t="s">
        <v>1302</v>
      </c>
      <c r="O16" s="1319">
        <f t="shared" si="1"/>
        <v>4.7592700587756609E-2</v>
      </c>
      <c r="P16" s="1319">
        <f t="shared" si="2"/>
        <v>4.047588293702175E-2</v>
      </c>
      <c r="Q16" s="1319">
        <f t="shared" si="3"/>
        <v>4.011007601887092E-2</v>
      </c>
      <c r="R16" s="1319">
        <f t="shared" si="4"/>
        <v>3.933722434270702E-2</v>
      </c>
      <c r="S16" s="1319">
        <f t="shared" si="5"/>
        <v>3.8277450192059047E-2</v>
      </c>
      <c r="T16" s="1319">
        <f t="shared" si="6"/>
        <v>3.7138793346360069E-2</v>
      </c>
      <c r="U16" s="1319">
        <f t="shared" si="7"/>
        <v>3.868661389123295E-2</v>
      </c>
      <c r="V16" s="1319">
        <f t="shared" si="8"/>
        <v>4.3112954085113252E-2</v>
      </c>
      <c r="W16" s="1319">
        <f t="shared" si="9"/>
        <v>4.6925525357125061E-2</v>
      </c>
      <c r="X16" s="1319">
        <f t="shared" si="10"/>
        <v>4.7304530128481299E-2</v>
      </c>
      <c r="Y16" s="1319">
        <f t="shared" si="11"/>
        <v>4.7640956272706349E-2</v>
      </c>
    </row>
    <row r="17" spans="1:25">
      <c r="A17" s="1207" t="s">
        <v>1301</v>
      </c>
      <c r="B17" s="1309">
        <v>0</v>
      </c>
      <c r="C17" s="1309">
        <v>0</v>
      </c>
      <c r="D17" s="1309">
        <v>0</v>
      </c>
      <c r="E17" s="1309">
        <v>7.1982140560622003</v>
      </c>
      <c r="F17" s="1309">
        <v>7.5537679645181202</v>
      </c>
      <c r="G17" s="1309">
        <v>53.649000000000001</v>
      </c>
      <c r="H17" s="1309">
        <v>47.68</v>
      </c>
      <c r="I17" s="1309">
        <v>64.539000000000001</v>
      </c>
      <c r="J17" s="1309">
        <v>55.340522020445498</v>
      </c>
      <c r="K17" s="1309">
        <v>59.531009237373198</v>
      </c>
      <c r="L17" s="1309">
        <v>61.267685904472899</v>
      </c>
      <c r="N17" s="1207" t="s">
        <v>1301</v>
      </c>
      <c r="O17" s="1319">
        <f t="shared" si="1"/>
        <v>0</v>
      </c>
      <c r="P17" s="1319">
        <f t="shared" si="2"/>
        <v>0</v>
      </c>
      <c r="Q17" s="1319">
        <f t="shared" si="3"/>
        <v>0</v>
      </c>
      <c r="R17" s="1319">
        <f t="shared" si="4"/>
        <v>9.9007806447587807E-3</v>
      </c>
      <c r="S17" s="1319">
        <f t="shared" si="5"/>
        <v>1.0184411687919386E-2</v>
      </c>
      <c r="T17" s="1319">
        <f t="shared" si="6"/>
        <v>7.0640609693152029E-2</v>
      </c>
      <c r="U17" s="1319">
        <f t="shared" si="7"/>
        <v>6.0595585469259937E-2</v>
      </c>
      <c r="V17" s="1319">
        <f t="shared" si="8"/>
        <v>7.949905553426069E-2</v>
      </c>
      <c r="W17" s="1319">
        <f t="shared" si="9"/>
        <v>6.5373531634094262E-2</v>
      </c>
      <c r="X17" s="1319">
        <f t="shared" si="10"/>
        <v>6.6725059254541405E-2</v>
      </c>
      <c r="Y17" s="1319">
        <f t="shared" si="11"/>
        <v>6.4521823262307085E-2</v>
      </c>
    </row>
    <row r="18" spans="1:25">
      <c r="A18" s="1207" t="s">
        <v>1300</v>
      </c>
      <c r="B18" s="1309">
        <v>45.86</v>
      </c>
      <c r="C18" s="1309">
        <v>46.51</v>
      </c>
      <c r="D18" s="1309">
        <v>48.38</v>
      </c>
      <c r="E18" s="1309">
        <v>25.45</v>
      </c>
      <c r="F18" s="1309">
        <v>0</v>
      </c>
      <c r="G18" s="1309">
        <v>32.369999999999997</v>
      </c>
      <c r="H18" s="1309">
        <v>8.6029999999999998</v>
      </c>
      <c r="I18" s="1309">
        <v>8.48</v>
      </c>
      <c r="J18" s="1309">
        <v>8.8000000000000007</v>
      </c>
      <c r="K18" s="1309">
        <v>9.1470000000000002</v>
      </c>
      <c r="L18" s="1309">
        <v>9.1470000000000002</v>
      </c>
      <c r="N18" s="1207" t="s">
        <v>1300</v>
      </c>
      <c r="O18" s="1319">
        <f t="shared" si="1"/>
        <v>7.1630395903978406E-2</v>
      </c>
      <c r="P18" s="1319">
        <f t="shared" si="2"/>
        <v>6.8824886463353802E-2</v>
      </c>
      <c r="Q18" s="1319">
        <f t="shared" si="3"/>
        <v>6.8500521045716106E-2</v>
      </c>
      <c r="R18" s="1319">
        <f t="shared" si="4"/>
        <v>3.5005192322240329E-2</v>
      </c>
      <c r="S18" s="1319">
        <f t="shared" si="5"/>
        <v>0</v>
      </c>
      <c r="T18" s="1319">
        <f t="shared" si="6"/>
        <v>4.2622165105916807E-2</v>
      </c>
      <c r="U18" s="1319">
        <f t="shared" si="7"/>
        <v>1.093338552416198E-2</v>
      </c>
      <c r="V18" s="1319">
        <f t="shared" si="8"/>
        <v>1.0445652875478868E-2</v>
      </c>
      <c r="W18" s="1319">
        <f t="shared" si="9"/>
        <v>1.0395403898927631E-2</v>
      </c>
      <c r="X18" s="1319">
        <f t="shared" si="10"/>
        <v>1.0252373087908717E-2</v>
      </c>
      <c r="Y18" s="1319">
        <f t="shared" si="11"/>
        <v>9.6328286056130644E-3</v>
      </c>
    </row>
    <row r="19" spans="1:25">
      <c r="A19" s="1207" t="s">
        <v>1299</v>
      </c>
      <c r="B19" s="1309">
        <v>0</v>
      </c>
      <c r="C19" s="1309">
        <v>0</v>
      </c>
      <c r="D19" s="1309">
        <v>0</v>
      </c>
      <c r="E19" s="1309">
        <v>0</v>
      </c>
      <c r="F19" s="1309">
        <v>0</v>
      </c>
      <c r="G19" s="1309">
        <v>0</v>
      </c>
      <c r="H19" s="1309">
        <v>33.51</v>
      </c>
      <c r="I19" s="1309">
        <v>9.6</v>
      </c>
      <c r="J19" s="1309">
        <v>9.6</v>
      </c>
      <c r="K19" s="1309">
        <v>9.6</v>
      </c>
      <c r="L19" s="1309">
        <v>9.6</v>
      </c>
      <c r="N19" s="1207" t="s">
        <v>1299</v>
      </c>
      <c r="O19" s="1319">
        <f t="shared" si="1"/>
        <v>0</v>
      </c>
      <c r="P19" s="1319">
        <f t="shared" si="2"/>
        <v>0</v>
      </c>
      <c r="Q19" s="1319">
        <f t="shared" si="3"/>
        <v>0</v>
      </c>
      <c r="R19" s="1319">
        <f t="shared" si="4"/>
        <v>0</v>
      </c>
      <c r="S19" s="1319">
        <f t="shared" si="5"/>
        <v>0</v>
      </c>
      <c r="T19" s="1319">
        <f t="shared" si="6"/>
        <v>0</v>
      </c>
      <c r="U19" s="1319">
        <f t="shared" si="7"/>
        <v>4.2587207824557473E-2</v>
      </c>
      <c r="V19" s="1319">
        <f t="shared" si="8"/>
        <v>1.182526740620249E-2</v>
      </c>
      <c r="W19" s="1319">
        <f t="shared" si="9"/>
        <v>1.1340440617011961E-2</v>
      </c>
      <c r="X19" s="1319">
        <f t="shared" si="10"/>
        <v>1.0760116064712331E-2</v>
      </c>
      <c r="Y19" s="1319">
        <f t="shared" si="11"/>
        <v>1.0109888992444017E-2</v>
      </c>
    </row>
    <row r="20" spans="1:25">
      <c r="A20" s="764" t="s">
        <v>1298</v>
      </c>
      <c r="B20" s="1309">
        <v>0</v>
      </c>
      <c r="C20" s="1309">
        <v>0</v>
      </c>
      <c r="D20" s="1309">
        <v>0</v>
      </c>
      <c r="E20" s="1309">
        <v>0</v>
      </c>
      <c r="F20" s="1309">
        <v>3.984</v>
      </c>
      <c r="G20" s="1309">
        <v>52.466107000000001</v>
      </c>
      <c r="H20" s="1309">
        <v>56.428338410000002</v>
      </c>
      <c r="I20" s="1309">
        <v>54.274999999999999</v>
      </c>
      <c r="J20" s="1309">
        <v>120.83</v>
      </c>
      <c r="K20" s="1309">
        <v>125.387</v>
      </c>
      <c r="L20" s="1309">
        <v>131.04</v>
      </c>
      <c r="N20" s="764" t="s">
        <v>1298</v>
      </c>
      <c r="O20" s="1319">
        <f t="shared" si="1"/>
        <v>0</v>
      </c>
      <c r="P20" s="1319">
        <f t="shared" si="2"/>
        <v>0</v>
      </c>
      <c r="Q20" s="1319">
        <f t="shared" si="3"/>
        <v>0</v>
      </c>
      <c r="R20" s="1319">
        <f t="shared" si="4"/>
        <v>0</v>
      </c>
      <c r="S20" s="1319">
        <f t="shared" si="5"/>
        <v>5.3714512221264962E-3</v>
      </c>
      <c r="T20" s="1319">
        <f t="shared" si="6"/>
        <v>6.9083073062054287E-2</v>
      </c>
      <c r="U20" s="1319">
        <f t="shared" si="7"/>
        <v>7.1713678754435364E-2</v>
      </c>
      <c r="V20" s="1319">
        <f t="shared" si="8"/>
        <v>6.685587379912919E-2</v>
      </c>
      <c r="W20" s="1319">
        <f t="shared" si="9"/>
        <v>0.14273598330766202</v>
      </c>
      <c r="X20" s="1319">
        <f t="shared" si="10"/>
        <v>0.14053944510480051</v>
      </c>
      <c r="Y20" s="1319">
        <f t="shared" si="11"/>
        <v>0.13799998474686084</v>
      </c>
    </row>
    <row r="21" spans="1:25">
      <c r="A21" s="1207" t="s">
        <v>1285</v>
      </c>
      <c r="B21" s="1309">
        <v>157.45917004600233</v>
      </c>
      <c r="C21" s="1309">
        <v>157.15819463200114</v>
      </c>
      <c r="D21" s="1309">
        <v>155.5467143599999</v>
      </c>
      <c r="E21" s="1309">
        <v>154.93133064143603</v>
      </c>
      <c r="F21" s="1309">
        <v>200.70051342698116</v>
      </c>
      <c r="G21" s="1309">
        <v>217.33108668000023</v>
      </c>
      <c r="H21" s="1309">
        <v>206.19615270500071</v>
      </c>
      <c r="I21" s="1309">
        <v>232.70401999999922</v>
      </c>
      <c r="J21" s="1309">
        <v>234.878791000001</v>
      </c>
      <c r="K21" s="1309">
        <v>234.48929999999928</v>
      </c>
      <c r="L21" s="1309">
        <v>234.46269000000211</v>
      </c>
      <c r="N21" s="1207" t="s">
        <v>1285</v>
      </c>
      <c r="O21" s="1319">
        <f t="shared" si="1"/>
        <v>0.24594118380085053</v>
      </c>
      <c r="P21" s="1319">
        <f t="shared" si="2"/>
        <v>0.23256063002221328</v>
      </c>
      <c r="Q21" s="1319">
        <f t="shared" si="3"/>
        <v>0.22023627491957759</v>
      </c>
      <c r="R21" s="1319">
        <f t="shared" si="4"/>
        <v>0.21310023677186934</v>
      </c>
      <c r="S21" s="1319">
        <f t="shared" si="5"/>
        <v>0.27059563708051537</v>
      </c>
      <c r="T21" s="1319">
        <f t="shared" si="6"/>
        <v>0.2861637769268856</v>
      </c>
      <c r="U21" s="1319">
        <f t="shared" si="7"/>
        <v>0.2620506836130127</v>
      </c>
      <c r="V21" s="1319">
        <f t="shared" si="8"/>
        <v>0.28664450656232121</v>
      </c>
      <c r="W21" s="1319">
        <f t="shared" si="9"/>
        <v>0.27746135224282026</v>
      </c>
      <c r="X21" s="1319">
        <f t="shared" si="10"/>
        <v>0.26282625874303556</v>
      </c>
      <c r="Y21" s="1319">
        <f t="shared" si="11"/>
        <v>0.24691580924685783</v>
      </c>
    </row>
    <row r="22" spans="1:25">
      <c r="A22" s="1349" t="s">
        <v>900</v>
      </c>
      <c r="B22" s="1350">
        <f t="shared" ref="B22:L22" si="14">SUM(B23:B30)</f>
        <v>3738.6759999999999</v>
      </c>
      <c r="C22" s="1350">
        <f t="shared" si="14"/>
        <v>3812.0509999999999</v>
      </c>
      <c r="D22" s="1350">
        <f t="shared" si="14"/>
        <v>4053.4289999999996</v>
      </c>
      <c r="E22" s="1350">
        <f t="shared" si="14"/>
        <v>4227.83</v>
      </c>
      <c r="F22" s="1350">
        <f t="shared" si="14"/>
        <v>4714.5160000000005</v>
      </c>
      <c r="G22" s="1350">
        <f t="shared" si="14"/>
        <v>5206.7150000000001</v>
      </c>
      <c r="H22" s="1350">
        <f t="shared" si="14"/>
        <v>5825.1839999999993</v>
      </c>
      <c r="I22" s="1350">
        <f t="shared" si="14"/>
        <v>6256.9</v>
      </c>
      <c r="J22" s="1350">
        <f t="shared" si="14"/>
        <v>6488.9</v>
      </c>
      <c r="K22" s="1350">
        <f t="shared" si="14"/>
        <v>6938.5</v>
      </c>
      <c r="L22" s="1350">
        <f t="shared" si="14"/>
        <v>7380.3</v>
      </c>
      <c r="N22" s="1349" t="s">
        <v>900</v>
      </c>
      <c r="O22" s="1348">
        <f t="shared" si="1"/>
        <v>5.8395735289294022</v>
      </c>
      <c r="P22" s="1348">
        <f t="shared" si="2"/>
        <v>5.6410229470547062</v>
      </c>
      <c r="Q22" s="1348">
        <f t="shared" si="3"/>
        <v>5.739189717276064</v>
      </c>
      <c r="R22" s="1348">
        <f t="shared" si="4"/>
        <v>5.8151670827401709</v>
      </c>
      <c r="S22" s="1348">
        <f t="shared" si="5"/>
        <v>6.3563736771925008</v>
      </c>
      <c r="T22" s="1348">
        <f t="shared" si="6"/>
        <v>6.855775915645772</v>
      </c>
      <c r="U22" s="1348">
        <f t="shared" si="7"/>
        <v>7.4031131490387052</v>
      </c>
      <c r="V22" s="1348">
        <f t="shared" si="8"/>
        <v>7.7072412118612874</v>
      </c>
      <c r="W22" s="1348">
        <f t="shared" si="9"/>
        <v>7.6653109499717615</v>
      </c>
      <c r="X22" s="1348">
        <f t="shared" si="10"/>
        <v>7.7769859703131772</v>
      </c>
      <c r="Y22" s="1348">
        <f t="shared" si="11"/>
        <v>7.7722930969723523</v>
      </c>
    </row>
    <row r="23" spans="1:25">
      <c r="A23" s="764" t="s">
        <v>1297</v>
      </c>
      <c r="B23" s="1309">
        <v>1788.9695691818115</v>
      </c>
      <c r="C23" s="1309">
        <v>1789.5542219474999</v>
      </c>
      <c r="D23" s="1309">
        <v>1999.6115808375</v>
      </c>
      <c r="E23" s="1309">
        <v>2128.7798500099998</v>
      </c>
      <c r="F23" s="1309">
        <v>2145.38122737</v>
      </c>
      <c r="G23" s="1309">
        <v>2275.1165548399999</v>
      </c>
      <c r="H23" s="1309">
        <v>2464.4065920304201</v>
      </c>
      <c r="I23" s="1309">
        <v>2653.03</v>
      </c>
      <c r="J23" s="1309">
        <v>2815.1619999999998</v>
      </c>
      <c r="K23" s="1309">
        <v>2999.3029999999999</v>
      </c>
      <c r="L23" s="1309">
        <v>3204.2559999999999</v>
      </c>
      <c r="N23" s="764" t="s">
        <v>1297</v>
      </c>
      <c r="O23" s="1319">
        <f t="shared" si="1"/>
        <v>2.7942563999272316</v>
      </c>
      <c r="P23" s="1319">
        <f t="shared" si="2"/>
        <v>2.6481588076876403</v>
      </c>
      <c r="Q23" s="1319">
        <f t="shared" si="3"/>
        <v>2.8312202392810422</v>
      </c>
      <c r="R23" s="1319">
        <f t="shared" si="4"/>
        <v>2.9280293933717081</v>
      </c>
      <c r="S23" s="1319">
        <f t="shared" si="5"/>
        <v>2.8925227449005599</v>
      </c>
      <c r="T23" s="1319">
        <f t="shared" si="6"/>
        <v>2.9956871620511309</v>
      </c>
      <c r="U23" s="1319">
        <f t="shared" si="7"/>
        <v>3.1319664487916716</v>
      </c>
      <c r="V23" s="1319">
        <f t="shared" si="8"/>
        <v>3.2679988736122287</v>
      </c>
      <c r="W23" s="1319">
        <f t="shared" si="9"/>
        <v>3.3255393216946483</v>
      </c>
      <c r="X23" s="1319">
        <f t="shared" si="10"/>
        <v>3.3617550409624877</v>
      </c>
      <c r="Y23" s="1319">
        <f t="shared" si="11"/>
        <v>3.3744450482679893</v>
      </c>
    </row>
    <row r="24" spans="1:25">
      <c r="A24" s="764" t="s">
        <v>1296</v>
      </c>
      <c r="B24" s="1309">
        <v>1582.1708174100002</v>
      </c>
      <c r="C24" s="1309">
        <v>1659.2300023400003</v>
      </c>
      <c r="D24" s="1309">
        <v>1659.72</v>
      </c>
      <c r="E24" s="1309">
        <v>1670.7027855800004</v>
      </c>
      <c r="F24" s="1309">
        <v>2047.2070796099999</v>
      </c>
      <c r="G24" s="1309">
        <v>2363.5892069525039</v>
      </c>
      <c r="H24" s="1309">
        <v>2860</v>
      </c>
      <c r="I24" s="1309">
        <v>3070.942</v>
      </c>
      <c r="J24" s="1309">
        <v>3005.0250000000001</v>
      </c>
      <c r="K24" s="1309">
        <v>3191.337</v>
      </c>
      <c r="L24" s="1309">
        <v>3467.558</v>
      </c>
      <c r="N24" s="764" t="s">
        <v>1296</v>
      </c>
      <c r="O24" s="1319">
        <f t="shared" si="1"/>
        <v>2.4712499354295558</v>
      </c>
      <c r="P24" s="1319">
        <f t="shared" si="2"/>
        <v>2.4553067410802152</v>
      </c>
      <c r="Q24" s="1319">
        <f t="shared" si="3"/>
        <v>2.3499728150061165</v>
      </c>
      <c r="R24" s="1319">
        <f t="shared" si="4"/>
        <v>2.2979674782919672</v>
      </c>
      <c r="S24" s="1319">
        <f t="shared" si="5"/>
        <v>2.760158877941052</v>
      </c>
      <c r="T24" s="1319">
        <f t="shared" si="6"/>
        <v>3.1121807050136727</v>
      </c>
      <c r="U24" s="1319">
        <f t="shared" si="7"/>
        <v>3.6347184237014143</v>
      </c>
      <c r="V24" s="1319">
        <f t="shared" si="8"/>
        <v>3.7827823269727388</v>
      </c>
      <c r="W24" s="1319">
        <f t="shared" si="9"/>
        <v>3.5498237047017054</v>
      </c>
      <c r="X24" s="1319">
        <f t="shared" si="10"/>
        <v>3.5769954710011307</v>
      </c>
      <c r="Y24" s="1319">
        <f t="shared" si="11"/>
        <v>3.6517319223813738</v>
      </c>
    </row>
    <row r="25" spans="1:25">
      <c r="A25" s="764" t="s">
        <v>1295</v>
      </c>
      <c r="B25" s="1309">
        <v>155.75460287000001</v>
      </c>
      <c r="C25" s="1309">
        <v>152.33208142999999</v>
      </c>
      <c r="D25" s="1309">
        <v>143.19999775000002</v>
      </c>
      <c r="E25" s="1309">
        <v>167.14435710000001</v>
      </c>
      <c r="F25" s="1309">
        <v>177.78424103</v>
      </c>
      <c r="G25" s="1309">
        <v>175.06086264999999</v>
      </c>
      <c r="H25" s="1309">
        <v>162.00453797</v>
      </c>
      <c r="I25" s="1309">
        <v>174.61099999999999</v>
      </c>
      <c r="J25" s="1309">
        <v>190.024</v>
      </c>
      <c r="K25" s="1309">
        <v>261.24400000000003</v>
      </c>
      <c r="L25" s="1309">
        <v>268.79899999999998</v>
      </c>
      <c r="N25" s="764" t="s">
        <v>1295</v>
      </c>
      <c r="O25" s="1319">
        <f t="shared" si="1"/>
        <v>0.2432787585574582</v>
      </c>
      <c r="P25" s="1319">
        <f t="shared" si="2"/>
        <v>0.2254190111620322</v>
      </c>
      <c r="Q25" s="1319">
        <f t="shared" si="3"/>
        <v>0.2027547428611074</v>
      </c>
      <c r="R25" s="1319">
        <f t="shared" si="4"/>
        <v>0.22989863913016567</v>
      </c>
      <c r="S25" s="1319">
        <f t="shared" si="5"/>
        <v>0.23969863924583965</v>
      </c>
      <c r="T25" s="1319">
        <f t="shared" si="6"/>
        <v>0.23050580758271622</v>
      </c>
      <c r="U25" s="1319">
        <f t="shared" si="7"/>
        <v>0.2058884191897882</v>
      </c>
      <c r="V25" s="1319">
        <f t="shared" si="8"/>
        <v>0.21508560073587743</v>
      </c>
      <c r="W25" s="1319">
        <f t="shared" si="9"/>
        <v>0.22447457164657092</v>
      </c>
      <c r="X25" s="1319">
        <f t="shared" si="10"/>
        <v>0.29281414179267795</v>
      </c>
      <c r="Y25" s="1319">
        <f t="shared" si="11"/>
        <v>0.28307583867499575</v>
      </c>
    </row>
    <row r="26" spans="1:25">
      <c r="A26" s="764" t="s">
        <v>1294</v>
      </c>
      <c r="B26" s="1309">
        <v>84.088636500000007</v>
      </c>
      <c r="C26" s="1309">
        <v>87.873668850000001</v>
      </c>
      <c r="D26" s="1309">
        <v>90.606086999999988</v>
      </c>
      <c r="E26" s="1309">
        <v>100.47788676750001</v>
      </c>
      <c r="F26" s="1309">
        <v>104.5407965415</v>
      </c>
      <c r="G26" s="1309">
        <v>105.74934154</v>
      </c>
      <c r="H26" s="1309">
        <v>106.93756352</v>
      </c>
      <c r="I26" s="1309">
        <v>109.39302000000002</v>
      </c>
      <c r="J26" s="1309">
        <v>111.36741000000001</v>
      </c>
      <c r="K26" s="1309">
        <v>113.27447999999998</v>
      </c>
      <c r="L26" s="1309">
        <v>115.42674000000001</v>
      </c>
      <c r="N26" s="764" t="s">
        <v>1294</v>
      </c>
      <c r="O26" s="1319">
        <f t="shared" si="1"/>
        <v>0.13134108860708091</v>
      </c>
      <c r="P26" s="1319">
        <f t="shared" si="2"/>
        <v>0.13003429975746295</v>
      </c>
      <c r="Q26" s="1319">
        <f t="shared" si="3"/>
        <v>0.12828780837977435</v>
      </c>
      <c r="R26" s="1319">
        <f t="shared" si="4"/>
        <v>0.13820226917204814</v>
      </c>
      <c r="S26" s="1319">
        <f t="shared" si="5"/>
        <v>0.14094773828938695</v>
      </c>
      <c r="T26" s="1319">
        <f t="shared" si="6"/>
        <v>0.13924207275130884</v>
      </c>
      <c r="U26" s="1319">
        <f t="shared" si="7"/>
        <v>0.13590487143772176</v>
      </c>
      <c r="V26" s="1319">
        <f t="shared" si="8"/>
        <v>0.13475017852833934</v>
      </c>
      <c r="W26" s="1319">
        <f t="shared" si="9"/>
        <v>0.13155786455994001</v>
      </c>
      <c r="X26" s="1319">
        <f t="shared" si="10"/>
        <v>0.12696318249686828</v>
      </c>
      <c r="Y26" s="1319">
        <f t="shared" si="11"/>
        <v>0.12155745084996851</v>
      </c>
    </row>
    <row r="27" spans="1:25">
      <c r="A27" s="764" t="s">
        <v>1293</v>
      </c>
      <c r="B27" s="1309">
        <v>65.746001926000005</v>
      </c>
      <c r="C27" s="1309">
        <v>64.683281401999992</v>
      </c>
      <c r="D27" s="1309">
        <v>62.829449999999994</v>
      </c>
      <c r="E27" s="1309">
        <v>61.518388749999993</v>
      </c>
      <c r="F27" s="1309">
        <v>60.623785000000005</v>
      </c>
      <c r="G27" s="1309">
        <v>60.458633810000002</v>
      </c>
      <c r="H27" s="1309">
        <v>63.905680474999997</v>
      </c>
      <c r="I27" s="1309">
        <v>66.793000000000006</v>
      </c>
      <c r="J27" s="1309">
        <v>66.503150000000005</v>
      </c>
      <c r="K27" s="1309">
        <v>66.503150000000005</v>
      </c>
      <c r="L27" s="1309">
        <v>66.503150000000005</v>
      </c>
      <c r="N27" s="764" t="s">
        <v>1293</v>
      </c>
      <c r="O27" s="1319">
        <f t="shared" si="1"/>
        <v>0.1026910629538401</v>
      </c>
      <c r="P27" s="1319">
        <f t="shared" si="2"/>
        <v>9.5717469330677596E-2</v>
      </c>
      <c r="Q27" s="1319">
        <f t="shared" si="3"/>
        <v>8.8959281976349058E-2</v>
      </c>
      <c r="R27" s="1319">
        <f t="shared" si="4"/>
        <v>8.4615443204247368E-2</v>
      </c>
      <c r="S27" s="1319">
        <f t="shared" si="5"/>
        <v>8.1736371493018073E-2</v>
      </c>
      <c r="T27" s="1319">
        <f t="shared" si="6"/>
        <v>7.9606977829100534E-2</v>
      </c>
      <c r="U27" s="1319">
        <f t="shared" si="7"/>
        <v>8.1216487483097288E-2</v>
      </c>
      <c r="V27" s="1319">
        <f t="shared" si="8"/>
        <v>8.2275529777341982E-2</v>
      </c>
      <c r="W27" s="1319">
        <f t="shared" si="9"/>
        <v>7.8559898272837408E-2</v>
      </c>
      <c r="X27" s="1319">
        <f t="shared" si="10"/>
        <v>7.4539751319684766E-2</v>
      </c>
      <c r="Y27" s="1319">
        <f t="shared" si="11"/>
        <v>7.003536084873474E-2</v>
      </c>
    </row>
    <row r="28" spans="1:25">
      <c r="A28" s="764" t="s">
        <v>1292</v>
      </c>
      <c r="B28" s="1309">
        <v>0</v>
      </c>
      <c r="C28" s="1309">
        <v>0</v>
      </c>
      <c r="D28" s="1309">
        <v>0</v>
      </c>
      <c r="E28" s="1309">
        <v>30.381</v>
      </c>
      <c r="F28" s="1309">
        <v>100.258496268</v>
      </c>
      <c r="G28" s="1309">
        <v>140.80611732</v>
      </c>
      <c r="H28" s="1309">
        <v>90.326407570000001</v>
      </c>
      <c r="I28" s="1309">
        <v>95.114000000000004</v>
      </c>
      <c r="J28" s="1309">
        <v>211.6</v>
      </c>
      <c r="K28" s="1309">
        <v>217.6</v>
      </c>
      <c r="L28" s="1309">
        <v>168.75</v>
      </c>
      <c r="N28" s="764" t="s">
        <v>1292</v>
      </c>
      <c r="O28" s="1319">
        <f t="shared" si="1"/>
        <v>0</v>
      </c>
      <c r="P28" s="1319">
        <f t="shared" si="2"/>
        <v>0</v>
      </c>
      <c r="Q28" s="1319">
        <f t="shared" si="3"/>
        <v>0</v>
      </c>
      <c r="R28" s="1319">
        <f t="shared" si="4"/>
        <v>4.1787534300274397E-2</v>
      </c>
      <c r="S28" s="1319">
        <f t="shared" si="5"/>
        <v>0.13517410198476743</v>
      </c>
      <c r="T28" s="1319">
        <f t="shared" si="6"/>
        <v>0.18540196417473376</v>
      </c>
      <c r="U28" s="1319">
        <f t="shared" si="7"/>
        <v>0.11479407613337127</v>
      </c>
      <c r="V28" s="1319">
        <f t="shared" si="8"/>
        <v>0.11716130042432747</v>
      </c>
      <c r="W28" s="1319">
        <f t="shared" si="9"/>
        <v>0.24996221193330528</v>
      </c>
      <c r="X28" s="1319">
        <f t="shared" si="10"/>
        <v>0.24389596413347947</v>
      </c>
      <c r="Y28" s="1319">
        <f t="shared" si="11"/>
        <v>0.177712892445305</v>
      </c>
    </row>
    <row r="29" spans="1:25">
      <c r="A29" s="764" t="s">
        <v>1291</v>
      </c>
      <c r="B29" s="1309">
        <v>0</v>
      </c>
      <c r="C29" s="1309">
        <v>0</v>
      </c>
      <c r="D29" s="1309">
        <v>39.465828159999994</v>
      </c>
      <c r="E29" s="1309">
        <v>0</v>
      </c>
      <c r="F29" s="1309">
        <v>1.1806889999999999E-2</v>
      </c>
      <c r="G29" s="1309">
        <v>6.2692699999999995E-3</v>
      </c>
      <c r="H29" s="1309">
        <v>0</v>
      </c>
      <c r="I29" s="1309">
        <v>0</v>
      </c>
      <c r="J29" s="1309">
        <v>0</v>
      </c>
      <c r="K29" s="1309">
        <v>0</v>
      </c>
      <c r="L29" s="1309">
        <v>0</v>
      </c>
      <c r="N29" s="764" t="s">
        <v>1291</v>
      </c>
      <c r="O29" s="1319">
        <f t="shared" si="1"/>
        <v>0</v>
      </c>
      <c r="P29" s="1319">
        <f t="shared" si="2"/>
        <v>0</v>
      </c>
      <c r="Q29" s="1319">
        <f t="shared" si="3"/>
        <v>5.5879077975624108E-2</v>
      </c>
      <c r="R29" s="1319">
        <f t="shared" si="4"/>
        <v>0</v>
      </c>
      <c r="S29" s="1319">
        <f t="shared" si="5"/>
        <v>1.5918708263055496E-5</v>
      </c>
      <c r="T29" s="1319">
        <f t="shared" si="6"/>
        <v>8.2548613232490293E-6</v>
      </c>
      <c r="U29" s="1319">
        <f t="shared" si="7"/>
        <v>0</v>
      </c>
      <c r="V29" s="1319">
        <f t="shared" si="8"/>
        <v>0</v>
      </c>
      <c r="W29" s="1319">
        <f t="shared" si="9"/>
        <v>0</v>
      </c>
      <c r="X29" s="1319">
        <f t="shared" si="10"/>
        <v>0</v>
      </c>
      <c r="Y29" s="1319">
        <f t="shared" si="11"/>
        <v>0</v>
      </c>
    </row>
    <row r="30" spans="1:25">
      <c r="A30" s="764" t="s">
        <v>1285</v>
      </c>
      <c r="B30" s="1309">
        <v>61.946372112187873</v>
      </c>
      <c r="C30" s="1309">
        <v>58.377744030499798</v>
      </c>
      <c r="D30" s="1309">
        <v>57.996056252499329</v>
      </c>
      <c r="E30" s="1309">
        <v>68.825731792499028</v>
      </c>
      <c r="F30" s="1309">
        <v>78.708567290500469</v>
      </c>
      <c r="G30" s="1309">
        <v>85.928013617495708</v>
      </c>
      <c r="H30" s="1309">
        <v>77.603218434578594</v>
      </c>
      <c r="I30" s="1309">
        <v>87.016980000000331</v>
      </c>
      <c r="J30" s="1309">
        <v>89.218439999998736</v>
      </c>
      <c r="K30" s="1309">
        <v>89.238370000000941</v>
      </c>
      <c r="L30" s="1309">
        <v>89.007109999999557</v>
      </c>
      <c r="N30" s="764" t="s">
        <v>1285</v>
      </c>
      <c r="O30" s="1319">
        <f t="shared" si="1"/>
        <v>9.6756283454234288E-2</v>
      </c>
      <c r="P30" s="1319">
        <f t="shared" si="2"/>
        <v>8.6386618036677701E-2</v>
      </c>
      <c r="Q30" s="1319">
        <f t="shared" si="3"/>
        <v>8.2115751796049311E-2</v>
      </c>
      <c r="R30" s="1319">
        <f t="shared" si="4"/>
        <v>9.4666325269758711E-2</v>
      </c>
      <c r="S30" s="1319">
        <f t="shared" si="5"/>
        <v>0.10611928462961455</v>
      </c>
      <c r="T30" s="1319">
        <f t="shared" si="6"/>
        <v>0.11314297138178468</v>
      </c>
      <c r="U30" s="1319">
        <f t="shared" si="7"/>
        <v>9.8624422301639161E-2</v>
      </c>
      <c r="V30" s="1319">
        <f t="shared" si="8"/>
        <v>0.10718740181043521</v>
      </c>
      <c r="W30" s="1319">
        <f t="shared" si="9"/>
        <v>0.10539337716275315</v>
      </c>
      <c r="X30" s="1319">
        <f t="shared" si="10"/>
        <v>0.10002241860684927</v>
      </c>
      <c r="Y30" s="1319">
        <f t="shared" si="11"/>
        <v>9.3734583503984309E-2</v>
      </c>
    </row>
    <row r="31" spans="1:25">
      <c r="A31" s="1349" t="s">
        <v>899</v>
      </c>
      <c r="B31" s="1350">
        <v>4.4999999999999998E-2</v>
      </c>
      <c r="C31" s="1350">
        <v>0.02</v>
      </c>
      <c r="D31" s="1350">
        <v>1.2999999999999999E-2</v>
      </c>
      <c r="E31" s="1350">
        <v>1.2E-2</v>
      </c>
      <c r="F31" s="1350">
        <v>7.0000000000000001E-3</v>
      </c>
      <c r="G31" s="1350">
        <v>4.0000000000000001E-3</v>
      </c>
      <c r="H31" s="1350">
        <v>-6.0000000000000001E-3</v>
      </c>
      <c r="I31" s="1350">
        <v>0</v>
      </c>
      <c r="J31" s="1350">
        <v>0</v>
      </c>
      <c r="K31" s="1350">
        <v>0</v>
      </c>
      <c r="L31" s="1350">
        <v>0</v>
      </c>
      <c r="N31" s="1349" t="s">
        <v>899</v>
      </c>
      <c r="O31" s="1348">
        <f t="shared" si="1"/>
        <v>7.0287130738748982E-5</v>
      </c>
      <c r="P31" s="1348">
        <f t="shared" si="2"/>
        <v>2.959573703003819E-5</v>
      </c>
      <c r="Q31" s="1348">
        <f t="shared" si="3"/>
        <v>1.8406506275202753E-5</v>
      </c>
      <c r="R31" s="1348">
        <f t="shared" si="4"/>
        <v>1.6505395201056344E-5</v>
      </c>
      <c r="S31" s="1348">
        <f t="shared" si="5"/>
        <v>9.4377908019290855E-6</v>
      </c>
      <c r="T31" s="1348">
        <f t="shared" si="6"/>
        <v>5.2668724258161024E-6</v>
      </c>
      <c r="U31" s="1348">
        <f t="shared" si="7"/>
        <v>-7.6252834063666033E-6</v>
      </c>
      <c r="V31" s="1348">
        <f t="shared" si="8"/>
        <v>0</v>
      </c>
      <c r="W31" s="1348">
        <f t="shared" si="9"/>
        <v>0</v>
      </c>
      <c r="X31" s="1348">
        <f t="shared" si="10"/>
        <v>0</v>
      </c>
      <c r="Y31" s="1348">
        <f t="shared" si="11"/>
        <v>0</v>
      </c>
    </row>
    <row r="32" spans="1:25">
      <c r="A32" s="1349" t="s">
        <v>898</v>
      </c>
      <c r="B32" s="1350">
        <f t="shared" ref="B32:L32" si="15">SUM(B33:B36)</f>
        <v>6617.6340570000002</v>
      </c>
      <c r="C32" s="1350">
        <f t="shared" si="15"/>
        <v>6680.7592539999987</v>
      </c>
      <c r="D32" s="1350">
        <f t="shared" si="15"/>
        <v>7184.4123825600009</v>
      </c>
      <c r="E32" s="1350">
        <f t="shared" si="15"/>
        <v>7466.4196171700005</v>
      </c>
      <c r="F32" s="1350">
        <f t="shared" si="15"/>
        <v>8357.3475331599984</v>
      </c>
      <c r="G32" s="1350">
        <f t="shared" si="15"/>
        <v>8785.7938752499995</v>
      </c>
      <c r="H32" s="1350">
        <f t="shared" si="15"/>
        <v>9314.2803909699978</v>
      </c>
      <c r="I32" s="1350">
        <f t="shared" si="15"/>
        <v>9802.5480000000007</v>
      </c>
      <c r="J32" s="1350">
        <f t="shared" si="15"/>
        <v>10270.273000000001</v>
      </c>
      <c r="K32" s="1350">
        <f t="shared" si="15"/>
        <v>10788.758999999998</v>
      </c>
      <c r="L32" s="1350">
        <f t="shared" si="15"/>
        <v>11380.282999999999</v>
      </c>
      <c r="N32" s="1349" t="s">
        <v>898</v>
      </c>
      <c r="O32" s="1348">
        <f t="shared" si="1"/>
        <v>10.336322447679041</v>
      </c>
      <c r="P32" s="1348">
        <f t="shared" si="2"/>
        <v>9.886099702118905</v>
      </c>
      <c r="Q32" s="1348">
        <f t="shared" si="3"/>
        <v>10.17230243101808</v>
      </c>
      <c r="R32" s="1348">
        <f t="shared" si="4"/>
        <v>10.269683876525889</v>
      </c>
      <c r="S32" s="1348">
        <f t="shared" si="5"/>
        <v>11.267842525283166</v>
      </c>
      <c r="T32" s="1348">
        <f t="shared" si="6"/>
        <v>11.568413875114555</v>
      </c>
      <c r="U32" s="1348">
        <f t="shared" si="7"/>
        <v>11.837337951251561</v>
      </c>
      <c r="V32" s="1348">
        <f t="shared" si="8"/>
        <v>12.074765766889108</v>
      </c>
      <c r="W32" s="1348">
        <f t="shared" si="9"/>
        <v>12.132231362187634</v>
      </c>
      <c r="X32" s="1348">
        <f t="shared" si="10"/>
        <v>12.092531149396846</v>
      </c>
      <c r="Y32" s="1348">
        <f t="shared" si="11"/>
        <v>11.984728940895602</v>
      </c>
    </row>
    <row r="33" spans="1:25">
      <c r="A33" s="764" t="s">
        <v>1290</v>
      </c>
      <c r="B33" s="1309">
        <v>4220.2606311899999</v>
      </c>
      <c r="C33" s="1309">
        <v>4275.6402920199998</v>
      </c>
      <c r="D33" s="1309">
        <v>4596.31056549</v>
      </c>
      <c r="E33" s="1309">
        <v>4808.1465364899996</v>
      </c>
      <c r="F33" s="1309">
        <v>5490.9486289200004</v>
      </c>
      <c r="G33" s="1309">
        <v>5761.7406896100001</v>
      </c>
      <c r="H33" s="1309">
        <v>6156.4780000000001</v>
      </c>
      <c r="I33" s="1309">
        <v>6561.5169999999998</v>
      </c>
      <c r="J33" s="1309">
        <v>6862.2449999999999</v>
      </c>
      <c r="K33" s="1309">
        <v>7194.5169999999998</v>
      </c>
      <c r="L33" s="1309">
        <v>7570.7780000000002</v>
      </c>
      <c r="N33" s="764" t="s">
        <v>1290</v>
      </c>
      <c r="O33" s="1319">
        <f t="shared" si="1"/>
        <v>6.5917780163565958</v>
      </c>
      <c r="P33" s="1319">
        <f t="shared" si="2"/>
        <v>6.3270362858829809</v>
      </c>
      <c r="Q33" s="1319">
        <f t="shared" si="3"/>
        <v>6.5078476358824942</v>
      </c>
      <c r="R33" s="1319">
        <f t="shared" si="4"/>
        <v>6.61336323077981</v>
      </c>
      <c r="S33" s="1319">
        <f t="shared" si="5"/>
        <v>7.4032034948409002</v>
      </c>
      <c r="T33" s="1319">
        <f t="shared" si="6"/>
        <v>7.5865882907023909</v>
      </c>
      <c r="U33" s="1319">
        <f t="shared" si="7"/>
        <v>7.8241482558435074</v>
      </c>
      <c r="V33" s="1319">
        <f t="shared" si="8"/>
        <v>8.0824680328482863</v>
      </c>
      <c r="W33" s="1319">
        <f t="shared" si="9"/>
        <v>8.1063418668632536</v>
      </c>
      <c r="X33" s="1319">
        <f t="shared" si="10"/>
        <v>8.0639414530777032</v>
      </c>
      <c r="Y33" s="1319">
        <f t="shared" si="11"/>
        <v>7.9728880381705558</v>
      </c>
    </row>
    <row r="34" spans="1:25">
      <c r="A34" s="764" t="s">
        <v>1289</v>
      </c>
      <c r="B34" s="1309">
        <v>2191.4645649600002</v>
      </c>
      <c r="C34" s="1309">
        <v>2186.855548</v>
      </c>
      <c r="D34" s="1309">
        <v>2385.2675077102003</v>
      </c>
      <c r="E34" s="1309">
        <v>2455.1243403899998</v>
      </c>
      <c r="F34" s="1309">
        <v>2644.5528772500002</v>
      </c>
      <c r="G34" s="1309">
        <v>2778.553911</v>
      </c>
      <c r="H34" s="1309">
        <v>2904.3119999999999</v>
      </c>
      <c r="I34" s="1309">
        <v>2946.6840000000002</v>
      </c>
      <c r="J34" s="1309">
        <v>3113.6950000000002</v>
      </c>
      <c r="K34" s="1309">
        <v>3300.4119999999998</v>
      </c>
      <c r="L34" s="1309">
        <v>3516.1790000000001</v>
      </c>
      <c r="N34" s="764" t="s">
        <v>1289</v>
      </c>
      <c r="O34" s="1319">
        <f t="shared" si="1"/>
        <v>3.4229279197039824</v>
      </c>
      <c r="P34" s="1319">
        <f t="shared" si="2"/>
        <v>3.236080086064403</v>
      </c>
      <c r="Q34" s="1319">
        <f t="shared" si="3"/>
        <v>3.3772647191311567</v>
      </c>
      <c r="R34" s="1319">
        <f t="shared" si="4"/>
        <v>3.376899792155811</v>
      </c>
      <c r="S34" s="1319">
        <f t="shared" si="5"/>
        <v>3.5655338314464498</v>
      </c>
      <c r="T34" s="1319">
        <f t="shared" si="6"/>
        <v>3.6585722443723467</v>
      </c>
      <c r="U34" s="1319">
        <f t="shared" si="7"/>
        <v>3.6910336834185666</v>
      </c>
      <c r="V34" s="1319">
        <f t="shared" si="8"/>
        <v>3.629721485581082</v>
      </c>
      <c r="W34" s="1319">
        <f t="shared" si="9"/>
        <v>3.6781951298944855</v>
      </c>
      <c r="X34" s="1319">
        <f t="shared" si="10"/>
        <v>3.6992516855593074</v>
      </c>
      <c r="Y34" s="1319">
        <f t="shared" si="11"/>
        <v>3.7029353507877927</v>
      </c>
    </row>
    <row r="35" spans="1:25">
      <c r="A35" s="764" t="s">
        <v>1288</v>
      </c>
      <c r="B35" s="1309">
        <v>205.91147035999998</v>
      </c>
      <c r="C35" s="1309">
        <v>218.26340963000001</v>
      </c>
      <c r="D35" s="1309">
        <v>202.83370876000001</v>
      </c>
      <c r="E35" s="1309">
        <v>203.14766997999999</v>
      </c>
      <c r="F35" s="1309">
        <v>221.84860315</v>
      </c>
      <c r="G35" s="1309">
        <v>245.50200000000001</v>
      </c>
      <c r="H35" s="1309">
        <v>253.49214460000002</v>
      </c>
      <c r="I35" s="1309">
        <v>294.33100000000002</v>
      </c>
      <c r="J35" s="1309">
        <v>294.33100000000002</v>
      </c>
      <c r="K35" s="1309">
        <v>293.83100000000002</v>
      </c>
      <c r="L35" s="1309">
        <v>293.33100000000002</v>
      </c>
      <c r="N35" s="764" t="s">
        <v>1288</v>
      </c>
      <c r="O35" s="1319">
        <f t="shared" si="1"/>
        <v>0.32162058750669681</v>
      </c>
      <c r="P35" s="1319">
        <f t="shared" si="2"/>
        <v>0.32298332373444932</v>
      </c>
      <c r="Q35" s="1319">
        <f t="shared" si="3"/>
        <v>0.28718922562412219</v>
      </c>
      <c r="R35" s="1319">
        <f t="shared" si="4"/>
        <v>0.27941938143280587</v>
      </c>
      <c r="S35" s="1319">
        <f t="shared" si="5"/>
        <v>0.29910867231855515</v>
      </c>
      <c r="T35" s="1319">
        <f t="shared" si="6"/>
        <v>0.32325692857067617</v>
      </c>
      <c r="U35" s="1319">
        <f t="shared" si="7"/>
        <v>0.32215824064377724</v>
      </c>
      <c r="V35" s="1319">
        <f t="shared" si="8"/>
        <v>0.36255653968072771</v>
      </c>
      <c r="W35" s="1319">
        <f t="shared" si="9"/>
        <v>0.3476920028380987</v>
      </c>
      <c r="X35" s="1319">
        <f t="shared" si="10"/>
        <v>0.32933913160525924</v>
      </c>
      <c r="Y35" s="1319">
        <f t="shared" si="11"/>
        <v>0.30891081750443711</v>
      </c>
    </row>
    <row r="36" spans="1:25">
      <c r="A36" s="764" t="s">
        <v>1285</v>
      </c>
      <c r="B36" s="1309">
        <v>-2.6095100001839455E-3</v>
      </c>
      <c r="C36" s="1309">
        <v>4.3499994717421941E-6</v>
      </c>
      <c r="D36" s="1309">
        <v>6.0059980023652315E-4</v>
      </c>
      <c r="E36" s="1309">
        <v>1.0703100015234668E-3</v>
      </c>
      <c r="F36" s="1309">
        <v>-2.5761600027180975E-3</v>
      </c>
      <c r="G36" s="1309">
        <v>-2.7253600001131417E-3</v>
      </c>
      <c r="H36" s="1309">
        <v>-1.7536300038045738E-3</v>
      </c>
      <c r="I36" s="1309">
        <v>1.599999999962165E-2</v>
      </c>
      <c r="J36" s="1309">
        <v>2.0000000004074536E-3</v>
      </c>
      <c r="K36" s="1309">
        <v>-1.0000000020227162E-3</v>
      </c>
      <c r="L36" s="1309">
        <v>-5.0000000010186341E-3</v>
      </c>
      <c r="N36" s="764" t="s">
        <v>1285</v>
      </c>
      <c r="O36" s="1319">
        <f t="shared" si="1"/>
        <v>-4.0758882343778196E-6</v>
      </c>
      <c r="P36" s="1319">
        <f t="shared" si="2"/>
        <v>6.4370720223243522E-9</v>
      </c>
      <c r="Q36" s="1319">
        <f t="shared" si="3"/>
        <v>8.5038030707223738E-7</v>
      </c>
      <c r="R36" s="1319">
        <f t="shared" si="4"/>
        <v>1.4721574635656698E-6</v>
      </c>
      <c r="S36" s="1319">
        <f t="shared" si="5"/>
        <v>-3.4733227397072097E-6</v>
      </c>
      <c r="T36" s="1319">
        <f t="shared" si="6"/>
        <v>-3.5885308587545191E-6</v>
      </c>
      <c r="U36" s="1319">
        <f t="shared" si="7"/>
        <v>-2.228654294819603E-6</v>
      </c>
      <c r="V36" s="1319">
        <f t="shared" si="8"/>
        <v>1.9708779009871436E-5</v>
      </c>
      <c r="W36" s="1319">
        <f t="shared" si="9"/>
        <v>2.3625917956921483E-6</v>
      </c>
      <c r="X36" s="1319">
        <f t="shared" si="10"/>
        <v>-1.1208454256746866E-6</v>
      </c>
      <c r="Y36" s="1319">
        <f t="shared" si="11"/>
        <v>-5.26556718463733E-6</v>
      </c>
    </row>
    <row r="37" spans="1:25">
      <c r="A37" s="1349" t="s">
        <v>897</v>
      </c>
      <c r="B37" s="1350">
        <f t="shared" ref="B37:L37" si="16">SUM(B38:B40)</f>
        <v>860.59999999999991</v>
      </c>
      <c r="C37" s="1350">
        <f t="shared" si="16"/>
        <v>641.202</v>
      </c>
      <c r="D37" s="1350">
        <f t="shared" si="16"/>
        <v>663.02</v>
      </c>
      <c r="E37" s="1350">
        <f t="shared" si="16"/>
        <v>826.33900000000006</v>
      </c>
      <c r="F37" s="1350">
        <f t="shared" si="16"/>
        <v>669.125</v>
      </c>
      <c r="G37" s="1350">
        <f t="shared" si="16"/>
        <v>552.226</v>
      </c>
      <c r="H37" s="1350">
        <f t="shared" si="16"/>
        <v>633.05899999999997</v>
      </c>
      <c r="I37" s="1350">
        <f t="shared" si="16"/>
        <v>412.14567667893874</v>
      </c>
      <c r="J37" s="1350">
        <f t="shared" si="16"/>
        <v>439.61707667893876</v>
      </c>
      <c r="K37" s="1350">
        <f t="shared" si="16"/>
        <v>437.8170766789388</v>
      </c>
      <c r="L37" s="1350">
        <f t="shared" si="16"/>
        <v>438.82738267893882</v>
      </c>
      <c r="N37" s="1349" t="s">
        <v>897</v>
      </c>
      <c r="O37" s="1348">
        <f t="shared" si="1"/>
        <v>1.3442023269726082</v>
      </c>
      <c r="P37" s="1348">
        <f t="shared" si="2"/>
        <v>0.94884228875672749</v>
      </c>
      <c r="Q37" s="1348">
        <f t="shared" si="3"/>
        <v>0.93876013773730238</v>
      </c>
      <c r="R37" s="1348">
        <f t="shared" si="4"/>
        <v>1.1365876470871417</v>
      </c>
      <c r="S37" s="1348">
        <f t="shared" si="5"/>
        <v>0.90215168147725711</v>
      </c>
      <c r="T37" s="1348">
        <f t="shared" si="6"/>
        <v>0.72712597305468074</v>
      </c>
      <c r="U37" s="1348">
        <f t="shared" si="7"/>
        <v>0.80454238132517242</v>
      </c>
      <c r="V37" s="1348">
        <f t="shared" si="8"/>
        <v>0.50768050385820052</v>
      </c>
      <c r="W37" s="1348">
        <f t="shared" si="9"/>
        <v>0.51931784919811452</v>
      </c>
      <c r="X37" s="1348">
        <f t="shared" si="10"/>
        <v>0.49072526668525412</v>
      </c>
      <c r="Y37" s="1348">
        <f t="shared" si="11"/>
        <v>0.46213501309675231</v>
      </c>
    </row>
    <row r="38" spans="1:25">
      <c r="A38" s="764" t="s">
        <v>1238</v>
      </c>
      <c r="B38" s="1309">
        <v>590.30721993999998</v>
      </c>
      <c r="C38" s="1309">
        <v>475.72304663</v>
      </c>
      <c r="D38" s="1309">
        <v>476.28252408999998</v>
      </c>
      <c r="E38" s="1309">
        <v>623.67199999999991</v>
      </c>
      <c r="F38" s="1309">
        <v>459.88099999999997</v>
      </c>
      <c r="G38" s="1309">
        <v>304.09700000000004</v>
      </c>
      <c r="H38" s="1309">
        <v>336.60300000000001</v>
      </c>
      <c r="I38" s="1309">
        <v>315.19300000000004</v>
      </c>
      <c r="J38" s="1309">
        <v>337.432501</v>
      </c>
      <c r="K38" s="1309">
        <v>335.92808400000001</v>
      </c>
      <c r="L38" s="1309">
        <v>336.83256399999999</v>
      </c>
      <c r="N38" s="764" t="s">
        <v>1238</v>
      </c>
      <c r="O38" s="1319">
        <f t="shared" si="1"/>
        <v>0.92202223875444944</v>
      </c>
      <c r="P38" s="1319">
        <f t="shared" si="2"/>
        <v>0.70396870935950384</v>
      </c>
      <c r="Q38" s="1319">
        <f t="shared" si="3"/>
        <v>0.67436132834092244</v>
      </c>
      <c r="R38" s="1319">
        <f t="shared" si="4"/>
        <v>0.857829402986101</v>
      </c>
      <c r="S38" s="1319">
        <f t="shared" si="5"/>
        <v>0.62003723882599282</v>
      </c>
      <c r="T38" s="1319">
        <f t="shared" si="6"/>
        <v>0.40041002601834991</v>
      </c>
      <c r="U38" s="1319">
        <f t="shared" si="7"/>
        <v>0.42778221173886954</v>
      </c>
      <c r="V38" s="1319">
        <f t="shared" si="8"/>
        <v>0.38825432391283154</v>
      </c>
      <c r="W38" s="1319">
        <f t="shared" si="9"/>
        <v>0.39860762915003428</v>
      </c>
      <c r="X38" s="1319">
        <f t="shared" si="10"/>
        <v>0.37652345554546179</v>
      </c>
      <c r="Y38" s="1319">
        <f t="shared" si="11"/>
        <v>0.35472289907086407</v>
      </c>
    </row>
    <row r="39" spans="1:25">
      <c r="A39" s="764" t="s">
        <v>1160</v>
      </c>
      <c r="B39" s="1309">
        <v>225.732</v>
      </c>
      <c r="C39" s="1309">
        <v>120.059</v>
      </c>
      <c r="D39" s="1309">
        <v>137.69900000000001</v>
      </c>
      <c r="E39" s="1309">
        <v>143.86599999999999</v>
      </c>
      <c r="F39" s="1309">
        <v>155.85499999999999</v>
      </c>
      <c r="G39" s="1309">
        <v>191.41000000000003</v>
      </c>
      <c r="H39" s="1309">
        <v>226.809</v>
      </c>
      <c r="I39" s="1309">
        <v>45.022676678938765</v>
      </c>
      <c r="J39" s="1309">
        <v>44.235903678938762</v>
      </c>
      <c r="K39" s="1309">
        <v>44.162643678938757</v>
      </c>
      <c r="L39" s="1309">
        <v>44.30608167893876</v>
      </c>
      <c r="N39" s="764" t="s">
        <v>1160</v>
      </c>
      <c r="O39" s="1319">
        <f t="shared" si="1"/>
        <v>0.35257899102042856</v>
      </c>
      <c r="P39" s="1319">
        <f t="shared" si="2"/>
        <v>0.17766172960446774</v>
      </c>
      <c r="Q39" s="1319">
        <f t="shared" si="3"/>
        <v>0.19496596212224188</v>
      </c>
      <c r="R39" s="1319">
        <f t="shared" si="4"/>
        <v>0.19788043216626433</v>
      </c>
      <c r="S39" s="1319">
        <f t="shared" si="5"/>
        <v>0.21013241220495105</v>
      </c>
      <c r="T39" s="1319">
        <f t="shared" si="6"/>
        <v>0.25203301275636503</v>
      </c>
      <c r="U39" s="1319">
        <f t="shared" si="7"/>
        <v>0.28824715068576712</v>
      </c>
      <c r="V39" s="1319">
        <f t="shared" si="8"/>
        <v>5.545887406994246E-2</v>
      </c>
      <c r="W39" s="1319">
        <f t="shared" si="9"/>
        <v>5.2255691542798535E-2</v>
      </c>
      <c r="X39" s="1319">
        <f t="shared" si="10"/>
        <v>4.9499497053116182E-2</v>
      </c>
      <c r="Y39" s="1319">
        <f t="shared" si="11"/>
        <v>4.6659329944190468E-2</v>
      </c>
    </row>
    <row r="40" spans="1:25">
      <c r="A40" s="764" t="s">
        <v>1285</v>
      </c>
      <c r="B40" s="1309">
        <v>44.560780059999956</v>
      </c>
      <c r="C40" s="1309">
        <v>45.41995337000003</v>
      </c>
      <c r="D40" s="1309">
        <v>49.038475909999988</v>
      </c>
      <c r="E40" s="1309">
        <v>58.801000000000158</v>
      </c>
      <c r="F40" s="1309">
        <v>53.38900000000001</v>
      </c>
      <c r="G40" s="1309">
        <v>56.718999999999937</v>
      </c>
      <c r="H40" s="1309">
        <v>69.646999999999935</v>
      </c>
      <c r="I40" s="1309">
        <v>51.92999999999995</v>
      </c>
      <c r="J40" s="1309">
        <v>57.948671999999995</v>
      </c>
      <c r="K40" s="1309">
        <v>57.726349000000035</v>
      </c>
      <c r="L40" s="1309">
        <v>57.688737000000067</v>
      </c>
      <c r="N40" s="764" t="s">
        <v>1285</v>
      </c>
      <c r="O40" s="1319">
        <f t="shared" si="1"/>
        <v>6.9601097197730138E-2</v>
      </c>
      <c r="P40" s="1319">
        <f t="shared" si="2"/>
        <v>6.7211849792755893E-2</v>
      </c>
      <c r="Q40" s="1319">
        <f t="shared" si="3"/>
        <v>6.9432847274137996E-2</v>
      </c>
      <c r="R40" s="1319">
        <f t="shared" si="4"/>
        <v>8.0877811934776403E-2</v>
      </c>
      <c r="S40" s="1319">
        <f t="shared" si="5"/>
        <v>7.1982030446313156E-2</v>
      </c>
      <c r="T40" s="1319">
        <f t="shared" si="6"/>
        <v>7.4682934279965793E-2</v>
      </c>
      <c r="U40" s="1319">
        <f t="shared" si="7"/>
        <v>8.8513018900535714E-2</v>
      </c>
      <c r="V40" s="1319">
        <f t="shared" si="8"/>
        <v>6.3967305875426539E-2</v>
      </c>
      <c r="W40" s="1319">
        <f t="shared" si="9"/>
        <v>6.8454528505281637E-2</v>
      </c>
      <c r="X40" s="1319">
        <f t="shared" si="10"/>
        <v>6.4702314086676149E-2</v>
      </c>
      <c r="Y40" s="1319">
        <f t="shared" si="11"/>
        <v>6.0752784081697778E-2</v>
      </c>
    </row>
    <row r="41" spans="1:25">
      <c r="A41" s="1349" t="s">
        <v>43</v>
      </c>
      <c r="B41" s="1350">
        <f t="shared" ref="B41:L41" si="17">SUM(B42:B44)</f>
        <v>2050.0650000000001</v>
      </c>
      <c r="C41" s="1350">
        <f t="shared" si="17"/>
        <v>2201.9249999999997</v>
      </c>
      <c r="D41" s="1350">
        <f t="shared" si="17"/>
        <v>2526.605</v>
      </c>
      <c r="E41" s="1350">
        <f t="shared" si="17"/>
        <v>2929.5279999999998</v>
      </c>
      <c r="F41" s="1350">
        <f t="shared" si="17"/>
        <v>3233.4449999999997</v>
      </c>
      <c r="G41" s="1350">
        <f t="shared" si="17"/>
        <v>3237.6858929999999</v>
      </c>
      <c r="H41" s="1350">
        <f t="shared" si="17"/>
        <v>3425.8736615899998</v>
      </c>
      <c r="I41" s="1350">
        <f t="shared" si="17"/>
        <v>3388.1149101158067</v>
      </c>
      <c r="J41" s="1350">
        <f t="shared" si="17"/>
        <v>3521.5807751158072</v>
      </c>
      <c r="K41" s="1350">
        <f t="shared" si="17"/>
        <v>3581.6626801158072</v>
      </c>
      <c r="L41" s="1350">
        <f t="shared" si="17"/>
        <v>3635.1341971158072</v>
      </c>
      <c r="N41" s="1349" t="s">
        <v>43</v>
      </c>
      <c r="O41" s="1348">
        <f t="shared" si="1"/>
        <v>3.2020708150651873</v>
      </c>
      <c r="P41" s="1348">
        <f t="shared" si="2"/>
        <v>3.2583796629933417</v>
      </c>
      <c r="Q41" s="1348">
        <f t="shared" si="3"/>
        <v>3.5773823682660506</v>
      </c>
      <c r="R41" s="1348">
        <f t="shared" si="4"/>
        <v>4.0294181160466822</v>
      </c>
      <c r="S41" s="1348">
        <f t="shared" si="5"/>
        <v>4.3595110685062268</v>
      </c>
      <c r="T41" s="1348">
        <f t="shared" si="6"/>
        <v>4.2631196383238708</v>
      </c>
      <c r="U41" s="1348">
        <f t="shared" si="7"/>
        <v>4.3538762640051036</v>
      </c>
      <c r="V41" s="1348">
        <f t="shared" si="8"/>
        <v>4.173475501568868</v>
      </c>
      <c r="W41" s="1348">
        <f t="shared" si="9"/>
        <v>4.1600289227303922</v>
      </c>
      <c r="X41" s="1348">
        <f t="shared" si="10"/>
        <v>4.0144902231973667</v>
      </c>
      <c r="Y41" s="1348">
        <f t="shared" si="11"/>
        <v>3.8282086672372833</v>
      </c>
    </row>
    <row r="42" spans="1:25">
      <c r="A42" s="764" t="s">
        <v>1287</v>
      </c>
      <c r="B42" s="1309">
        <v>177.07999999999998</v>
      </c>
      <c r="C42" s="1309">
        <v>252.56900000000002</v>
      </c>
      <c r="D42" s="1309">
        <v>525.15700000000004</v>
      </c>
      <c r="E42" s="1309">
        <v>544.52</v>
      </c>
      <c r="F42" s="1309">
        <v>545.81100000000004</v>
      </c>
      <c r="G42" s="1309">
        <v>599.5</v>
      </c>
      <c r="H42" s="1309">
        <v>677.39</v>
      </c>
      <c r="I42" s="1309">
        <v>650.15337</v>
      </c>
      <c r="J42" s="1309">
        <v>693.46400000000006</v>
      </c>
      <c r="K42" s="1309">
        <v>705.43</v>
      </c>
      <c r="L42" s="1309">
        <v>709.149</v>
      </c>
      <c r="N42" s="764" t="s">
        <v>1287</v>
      </c>
      <c r="O42" s="1319">
        <f t="shared" si="1"/>
        <v>0.2765876691381704</v>
      </c>
      <c r="P42" s="1319">
        <f t="shared" si="2"/>
        <v>0.37374828529698584</v>
      </c>
      <c r="Q42" s="1319">
        <f t="shared" si="3"/>
        <v>0.74356197045897343</v>
      </c>
      <c r="R42" s="1319">
        <f t="shared" si="4"/>
        <v>0.74895981623993335</v>
      </c>
      <c r="S42" s="1319">
        <f t="shared" si="5"/>
        <v>0.73589286219881656</v>
      </c>
      <c r="T42" s="1319">
        <f t="shared" si="6"/>
        <v>0.7893725048191883</v>
      </c>
      <c r="U42" s="1319">
        <f t="shared" si="7"/>
        <v>0.86088178777311219</v>
      </c>
      <c r="V42" s="1319">
        <f t="shared" si="8"/>
        <v>0.80085806825976136</v>
      </c>
      <c r="W42" s="1319">
        <f t="shared" si="9"/>
        <v>0.81918617833703977</v>
      </c>
      <c r="X42" s="1319">
        <f t="shared" si="10"/>
        <v>0.79067798703437697</v>
      </c>
      <c r="Y42" s="1319">
        <f t="shared" si="11"/>
        <v>0.7468143405315294</v>
      </c>
    </row>
    <row r="43" spans="1:25">
      <c r="A43" s="764" t="s">
        <v>1286</v>
      </c>
      <c r="B43" s="1309">
        <v>967.87400000000002</v>
      </c>
      <c r="C43" s="1309">
        <v>1007.389</v>
      </c>
      <c r="D43" s="1309">
        <v>989.10500000000002</v>
      </c>
      <c r="E43" s="1309">
        <v>1110.7639999999999</v>
      </c>
      <c r="F43" s="1309">
        <v>1258.9090000000001</v>
      </c>
      <c r="G43" s="1309">
        <v>1251.46</v>
      </c>
      <c r="H43" s="1309">
        <v>1352.9860000000001</v>
      </c>
      <c r="I43" s="1309">
        <v>1383.7149999999999</v>
      </c>
      <c r="J43" s="1309">
        <v>1465.385</v>
      </c>
      <c r="K43" s="1309">
        <v>1501.777</v>
      </c>
      <c r="L43" s="1309">
        <v>1541.3430000000001</v>
      </c>
      <c r="N43" s="764" t="s">
        <v>1286</v>
      </c>
      <c r="O43" s="1319">
        <f t="shared" si="1"/>
        <v>1.5117574750363543</v>
      </c>
      <c r="P43" s="1319">
        <f t="shared" si="2"/>
        <v>1.4907209965476573</v>
      </c>
      <c r="Q43" s="1319">
        <f t="shared" si="3"/>
        <v>1.4004590299488018</v>
      </c>
      <c r="R43" s="1319">
        <f t="shared" si="4"/>
        <v>1.5277998995921791</v>
      </c>
      <c r="S43" s="1319">
        <f t="shared" si="5"/>
        <v>1.6973313972379636</v>
      </c>
      <c r="T43" s="1319">
        <f t="shared" si="6"/>
        <v>1.6478200415029547</v>
      </c>
      <c r="U43" s="1319">
        <f t="shared" si="7"/>
        <v>1.7194836158077209</v>
      </c>
      <c r="V43" s="1319">
        <f t="shared" si="8"/>
        <v>1.7044583217680709</v>
      </c>
      <c r="W43" s="1319">
        <f t="shared" si="9"/>
        <v>1.7310532889125076</v>
      </c>
      <c r="X43" s="1319">
        <f t="shared" si="10"/>
        <v>1.6832598774286969</v>
      </c>
      <c r="Y43" s="1319">
        <f t="shared" si="11"/>
        <v>1.6232090238833998</v>
      </c>
    </row>
    <row r="44" spans="1:25">
      <c r="A44" s="764" t="s">
        <v>1285</v>
      </c>
      <c r="B44" s="1309">
        <v>905.1110000000001</v>
      </c>
      <c r="C44" s="1309">
        <v>941.96699999999964</v>
      </c>
      <c r="D44" s="1309">
        <v>1012.3429999999998</v>
      </c>
      <c r="E44" s="1309">
        <v>1274.2439999999999</v>
      </c>
      <c r="F44" s="1309">
        <v>1428.7249999999995</v>
      </c>
      <c r="G44" s="1309">
        <v>1386.7258929999998</v>
      </c>
      <c r="H44" s="1309">
        <v>1395.4976615899996</v>
      </c>
      <c r="I44" s="1309">
        <v>1354.2465401158067</v>
      </c>
      <c r="J44" s="1309">
        <v>1362.7317751158068</v>
      </c>
      <c r="K44" s="1309">
        <v>1374.4556801158071</v>
      </c>
      <c r="L44" s="1309">
        <v>1384.6421971158068</v>
      </c>
      <c r="N44" s="764" t="s">
        <v>1285</v>
      </c>
      <c r="O44" s="1319">
        <f t="shared" si="1"/>
        <v>1.4137256708906631</v>
      </c>
      <c r="P44" s="1319">
        <f t="shared" si="2"/>
        <v>1.3939103811486988</v>
      </c>
      <c r="Q44" s="1319">
        <f t="shared" si="3"/>
        <v>1.4333613678582755</v>
      </c>
      <c r="R44" s="1319">
        <f t="shared" si="4"/>
        <v>1.7526584002145702</v>
      </c>
      <c r="S44" s="1319">
        <f t="shared" si="5"/>
        <v>1.9262868090694467</v>
      </c>
      <c r="T44" s="1319">
        <f t="shared" si="6"/>
        <v>1.8259270920017274</v>
      </c>
      <c r="U44" s="1319">
        <f t="shared" si="7"/>
        <v>1.77351086042427</v>
      </c>
      <c r="V44" s="1319">
        <f t="shared" si="8"/>
        <v>1.6681591115410357</v>
      </c>
      <c r="W44" s="1319">
        <f t="shared" si="9"/>
        <v>1.6097894554808443</v>
      </c>
      <c r="X44" s="1319">
        <f t="shared" si="10"/>
        <v>1.5405523587342924</v>
      </c>
      <c r="Y44" s="1319">
        <f t="shared" si="11"/>
        <v>1.4581853028223535</v>
      </c>
    </row>
    <row r="45" spans="1:25">
      <c r="A45" s="1346" t="s">
        <v>896</v>
      </c>
      <c r="B45" s="1347">
        <v>1001.86668866</v>
      </c>
      <c r="C45" s="1347">
        <v>792.89676550000058</v>
      </c>
      <c r="D45" s="1347">
        <v>1398.0972729</v>
      </c>
      <c r="E45" s="1347">
        <v>1066.5297756999994</v>
      </c>
      <c r="F45" s="1347">
        <v>1230.7996392600005</v>
      </c>
      <c r="G45" s="1347">
        <v>1104.611111779999</v>
      </c>
      <c r="H45" s="1347">
        <v>1437.9995432800001</v>
      </c>
      <c r="I45" s="1347">
        <v>932.98025927644301</v>
      </c>
      <c r="J45" s="1347">
        <v>889.25754272288464</v>
      </c>
      <c r="K45" s="1347">
        <v>876.75478959930717</v>
      </c>
      <c r="L45" s="1347">
        <v>864.93992287906315</v>
      </c>
      <c r="N45" s="1346" t="s">
        <v>896</v>
      </c>
      <c r="O45" s="1345">
        <f t="shared" si="1"/>
        <v>1.5648518873031765</v>
      </c>
      <c r="P45" s="1345">
        <f t="shared" si="2"/>
        <v>1.1733182081852938</v>
      </c>
      <c r="Q45" s="1345">
        <f t="shared" si="3"/>
        <v>1.9795450943829007</v>
      </c>
      <c r="R45" s="1345">
        <f t="shared" si="4"/>
        <v>1.4669579534685391</v>
      </c>
      <c r="S45" s="1345">
        <f t="shared" si="5"/>
        <v>1.6594327877750954</v>
      </c>
      <c r="T45" s="1345">
        <f t="shared" si="6"/>
        <v>1.4544614514710361</v>
      </c>
      <c r="U45" s="1345">
        <f t="shared" si="7"/>
        <v>1.8275256759559564</v>
      </c>
      <c r="V45" s="1345">
        <f t="shared" si="8"/>
        <v>1.1492438594429242</v>
      </c>
      <c r="W45" s="1345">
        <f t="shared" si="9"/>
        <v>1.0504762871332136</v>
      </c>
      <c r="X45" s="1345">
        <f t="shared" si="10"/>
        <v>0.98270659337301913</v>
      </c>
      <c r="Y45" s="1345">
        <f t="shared" si="11"/>
        <v>0.91087985473337685</v>
      </c>
    </row>
    <row r="46" spans="1:25">
      <c r="A46" s="1343" t="s">
        <v>1284</v>
      </c>
      <c r="B46" s="1344">
        <v>16986.362056999998</v>
      </c>
      <c r="C46" s="1344">
        <v>17271.946253999999</v>
      </c>
      <c r="D46" s="1344">
        <v>18615.420382560002</v>
      </c>
      <c r="E46" s="1344">
        <v>18857.484617170001</v>
      </c>
      <c r="F46" s="1344">
        <v>20704.151533159999</v>
      </c>
      <c r="G46" s="1344">
        <v>22090.232982250003</v>
      </c>
      <c r="H46" s="1344">
        <v>23701.670729379999</v>
      </c>
      <c r="I46" s="1344">
        <v>24812.087</v>
      </c>
      <c r="J46" s="1344">
        <v>25952.913522020448</v>
      </c>
      <c r="K46" s="1344">
        <v>27228.490009237372</v>
      </c>
      <c r="L46" s="1344">
        <v>28678.350685904472</v>
      </c>
      <c r="N46" s="1343" t="s">
        <v>1284</v>
      </c>
      <c r="O46" s="1342">
        <f t="shared" si="1"/>
        <v>26.531614459468532</v>
      </c>
      <c r="P46" s="1342">
        <f t="shared" si="2"/>
        <v>25.558798966516861</v>
      </c>
      <c r="Q46" s="1342">
        <f t="shared" si="3"/>
        <v>26.357296314394457</v>
      </c>
      <c r="R46" s="1342">
        <f t="shared" si="4"/>
        <v>25.937519675352632</v>
      </c>
      <c r="S46" s="1342">
        <f t="shared" si="5"/>
        <v>27.914492985914773</v>
      </c>
      <c r="T46" s="1342">
        <f t="shared" si="6"/>
        <v>29.086609743516483</v>
      </c>
      <c r="U46" s="1342">
        <f t="shared" si="7"/>
        <v>30.121992752651057</v>
      </c>
      <c r="V46" s="1342">
        <f t="shared" si="8"/>
        <v>30.563496216766723</v>
      </c>
      <c r="W46" s="1342">
        <f t="shared" si="9"/>
        <v>30.658070274470795</v>
      </c>
      <c r="X46" s="1342">
        <f t="shared" si="10"/>
        <v>30.518928413151482</v>
      </c>
      <c r="Y46" s="1342">
        <f t="shared" si="11"/>
        <v>30.201556450091143</v>
      </c>
    </row>
    <row r="47" spans="1:25">
      <c r="H47" s="795"/>
      <c r="K47" s="1750" t="s">
        <v>1249</v>
      </c>
      <c r="L47" s="1750"/>
      <c r="O47" s="1099"/>
      <c r="P47" s="1099"/>
      <c r="Q47" s="1099"/>
      <c r="R47" s="1099"/>
      <c r="S47" s="1099"/>
      <c r="T47" s="1099"/>
      <c r="U47" s="1341"/>
      <c r="V47" s="1099"/>
      <c r="W47" s="1099"/>
      <c r="X47" s="1777" t="s">
        <v>1249</v>
      </c>
      <c r="Y47" s="1777"/>
    </row>
    <row r="48" spans="1:25">
      <c r="A48" s="793" t="s">
        <v>1283</v>
      </c>
      <c r="B48" s="794"/>
      <c r="C48" s="794"/>
      <c r="D48" s="794"/>
      <c r="E48" s="794"/>
      <c r="F48" s="794"/>
      <c r="G48" s="794"/>
      <c r="H48" s="794"/>
      <c r="I48" s="793"/>
      <c r="J48" s="793"/>
      <c r="K48" s="793"/>
      <c r="L48" s="793"/>
      <c r="N48" s="793" t="s">
        <v>1282</v>
      </c>
      <c r="O48" s="1293"/>
      <c r="P48" s="1293"/>
      <c r="Q48" s="1293"/>
      <c r="R48" s="1293"/>
      <c r="S48" s="1293"/>
      <c r="T48" s="1293"/>
      <c r="U48" s="1293"/>
      <c r="V48" s="1340"/>
      <c r="W48" s="1340"/>
      <c r="X48" s="1340"/>
      <c r="Y48" s="1340"/>
    </row>
    <row r="49" spans="1:25">
      <c r="A49" s="513"/>
      <c r="B49" s="514" t="s">
        <v>891</v>
      </c>
      <c r="C49" s="514" t="s">
        <v>890</v>
      </c>
      <c r="D49" s="514" t="s">
        <v>536</v>
      </c>
      <c r="E49" s="514" t="s">
        <v>537</v>
      </c>
      <c r="F49" s="514" t="s">
        <v>538</v>
      </c>
      <c r="G49" s="514" t="s">
        <v>539</v>
      </c>
      <c r="H49" s="514" t="s">
        <v>540</v>
      </c>
      <c r="I49" s="514" t="s">
        <v>541</v>
      </c>
      <c r="J49" s="514" t="s">
        <v>542</v>
      </c>
      <c r="K49" s="514" t="s">
        <v>543</v>
      </c>
      <c r="L49" s="514" t="s">
        <v>544</v>
      </c>
      <c r="N49" s="513"/>
      <c r="O49" s="1339" t="s">
        <v>891</v>
      </c>
      <c r="P49" s="1339" t="s">
        <v>890</v>
      </c>
      <c r="Q49" s="1339" t="s">
        <v>536</v>
      </c>
      <c r="R49" s="1339" t="s">
        <v>537</v>
      </c>
      <c r="S49" s="1339" t="s">
        <v>538</v>
      </c>
      <c r="T49" s="1339" t="s">
        <v>539</v>
      </c>
      <c r="U49" s="1339" t="s">
        <v>540</v>
      </c>
      <c r="V49" s="1339" t="s">
        <v>541</v>
      </c>
      <c r="W49" s="1339" t="s">
        <v>542</v>
      </c>
      <c r="X49" s="1339" t="s">
        <v>543</v>
      </c>
      <c r="Y49" s="1339" t="s">
        <v>544</v>
      </c>
    </row>
    <row r="50" spans="1:25">
      <c r="A50" s="1337" t="s">
        <v>1281</v>
      </c>
      <c r="B50" s="1338">
        <f t="shared" ref="B50:L50" si="18">SUM(B51:B57)</f>
        <v>28224.154999999999</v>
      </c>
      <c r="C50" s="1338">
        <f t="shared" si="18"/>
        <v>28480.449000000001</v>
      </c>
      <c r="D50" s="1338">
        <f t="shared" si="18"/>
        <v>28827.822</v>
      </c>
      <c r="E50" s="1338">
        <f t="shared" si="18"/>
        <v>29539.481000000003</v>
      </c>
      <c r="F50" s="1338">
        <f t="shared" si="18"/>
        <v>30736.550999999996</v>
      </c>
      <c r="G50" s="1338">
        <f t="shared" si="18"/>
        <v>31910.615999999998</v>
      </c>
      <c r="H50" s="1338">
        <f t="shared" si="18"/>
        <v>35850.419000000002</v>
      </c>
      <c r="I50" s="1338">
        <f t="shared" si="18"/>
        <v>34191.271430376044</v>
      </c>
      <c r="J50" s="1338">
        <f t="shared" si="18"/>
        <v>34759.003504744265</v>
      </c>
      <c r="K50" s="1338">
        <f t="shared" si="18"/>
        <v>35344.467204195433</v>
      </c>
      <c r="L50" s="1338">
        <f t="shared" si="18"/>
        <v>36081.783591994354</v>
      </c>
      <c r="N50" s="1337" t="s">
        <v>1281</v>
      </c>
      <c r="O50" s="1336">
        <f t="shared" ref="O50:O90" si="19">B50/B$95*100</f>
        <v>44.08433049946035</v>
      </c>
      <c r="P50" s="1336">
        <f t="shared" ref="P50:P90" si="20">C50/C$95*100</f>
        <v>42.14499395507071</v>
      </c>
      <c r="Q50" s="1336">
        <f t="shared" ref="Q50:Q90" si="21">D50/D$95*100</f>
        <v>40.816883580263699</v>
      </c>
      <c r="R50" s="1336">
        <f t="shared" ref="R50:R90" si="22">E50/E$95*100</f>
        <v>40.63006732825793</v>
      </c>
      <c r="S50" s="1336">
        <f t="shared" ref="S50:S90" si="23">F50/F$95*100</f>
        <v>41.440734044403456</v>
      </c>
      <c r="T50" s="1336">
        <f t="shared" ref="T50:T90" si="24">G50/G$95*100</f>
        <v>42.017285875301532</v>
      </c>
      <c r="U50" s="1336">
        <f t="shared" ref="U50:U90" si="25">H50/H$95*100</f>
        <v>45.561600851998328</v>
      </c>
      <c r="V50" s="1336">
        <f t="shared" ref="V50:V90" si="26">I50/I$95*100</f>
        <v>42.116763293984192</v>
      </c>
      <c r="W50" s="1336">
        <f t="shared" ref="W50:W90" si="27">J50/J$95*100</f>
        <v>41.060668245006561</v>
      </c>
      <c r="X50" s="1336">
        <f t="shared" ref="X50:X90" si="28">K50/K$95*100</f>
        <v>39.615684308600137</v>
      </c>
      <c r="Y50" s="1336">
        <f t="shared" ref="Y50:Y90" si="29">L50/L$95*100</f>
        <v>37.998211121296968</v>
      </c>
    </row>
    <row r="51" spans="1:25">
      <c r="A51" s="1334" t="s">
        <v>1280</v>
      </c>
      <c r="B51" s="1309">
        <v>897.47184529999993</v>
      </c>
      <c r="C51" s="1309">
        <v>956.41565963000005</v>
      </c>
      <c r="D51" s="1309">
        <v>1023.81665733</v>
      </c>
      <c r="E51" s="1309">
        <v>987.33151551000026</v>
      </c>
      <c r="F51" s="1309">
        <v>1232.59040817</v>
      </c>
      <c r="G51" s="1309">
        <v>1284.1022513599994</v>
      </c>
      <c r="H51" s="1309">
        <v>2912.1025462599982</v>
      </c>
      <c r="I51" s="1309">
        <v>859.92262567250998</v>
      </c>
      <c r="J51" s="1309">
        <v>968.32622371318007</v>
      </c>
      <c r="K51" s="1309">
        <v>791.29084478316986</v>
      </c>
      <c r="L51" s="1309">
        <v>696.37356914404018</v>
      </c>
      <c r="N51" s="1334" t="s">
        <v>1280</v>
      </c>
      <c r="O51" s="1319">
        <f t="shared" si="19"/>
        <v>1.4017937983321644</v>
      </c>
      <c r="P51" s="1319">
        <f t="shared" si="20"/>
        <v>1.4152913176909998</v>
      </c>
      <c r="Q51" s="1319">
        <f t="shared" si="21"/>
        <v>1.4496067482924426</v>
      </c>
      <c r="R51" s="1319">
        <f t="shared" si="22"/>
        <v>1.3580247381625372</v>
      </c>
      <c r="S51" s="1319">
        <f t="shared" si="23"/>
        <v>1.6618472023961204</v>
      </c>
      <c r="T51" s="1319">
        <f t="shared" si="24"/>
        <v>1.6908006849040897</v>
      </c>
      <c r="U51" s="1319">
        <f t="shared" si="25"/>
        <v>3.7009345372723832</v>
      </c>
      <c r="V51" s="1319">
        <f t="shared" si="26"/>
        <v>1.0592515622105414</v>
      </c>
      <c r="W51" s="1319">
        <f t="shared" si="27"/>
        <v>1.1438797956161206</v>
      </c>
      <c r="X51" s="1319">
        <f t="shared" si="28"/>
        <v>0.88691472195949772</v>
      </c>
      <c r="Y51" s="1319">
        <f t="shared" si="29"/>
        <v>0.73336036263732129</v>
      </c>
    </row>
    <row r="52" spans="1:25">
      <c r="A52" s="1334" t="s">
        <v>1279</v>
      </c>
      <c r="B52" s="1309">
        <v>420.67092574000003</v>
      </c>
      <c r="C52" s="1309">
        <v>431.46681548999999</v>
      </c>
      <c r="D52" s="1309">
        <v>465.48134479000009</v>
      </c>
      <c r="E52" s="1309">
        <v>418.05157492999996</v>
      </c>
      <c r="F52" s="1309">
        <v>367.98098973000003</v>
      </c>
      <c r="G52" s="1309">
        <v>375.11207856999999</v>
      </c>
      <c r="H52" s="1309">
        <v>740.16210275000003</v>
      </c>
      <c r="I52" s="1309">
        <v>369.24500000000006</v>
      </c>
      <c r="J52" s="1309">
        <v>421.84645686388006</v>
      </c>
      <c r="K52" s="1309">
        <v>407.37590624691597</v>
      </c>
      <c r="L52" s="1309">
        <v>419.9294846280381</v>
      </c>
      <c r="N52" s="1334" t="s">
        <v>1279</v>
      </c>
      <c r="O52" s="1319">
        <f t="shared" si="19"/>
        <v>0.65706116345506549</v>
      </c>
      <c r="P52" s="1319">
        <f t="shared" si="20"/>
        <v>0.63847892042150245</v>
      </c>
      <c r="Q52" s="1319">
        <f t="shared" si="21"/>
        <v>0.6590680995282272</v>
      </c>
      <c r="R52" s="1319">
        <f t="shared" si="22"/>
        <v>0.575008871553639</v>
      </c>
      <c r="S52" s="1319">
        <f t="shared" si="23"/>
        <v>0.49613251430836508</v>
      </c>
      <c r="T52" s="1319">
        <f t="shared" si="24"/>
        <v>0.49391686580272404</v>
      </c>
      <c r="U52" s="1319">
        <f t="shared" si="25"/>
        <v>0.94065763335349795</v>
      </c>
      <c r="V52" s="1319">
        <f t="shared" si="26"/>
        <v>0.45483550660450411</v>
      </c>
      <c r="W52" s="1319">
        <f t="shared" si="27"/>
        <v>0.49832548891268014</v>
      </c>
      <c r="X52" s="1319">
        <f t="shared" si="28"/>
        <v>0.45660542012335253</v>
      </c>
      <c r="Y52" s="1319">
        <f t="shared" si="29"/>
        <v>0.44223338273371782</v>
      </c>
    </row>
    <row r="53" spans="1:25">
      <c r="A53" s="1334" t="s">
        <v>1278</v>
      </c>
      <c r="B53" s="1309">
        <v>916.245</v>
      </c>
      <c r="C53" s="1309">
        <v>877.28399999999999</v>
      </c>
      <c r="D53" s="1309">
        <v>1079.231</v>
      </c>
      <c r="E53" s="1309">
        <v>1283.2670000000001</v>
      </c>
      <c r="F53" s="1309">
        <v>1387.038</v>
      </c>
      <c r="G53" s="1309">
        <v>1443.6010000000001</v>
      </c>
      <c r="H53" s="1309">
        <v>1379.4069999999999</v>
      </c>
      <c r="I53" s="1309">
        <v>1222.5</v>
      </c>
      <c r="J53" s="1309">
        <v>1120.222</v>
      </c>
      <c r="K53" s="1309">
        <v>1117.1000000000001</v>
      </c>
      <c r="L53" s="1309">
        <v>1084.222</v>
      </c>
      <c r="N53" s="1334" t="s">
        <v>1278</v>
      </c>
      <c r="O53" s="1319">
        <f t="shared" si="19"/>
        <v>1.4311162689716681</v>
      </c>
      <c r="P53" s="1319">
        <f t="shared" si="20"/>
        <v>1.2981933282330014</v>
      </c>
      <c r="Q53" s="1319">
        <f t="shared" si="21"/>
        <v>1.528067090299488</v>
      </c>
      <c r="R53" s="1319">
        <f t="shared" si="22"/>
        <v>1.7650690819561645</v>
      </c>
      <c r="S53" s="1319">
        <f t="shared" si="23"/>
        <v>1.8700820683323021</v>
      </c>
      <c r="T53" s="1319">
        <f t="shared" si="24"/>
        <v>1.9008155751951379</v>
      </c>
      <c r="U53" s="1319">
        <f t="shared" si="25"/>
        <v>1.753061551287656</v>
      </c>
      <c r="V53" s="1319">
        <f t="shared" si="26"/>
        <v>1.5058738962585985</v>
      </c>
      <c r="W53" s="1319">
        <f t="shared" si="27"/>
        <v>1.3233136530073304</v>
      </c>
      <c r="X53" s="1319">
        <f t="shared" si="28"/>
        <v>1.2520964224885567</v>
      </c>
      <c r="Y53" s="1319">
        <f t="shared" si="29"/>
        <v>1.1418087565797539</v>
      </c>
    </row>
    <row r="54" spans="1:25">
      <c r="A54" s="1334" t="s">
        <v>1277</v>
      </c>
      <c r="B54" s="1309">
        <v>1399.8498841600001</v>
      </c>
      <c r="C54" s="1309">
        <v>1560.61027934</v>
      </c>
      <c r="D54" s="1309">
        <v>1446.94734941</v>
      </c>
      <c r="E54" s="1309">
        <v>1555.25114532</v>
      </c>
      <c r="F54" s="1309">
        <v>1541.3484535499999</v>
      </c>
      <c r="G54" s="1309">
        <v>1447.056</v>
      </c>
      <c r="H54" s="1309">
        <v>1582.2296879099999</v>
      </c>
      <c r="I54" s="1309">
        <v>1575.8530000000001</v>
      </c>
      <c r="J54" s="1309">
        <v>1503.3733340000001</v>
      </c>
      <c r="K54" s="1309">
        <v>1547.207803</v>
      </c>
      <c r="L54" s="1309">
        <v>1607.635362</v>
      </c>
      <c r="N54" s="1334" t="s">
        <v>1277</v>
      </c>
      <c r="O54" s="1319">
        <f t="shared" si="19"/>
        <v>2.1864762627239234</v>
      </c>
      <c r="P54" s="1319">
        <f t="shared" si="20"/>
        <v>2.3093705716860544</v>
      </c>
      <c r="Q54" s="1319">
        <f t="shared" si="21"/>
        <v>2.0487111897540893</v>
      </c>
      <c r="R54" s="1319">
        <f t="shared" si="22"/>
        <v>2.1391695658668426</v>
      </c>
      <c r="S54" s="1319">
        <f t="shared" si="23"/>
        <v>2.0781320367831158</v>
      </c>
      <c r="T54" s="1319">
        <f t="shared" si="24"/>
        <v>1.9053648362529363</v>
      </c>
      <c r="U54" s="1319">
        <f t="shared" si="25"/>
        <v>2.0108249640467886</v>
      </c>
      <c r="V54" s="1319">
        <f t="shared" si="26"/>
        <v>1.9411336581110847</v>
      </c>
      <c r="W54" s="1319">
        <f t="shared" si="27"/>
        <v>1.7759287520235718</v>
      </c>
      <c r="X54" s="1319">
        <f t="shared" si="28"/>
        <v>1.7341807850529762</v>
      </c>
      <c r="Y54" s="1319">
        <f t="shared" si="29"/>
        <v>1.6930224010570367</v>
      </c>
    </row>
    <row r="55" spans="1:25">
      <c r="A55" s="1334" t="s">
        <v>1276</v>
      </c>
      <c r="B55" s="1309">
        <v>95.790999999999997</v>
      </c>
      <c r="C55" s="1309">
        <v>138.78800000000001</v>
      </c>
      <c r="D55" s="1309">
        <v>148.33500000000001</v>
      </c>
      <c r="E55" s="1309">
        <v>120.09799999999996</v>
      </c>
      <c r="F55" s="1309">
        <v>142.29199999999946</v>
      </c>
      <c r="G55" s="1309">
        <v>153.36300000000119</v>
      </c>
      <c r="H55" s="1309">
        <v>170.85600000000068</v>
      </c>
      <c r="I55" s="1309">
        <v>166.78300000000002</v>
      </c>
      <c r="J55" s="1309">
        <v>176.35499999999999</v>
      </c>
      <c r="K55" s="1309">
        <v>175.25399999999999</v>
      </c>
      <c r="L55" s="1309">
        <v>175.58099999999999</v>
      </c>
      <c r="N55" s="1334" t="s">
        <v>1276</v>
      </c>
      <c r="O55" s="1319">
        <f t="shared" si="19"/>
        <v>0.14961943423545562</v>
      </c>
      <c r="P55" s="1319">
        <f t="shared" si="20"/>
        <v>0.20537665754624704</v>
      </c>
      <c r="Q55" s="1319">
        <f t="shared" si="21"/>
        <v>0.21002531602555391</v>
      </c>
      <c r="R55" s="1319">
        <f t="shared" si="22"/>
        <v>0.16518874607137202</v>
      </c>
      <c r="S55" s="1319">
        <f t="shared" si="23"/>
        <v>0.19184601839829832</v>
      </c>
      <c r="T55" s="1319">
        <f t="shared" si="24"/>
        <v>0.20193583896011028</v>
      </c>
      <c r="U55" s="1319">
        <f t="shared" si="25"/>
        <v>0.21713757027969621</v>
      </c>
      <c r="V55" s="1319">
        <f t="shared" si="26"/>
        <v>0.20544308060506983</v>
      </c>
      <c r="W55" s="1319">
        <f t="shared" si="27"/>
        <v>0.20832743802220252</v>
      </c>
      <c r="X55" s="1319">
        <f t="shared" si="28"/>
        <v>0.19643264383386402</v>
      </c>
      <c r="Y55" s="1319">
        <f t="shared" si="29"/>
        <v>0.18490671033149092</v>
      </c>
    </row>
    <row r="56" spans="1:25">
      <c r="A56" s="1334" t="s">
        <v>1275</v>
      </c>
      <c r="B56" s="1309">
        <v>612.11592991999999</v>
      </c>
      <c r="C56" s="1309">
        <v>520.27027299999997</v>
      </c>
      <c r="D56" s="1309">
        <v>582.13923808000004</v>
      </c>
      <c r="E56" s="1309">
        <v>620.76067773</v>
      </c>
      <c r="F56" s="1309">
        <v>713.40898604999995</v>
      </c>
      <c r="G56" s="1309">
        <v>595.81978500000002</v>
      </c>
      <c r="H56" s="1309">
        <v>637.48283834999995</v>
      </c>
      <c r="I56" s="1309">
        <v>686.71900000000005</v>
      </c>
      <c r="J56" s="1309">
        <v>706.14700000000005</v>
      </c>
      <c r="K56" s="1309">
        <v>797.78099999999995</v>
      </c>
      <c r="L56" s="1309">
        <v>828.06</v>
      </c>
      <c r="N56" s="1334" t="s">
        <v>1275</v>
      </c>
      <c r="O56" s="1319">
        <f t="shared" si="19"/>
        <v>0.9560860531901767</v>
      </c>
      <c r="P56" s="1319">
        <f t="shared" si="20"/>
        <v>0.76988910921270892</v>
      </c>
      <c r="Q56" s="1319">
        <f t="shared" si="21"/>
        <v>0.82424227221240542</v>
      </c>
      <c r="R56" s="1319">
        <f t="shared" si="22"/>
        <v>0.85382502593410214</v>
      </c>
      <c r="S56" s="1319">
        <f t="shared" si="23"/>
        <v>0.96185782379374918</v>
      </c>
      <c r="T56" s="1319">
        <f t="shared" si="24"/>
        <v>0.78452669909304473</v>
      </c>
      <c r="U56" s="1319">
        <f t="shared" si="25"/>
        <v>0.81016455151895639</v>
      </c>
      <c r="V56" s="1319">
        <f t="shared" si="26"/>
        <v>0.84589956332499683</v>
      </c>
      <c r="W56" s="1319">
        <f t="shared" si="27"/>
        <v>0.83416855420636937</v>
      </c>
      <c r="X56" s="1319">
        <f t="shared" si="28"/>
        <v>0.89418918273148607</v>
      </c>
      <c r="Y56" s="1319">
        <f t="shared" si="29"/>
        <v>0.87204111240449922</v>
      </c>
    </row>
    <row r="57" spans="1:25">
      <c r="A57" s="1337" t="s">
        <v>1274</v>
      </c>
      <c r="B57" s="1338">
        <f t="shared" ref="B57:L57" si="30">B58+B62+B79+B88</f>
        <v>23882.010414879998</v>
      </c>
      <c r="C57" s="1338">
        <f t="shared" si="30"/>
        <v>23995.613972540003</v>
      </c>
      <c r="D57" s="1338">
        <f t="shared" si="30"/>
        <v>24081.871410389998</v>
      </c>
      <c r="E57" s="1338">
        <f t="shared" si="30"/>
        <v>24554.721086510002</v>
      </c>
      <c r="F57" s="1338">
        <f t="shared" si="30"/>
        <v>25351.892162499997</v>
      </c>
      <c r="G57" s="1338">
        <f t="shared" si="30"/>
        <v>26611.561885069998</v>
      </c>
      <c r="H57" s="1338">
        <f t="shared" si="30"/>
        <v>28428.178824730003</v>
      </c>
      <c r="I57" s="1338">
        <f t="shared" si="30"/>
        <v>29310.248804703537</v>
      </c>
      <c r="J57" s="1338">
        <f t="shared" si="30"/>
        <v>29862.733490167207</v>
      </c>
      <c r="K57" s="1338">
        <f t="shared" si="30"/>
        <v>30508.45765016535</v>
      </c>
      <c r="L57" s="1338">
        <f t="shared" si="30"/>
        <v>31269.982176222275</v>
      </c>
      <c r="N57" s="1337" t="s">
        <v>1274</v>
      </c>
      <c r="O57" s="1336">
        <f t="shared" si="19"/>
        <v>37.302177518551893</v>
      </c>
      <c r="P57" s="1336">
        <f t="shared" si="20"/>
        <v>35.508394050280202</v>
      </c>
      <c r="Q57" s="1336">
        <f t="shared" si="21"/>
        <v>34.097162864151485</v>
      </c>
      <c r="R57" s="1336">
        <f t="shared" si="22"/>
        <v>33.773781298713267</v>
      </c>
      <c r="S57" s="1336">
        <f t="shared" si="23"/>
        <v>34.180836380391504</v>
      </c>
      <c r="T57" s="1336">
        <f t="shared" si="24"/>
        <v>35.039925375093489</v>
      </c>
      <c r="U57" s="1336">
        <f t="shared" si="25"/>
        <v>36.128820044239355</v>
      </c>
      <c r="V57" s="1336">
        <f t="shared" si="26"/>
        <v>36.104326026869401</v>
      </c>
      <c r="W57" s="1336">
        <f t="shared" si="27"/>
        <v>35.276724563218288</v>
      </c>
      <c r="X57" s="1336">
        <f t="shared" si="28"/>
        <v>34.195265132410412</v>
      </c>
      <c r="Y57" s="1336">
        <f t="shared" si="29"/>
        <v>32.930838395553145</v>
      </c>
    </row>
    <row r="58" spans="1:25">
      <c r="A58" s="1335" t="s">
        <v>1273</v>
      </c>
      <c r="B58" s="1323">
        <f t="shared" ref="B58:L58" si="31">SUM(B59:B61)</f>
        <v>9179.8310796799997</v>
      </c>
      <c r="C58" s="1323">
        <f t="shared" si="31"/>
        <v>9325.6795441700015</v>
      </c>
      <c r="D58" s="1323">
        <f t="shared" si="31"/>
        <v>9563.3082246699996</v>
      </c>
      <c r="E58" s="1323">
        <f t="shared" si="31"/>
        <v>9764.7864413299994</v>
      </c>
      <c r="F58" s="1323">
        <f t="shared" si="31"/>
        <v>10129.37229548</v>
      </c>
      <c r="G58" s="1323">
        <f t="shared" si="31"/>
        <v>10521.2557547</v>
      </c>
      <c r="H58" s="1323">
        <f t="shared" si="31"/>
        <v>11069.16581511</v>
      </c>
      <c r="I58" s="1323">
        <f t="shared" si="31"/>
        <v>11566.51353671688</v>
      </c>
      <c r="J58" s="1323">
        <f t="shared" si="31"/>
        <v>11728.214874095534</v>
      </c>
      <c r="K58" s="1323">
        <f t="shared" si="31"/>
        <v>12176.448806988399</v>
      </c>
      <c r="L58" s="1323">
        <f t="shared" si="31"/>
        <v>12571.642930130907</v>
      </c>
      <c r="N58" s="1335" t="s">
        <v>1273</v>
      </c>
      <c r="O58" s="1321">
        <f t="shared" si="19"/>
        <v>14.33831082793554</v>
      </c>
      <c r="P58" s="1321">
        <f t="shared" si="20"/>
        <v>13.80001797078309</v>
      </c>
      <c r="Q58" s="1321">
        <f t="shared" si="21"/>
        <v>13.540545603775882</v>
      </c>
      <c r="R58" s="1321">
        <f t="shared" si="22"/>
        <v>13.430971605672354</v>
      </c>
      <c r="S58" s="1321">
        <f t="shared" si="23"/>
        <v>13.656985239942349</v>
      </c>
      <c r="T58" s="1321">
        <f t="shared" si="24"/>
        <v>13.853527954847102</v>
      </c>
      <c r="U58" s="1321">
        <f t="shared" si="25"/>
        <v>14.067587735379789</v>
      </c>
      <c r="V58" s="1321">
        <f t="shared" si="26"/>
        <v>14.24761620095188</v>
      </c>
      <c r="W58" s="1321">
        <f t="shared" si="27"/>
        <v>13.854492117003836</v>
      </c>
      <c r="X58" s="1321">
        <f t="shared" si="28"/>
        <v>13.647916918669079</v>
      </c>
      <c r="Y58" s="1321">
        <f t="shared" si="29"/>
        <v>13.239366091277823</v>
      </c>
    </row>
    <row r="59" spans="1:25">
      <c r="A59" s="1334" t="s">
        <v>53</v>
      </c>
      <c r="B59" s="1309">
        <v>5346.5057436699999</v>
      </c>
      <c r="C59" s="1309">
        <v>5518.6914674300006</v>
      </c>
      <c r="D59" s="1309">
        <v>5610.99325288</v>
      </c>
      <c r="E59" s="1309">
        <v>5780.0666753299993</v>
      </c>
      <c r="F59" s="1309">
        <v>6092.8467345500003</v>
      </c>
      <c r="G59" s="1309">
        <v>6383.9461108699988</v>
      </c>
      <c r="H59" s="1309">
        <v>6681.2423668600004</v>
      </c>
      <c r="I59" s="1309">
        <v>6916.9993217811816</v>
      </c>
      <c r="J59" s="1309">
        <v>7254.6126355829329</v>
      </c>
      <c r="K59" s="1309">
        <v>7605.8223996390298</v>
      </c>
      <c r="L59" s="1309">
        <v>8007.2969692474599</v>
      </c>
      <c r="N59" s="1334" t="s">
        <v>53</v>
      </c>
      <c r="O59" s="1319">
        <f t="shared" si="19"/>
        <v>8.3509010711290141</v>
      </c>
      <c r="P59" s="1319">
        <f t="shared" si="20"/>
        <v>8.166487070998695</v>
      </c>
      <c r="Q59" s="1319">
        <f t="shared" si="21"/>
        <v>7.9445217322504647</v>
      </c>
      <c r="R59" s="1319">
        <f t="shared" si="22"/>
        <v>7.9501903970647891</v>
      </c>
      <c r="S59" s="1319">
        <f t="shared" si="23"/>
        <v>8.2147161241285218</v>
      </c>
      <c r="T59" s="1319">
        <f t="shared" si="24"/>
        <v>8.4058574348092865</v>
      </c>
      <c r="U59" s="1319">
        <f t="shared" si="25"/>
        <v>8.4910610923218481</v>
      </c>
      <c r="V59" s="1319">
        <f t="shared" si="26"/>
        <v>8.5203506904774748</v>
      </c>
      <c r="W59" s="1319">
        <f t="shared" si="27"/>
        <v>8.5698441451305083</v>
      </c>
      <c r="X59" s="1319">
        <f t="shared" si="28"/>
        <v>8.5249512278859179</v>
      </c>
      <c r="Y59" s="1319">
        <f t="shared" si="29"/>
        <v>8.4325920300651287</v>
      </c>
    </row>
    <row r="60" spans="1:25">
      <c r="A60" s="1334" t="s">
        <v>54</v>
      </c>
      <c r="B60" s="1309">
        <v>3790.0708244000002</v>
      </c>
      <c r="C60" s="1309">
        <v>3747.2470853700006</v>
      </c>
      <c r="D60" s="1309">
        <v>3884.0896397200004</v>
      </c>
      <c r="E60" s="1309">
        <v>3906.5785145599998</v>
      </c>
      <c r="F60" s="1309">
        <v>3955.4271219499992</v>
      </c>
      <c r="G60" s="1309">
        <v>4068.5987531000001</v>
      </c>
      <c r="H60" s="1309">
        <v>4316.6405721000001</v>
      </c>
      <c r="I60" s="1309">
        <v>4605.3732149357002</v>
      </c>
      <c r="J60" s="1309">
        <v>4423.8164745126023</v>
      </c>
      <c r="K60" s="1309">
        <v>4519.8551293493683</v>
      </c>
      <c r="L60" s="1309">
        <v>4514.5397778834476</v>
      </c>
      <c r="N60" s="1334" t="s">
        <v>54</v>
      </c>
      <c r="O60" s="1319">
        <f t="shared" si="19"/>
        <v>5.9198489676382433</v>
      </c>
      <c r="P60" s="1319">
        <f t="shared" si="20"/>
        <v>5.5451269662593807</v>
      </c>
      <c r="Q60" s="1319">
        <f t="shared" si="21"/>
        <v>5.4994246405350919</v>
      </c>
      <c r="R60" s="1319">
        <f t="shared" si="22"/>
        <v>5.3733018555640371</v>
      </c>
      <c r="S60" s="1319">
        <f t="shared" si="23"/>
        <v>5.3329276727486485</v>
      </c>
      <c r="T60" s="1319">
        <f t="shared" si="24"/>
        <v>5.3571976461030415</v>
      </c>
      <c r="U60" s="1319">
        <f t="shared" si="25"/>
        <v>5.4859346209471616</v>
      </c>
      <c r="V60" s="1319">
        <f t="shared" si="26"/>
        <v>5.6728926845809502</v>
      </c>
      <c r="W60" s="1319">
        <f t="shared" si="27"/>
        <v>5.2258362531009759</v>
      </c>
      <c r="X60" s="1319">
        <f t="shared" si="28"/>
        <v>5.0660589361963089</v>
      </c>
      <c r="Y60" s="1319">
        <f t="shared" si="29"/>
        <v>4.7543225006640135</v>
      </c>
    </row>
    <row r="61" spans="1:25">
      <c r="A61" s="1334" t="s">
        <v>55</v>
      </c>
      <c r="B61" s="1309">
        <v>43.254511609999994</v>
      </c>
      <c r="C61" s="1309">
        <v>59.740991369999996</v>
      </c>
      <c r="D61" s="1309">
        <v>68.225332070000007</v>
      </c>
      <c r="E61" s="1309">
        <v>78.141251440000005</v>
      </c>
      <c r="F61" s="1309">
        <v>81.098438979999997</v>
      </c>
      <c r="G61" s="1309">
        <v>68.710890730000003</v>
      </c>
      <c r="H61" s="1309">
        <v>71.282876149999993</v>
      </c>
      <c r="I61" s="1309">
        <v>44.140999999999998</v>
      </c>
      <c r="J61" s="1309">
        <v>49.785764</v>
      </c>
      <c r="K61" s="1309">
        <v>50.771278000000002</v>
      </c>
      <c r="L61" s="1309">
        <v>49.806182999999997</v>
      </c>
      <c r="N61" s="1334" t="s">
        <v>55</v>
      </c>
      <c r="O61" s="1319">
        <f t="shared" si="19"/>
        <v>6.7560789168284563E-2</v>
      </c>
      <c r="P61" s="1319">
        <f t="shared" si="20"/>
        <v>8.8403933525015049E-2</v>
      </c>
      <c r="Q61" s="1319">
        <f t="shared" si="21"/>
        <v>9.659923099032669E-2</v>
      </c>
      <c r="R61" s="1319">
        <f t="shared" si="22"/>
        <v>0.10747935304352611</v>
      </c>
      <c r="S61" s="1319">
        <f t="shared" si="23"/>
        <v>0.10934144306517875</v>
      </c>
      <c r="T61" s="1319">
        <f t="shared" si="24"/>
        <v>9.0472873934775058E-2</v>
      </c>
      <c r="U61" s="1319">
        <f t="shared" si="25"/>
        <v>9.0592022110780102E-2</v>
      </c>
      <c r="V61" s="1319">
        <f t="shared" si="26"/>
        <v>5.437282589345669E-2</v>
      </c>
      <c r="W61" s="1319">
        <f t="shared" si="27"/>
        <v>5.8811718772351237E-2</v>
      </c>
      <c r="X61" s="1319">
        <f t="shared" si="28"/>
        <v>5.6906754586851641E-2</v>
      </c>
      <c r="Y61" s="1319">
        <f t="shared" si="29"/>
        <v>5.2451560548682531E-2</v>
      </c>
    </row>
    <row r="62" spans="1:25">
      <c r="A62" s="1326" t="s">
        <v>1272</v>
      </c>
      <c r="B62" s="1323">
        <f t="shared" ref="B62:L62" si="32">B63+B76+B77+B78</f>
        <v>7484.6909904100003</v>
      </c>
      <c r="C62" s="1323">
        <f t="shared" si="32"/>
        <v>7970.5191555599995</v>
      </c>
      <c r="D62" s="1323">
        <f t="shared" si="32"/>
        <v>8175.3551720500009</v>
      </c>
      <c r="E62" s="1323">
        <f t="shared" si="32"/>
        <v>8414.4086410400014</v>
      </c>
      <c r="F62" s="1323">
        <f t="shared" si="32"/>
        <v>8636.480220219999</v>
      </c>
      <c r="G62" s="1323">
        <f t="shared" si="32"/>
        <v>9013.1587386300016</v>
      </c>
      <c r="H62" s="1323">
        <f t="shared" si="32"/>
        <v>9168.5887327799992</v>
      </c>
      <c r="I62" s="1323">
        <f t="shared" si="32"/>
        <v>9414.7599999999984</v>
      </c>
      <c r="J62" s="1323">
        <f t="shared" si="32"/>
        <v>9693.653809999998</v>
      </c>
      <c r="K62" s="1323">
        <f t="shared" si="32"/>
        <v>9897.2813570000017</v>
      </c>
      <c r="L62" s="1323">
        <f t="shared" si="32"/>
        <v>10163.159385000003</v>
      </c>
      <c r="N62" s="1326" t="s">
        <v>1272</v>
      </c>
      <c r="O62" s="1321">
        <f t="shared" si="19"/>
        <v>11.690610092935207</v>
      </c>
      <c r="P62" s="1321">
        <f t="shared" si="20"/>
        <v>11.794669446041791</v>
      </c>
      <c r="Q62" s="1321">
        <f t="shared" si="21"/>
        <v>11.575363559719204</v>
      </c>
      <c r="R62" s="1321">
        <f t="shared" si="22"/>
        <v>11.573595000295724</v>
      </c>
      <c r="S62" s="1321">
        <f t="shared" si="23"/>
        <v>11.644184797633541</v>
      </c>
      <c r="T62" s="1321">
        <f t="shared" si="24"/>
        <v>11.86778930749845</v>
      </c>
      <c r="U62" s="1321">
        <f t="shared" si="25"/>
        <v>11.652181253977854</v>
      </c>
      <c r="V62" s="1321">
        <f t="shared" si="26"/>
        <v>11.597089017210308</v>
      </c>
      <c r="W62" s="1321">
        <f t="shared" si="27"/>
        <v>11.451073478560076</v>
      </c>
      <c r="X62" s="1321">
        <f t="shared" si="28"/>
        <v>11.093322513170163</v>
      </c>
      <c r="Y62" s="1321">
        <f t="shared" si="29"/>
        <v>10.702959707798504</v>
      </c>
    </row>
    <row r="63" spans="1:25">
      <c r="A63" s="988" t="s">
        <v>908</v>
      </c>
      <c r="B63" s="1309">
        <f t="shared" ref="B63:L63" si="33">SUM(B64:B68)+B73+B74+B75</f>
        <v>7383.6509904100003</v>
      </c>
      <c r="C63" s="1309">
        <f t="shared" si="33"/>
        <v>7879.8641555599988</v>
      </c>
      <c r="D63" s="1309">
        <f t="shared" si="33"/>
        <v>8085.0051720500005</v>
      </c>
      <c r="E63" s="1309">
        <f t="shared" si="33"/>
        <v>8344.2636410400009</v>
      </c>
      <c r="F63" s="1309">
        <f t="shared" si="33"/>
        <v>8589.7732202199986</v>
      </c>
      <c r="G63" s="1309">
        <f t="shared" si="33"/>
        <v>8928.5837386300009</v>
      </c>
      <c r="H63" s="1309">
        <f t="shared" si="33"/>
        <v>9069.5257327799991</v>
      </c>
      <c r="I63" s="1309">
        <f t="shared" si="33"/>
        <v>9303.7389999999978</v>
      </c>
      <c r="J63" s="1309">
        <f t="shared" si="33"/>
        <v>9610.3468099999991</v>
      </c>
      <c r="K63" s="1309">
        <f t="shared" si="33"/>
        <v>9811.2703570000012</v>
      </c>
      <c r="L63" s="1309">
        <f t="shared" si="33"/>
        <v>10072.948385000002</v>
      </c>
      <c r="N63" s="988" t="s">
        <v>908</v>
      </c>
      <c r="O63" s="1319">
        <f t="shared" si="19"/>
        <v>11.532792055383135</v>
      </c>
      <c r="P63" s="1319">
        <f t="shared" si="20"/>
        <v>11.660519369018886</v>
      </c>
      <c r="Q63" s="1319">
        <f t="shared" si="21"/>
        <v>11.447438341106544</v>
      </c>
      <c r="R63" s="1319">
        <f t="shared" si="22"/>
        <v>11.477114088097547</v>
      </c>
      <c r="S63" s="1319">
        <f t="shared" si="23"/>
        <v>11.581211812635583</v>
      </c>
      <c r="T63" s="1319">
        <f t="shared" si="24"/>
        <v>11.7564278736451</v>
      </c>
      <c r="U63" s="1319">
        <f t="shared" si="25"/>
        <v>11.526284012297038</v>
      </c>
      <c r="V63" s="1319">
        <f t="shared" si="26"/>
        <v>11.460333495053639</v>
      </c>
      <c r="W63" s="1319">
        <f t="shared" si="27"/>
        <v>11.352663261218263</v>
      </c>
      <c r="X63" s="1319">
        <f t="shared" si="28"/>
        <v>10.996917477457458</v>
      </c>
      <c r="Y63" s="1319">
        <f t="shared" si="29"/>
        <v>10.607957291559194</v>
      </c>
    </row>
    <row r="64" spans="1:25">
      <c r="A64" s="1333" t="s">
        <v>1271</v>
      </c>
      <c r="B64" s="1309">
        <v>37.564962800000004</v>
      </c>
      <c r="C64" s="1309">
        <v>89.60522143</v>
      </c>
      <c r="D64" s="1309">
        <v>57.136611479999999</v>
      </c>
      <c r="E64" s="1309">
        <v>40.888551759999999</v>
      </c>
      <c r="F64" s="1309">
        <v>22.29932814</v>
      </c>
      <c r="G64" s="1309">
        <v>36.935243880000002</v>
      </c>
      <c r="H64" s="1309">
        <v>22.33531769</v>
      </c>
      <c r="I64" s="1309">
        <v>49.13</v>
      </c>
      <c r="J64" s="1309">
        <v>28.024967</v>
      </c>
      <c r="K64" s="1309">
        <v>23.763902999999999</v>
      </c>
      <c r="L64" s="1309">
        <v>22.661591999999999</v>
      </c>
      <c r="N64" s="1333" t="s">
        <v>1271</v>
      </c>
      <c r="O64" s="1319">
        <f t="shared" si="19"/>
        <v>5.867407670044094E-2</v>
      </c>
      <c r="P64" s="1319">
        <f t="shared" si="20"/>
        <v>0.13259662849803114</v>
      </c>
      <c r="Q64" s="1319">
        <f t="shared" si="21"/>
        <v>8.0898876750033988E-2</v>
      </c>
      <c r="R64" s="1319">
        <f t="shared" si="22"/>
        <v>5.6240142166470664E-2</v>
      </c>
      <c r="S64" s="1319">
        <f t="shared" si="23"/>
        <v>3.0065199144127204E-2</v>
      </c>
      <c r="T64" s="1319">
        <f t="shared" si="24"/>
        <v>4.8633304383091241E-2</v>
      </c>
      <c r="U64" s="1319">
        <f t="shared" si="25"/>
        <v>2.8385521226247244E-2</v>
      </c>
      <c r="V64" s="1319">
        <f t="shared" si="26"/>
        <v>6.0518269548617547E-2</v>
      </c>
      <c r="W64" s="1319">
        <f t="shared" si="27"/>
        <v>3.3105778547627064E-2</v>
      </c>
      <c r="X64" s="1319">
        <f t="shared" si="28"/>
        <v>2.6635661919850576E-2</v>
      </c>
      <c r="Y64" s="1319">
        <f t="shared" si="29"/>
        <v>2.386522703250598E-2</v>
      </c>
    </row>
    <row r="65" spans="1:25">
      <c r="A65" s="1333" t="s">
        <v>1270</v>
      </c>
      <c r="B65" s="1309">
        <v>316.67060204000001</v>
      </c>
      <c r="C65" s="1309">
        <v>338.46192513</v>
      </c>
      <c r="D65" s="1309">
        <v>381.43588198999998</v>
      </c>
      <c r="E65" s="1309">
        <v>428.16010096000002</v>
      </c>
      <c r="F65" s="1309">
        <v>399.4344155</v>
      </c>
      <c r="G65" s="1309">
        <v>380.81195550000001</v>
      </c>
      <c r="H65" s="1309">
        <v>415.08642830000002</v>
      </c>
      <c r="I65" s="1309">
        <v>465.26299999999998</v>
      </c>
      <c r="J65" s="1309">
        <v>509.18599999999998</v>
      </c>
      <c r="K65" s="1309">
        <v>542.9</v>
      </c>
      <c r="L65" s="1309">
        <v>577.70899999999995</v>
      </c>
      <c r="N65" s="1333" t="s">
        <v>1270</v>
      </c>
      <c r="O65" s="1319">
        <f t="shared" si="19"/>
        <v>0.4946192890378629</v>
      </c>
      <c r="P65" s="1319">
        <f t="shared" si="20"/>
        <v>0.50085150654139776</v>
      </c>
      <c r="Q65" s="1319">
        <f t="shared" si="21"/>
        <v>0.54006938118741787</v>
      </c>
      <c r="R65" s="1319">
        <f t="shared" si="22"/>
        <v>0.58891263963908214</v>
      </c>
      <c r="S65" s="1319">
        <f t="shared" si="23"/>
        <v>0.5385397789399744</v>
      </c>
      <c r="T65" s="1319">
        <f t="shared" si="24"/>
        <v>0.50142199696101464</v>
      </c>
      <c r="U65" s="1319">
        <f t="shared" si="25"/>
        <v>0.52752527565399521</v>
      </c>
      <c r="V65" s="1319">
        <f t="shared" si="26"/>
        <v>0.57311035304291558</v>
      </c>
      <c r="W65" s="1319">
        <f t="shared" si="27"/>
        <v>0.60149933291810953</v>
      </c>
      <c r="X65" s="1319">
        <f t="shared" si="28"/>
        <v>0.60850698036795048</v>
      </c>
      <c r="Y65" s="1319">
        <f t="shared" si="29"/>
        <v>0.60839311040998334</v>
      </c>
    </row>
    <row r="66" spans="1:25">
      <c r="A66" s="1333" t="s">
        <v>1269</v>
      </c>
      <c r="B66" s="1309">
        <v>5034.7361941099998</v>
      </c>
      <c r="C66" s="1309">
        <v>5244.5098773899999</v>
      </c>
      <c r="D66" s="1309">
        <v>5390.74627753</v>
      </c>
      <c r="E66" s="1309">
        <v>5639.5029835400001</v>
      </c>
      <c r="F66" s="1309">
        <v>5893.8227736299996</v>
      </c>
      <c r="G66" s="1309">
        <v>6240.8616439999996</v>
      </c>
      <c r="H66" s="1309">
        <v>6357.2477151900002</v>
      </c>
      <c r="I66" s="1309">
        <v>6505.5349999999999</v>
      </c>
      <c r="J66" s="1309">
        <v>6779.6400389999999</v>
      </c>
      <c r="K66" s="1309">
        <v>6942.1940750000003</v>
      </c>
      <c r="L66" s="1309">
        <v>7157.2428440000003</v>
      </c>
      <c r="N66" s="1333" t="s">
        <v>1269</v>
      </c>
      <c r="O66" s="1319">
        <f t="shared" si="19"/>
        <v>7.8639369135671338</v>
      </c>
      <c r="P66" s="1319">
        <f t="shared" si="20"/>
        <v>7.7607567591336135</v>
      </c>
      <c r="Q66" s="1319">
        <f t="shared" si="21"/>
        <v>7.6326773219524497</v>
      </c>
      <c r="R66" s="1319">
        <f t="shared" si="22"/>
        <v>7.7568521234053378</v>
      </c>
      <c r="S66" s="1319">
        <f t="shared" si="23"/>
        <v>7.9463809087379111</v>
      </c>
      <c r="T66" s="1319">
        <f t="shared" si="24"/>
        <v>8.2174555265292373</v>
      </c>
      <c r="U66" s="1319">
        <f t="shared" si="25"/>
        <v>8.0793025854667171</v>
      </c>
      <c r="V66" s="1319">
        <f t="shared" si="26"/>
        <v>8.0135094786884924</v>
      </c>
      <c r="W66" s="1319">
        <f t="shared" si="27"/>
        <v>8.0087609653120992</v>
      </c>
      <c r="X66" s="1319">
        <f t="shared" si="28"/>
        <v>7.781126457370652</v>
      </c>
      <c r="Y66" s="1319">
        <f t="shared" si="29"/>
        <v>7.5373886088337825</v>
      </c>
    </row>
    <row r="67" spans="1:25">
      <c r="A67" s="1333" t="s">
        <v>1268</v>
      </c>
      <c r="B67" s="1309">
        <v>172.42967365999999</v>
      </c>
      <c r="C67" s="1309">
        <v>150.33907399</v>
      </c>
      <c r="D67" s="1309">
        <v>163.33390141000001</v>
      </c>
      <c r="E67" s="1309">
        <v>175.77321726</v>
      </c>
      <c r="F67" s="1309">
        <v>174.30759781</v>
      </c>
      <c r="G67" s="1309">
        <v>154.72125446000001</v>
      </c>
      <c r="H67" s="1309">
        <v>158.6244992</v>
      </c>
      <c r="I67" s="1309">
        <v>159.9</v>
      </c>
      <c r="J67" s="1309">
        <v>153.1</v>
      </c>
      <c r="K67" s="1309">
        <v>137.5</v>
      </c>
      <c r="L67" s="1309">
        <v>123.5</v>
      </c>
      <c r="N67" s="1333" t="s">
        <v>1268</v>
      </c>
      <c r="O67" s="1319">
        <f t="shared" si="19"/>
        <v>0.2693241559062276</v>
      </c>
      <c r="P67" s="1319">
        <f t="shared" si="20"/>
        <v>0.22246978495737471</v>
      </c>
      <c r="Q67" s="1319">
        <f t="shared" si="21"/>
        <v>0.2312620370197318</v>
      </c>
      <c r="R67" s="1319">
        <f t="shared" si="22"/>
        <v>0.24176720138645319</v>
      </c>
      <c r="S67" s="1319">
        <f t="shared" si="23"/>
        <v>0.23501123475965319</v>
      </c>
      <c r="T67" s="1319">
        <f t="shared" si="24"/>
        <v>0.20372427720076267</v>
      </c>
      <c r="U67" s="1319">
        <f t="shared" si="25"/>
        <v>0.20159279359882876</v>
      </c>
      <c r="V67" s="1319">
        <f t="shared" si="26"/>
        <v>0.19696461023456027</v>
      </c>
      <c r="W67" s="1319">
        <f t="shared" si="27"/>
        <v>0.18085640192338864</v>
      </c>
      <c r="X67" s="1319">
        <f t="shared" si="28"/>
        <v>0.15411624571853599</v>
      </c>
      <c r="Y67" s="1319">
        <f t="shared" si="29"/>
        <v>0.13005950943404543</v>
      </c>
    </row>
    <row r="68" spans="1:25">
      <c r="A68" s="1333" t="s">
        <v>1267</v>
      </c>
      <c r="B68" s="1309">
        <v>1209.6627098700001</v>
      </c>
      <c r="C68" s="1309">
        <v>1363.4671090899999</v>
      </c>
      <c r="D68" s="1309">
        <v>1374.7527225200001</v>
      </c>
      <c r="E68" s="1309">
        <v>1379.80566503</v>
      </c>
      <c r="F68" s="1309">
        <v>1372.7999195399998</v>
      </c>
      <c r="G68" s="1309">
        <v>1360.8896407900002</v>
      </c>
      <c r="H68" s="1309">
        <v>1336.3777301799998</v>
      </c>
      <c r="I68" s="1309">
        <v>1336.117</v>
      </c>
      <c r="J68" s="1309">
        <v>1341.8892830000002</v>
      </c>
      <c r="K68" s="1309">
        <v>1360.225858</v>
      </c>
      <c r="L68" s="1309">
        <v>1378.2484279999999</v>
      </c>
      <c r="N68" s="1333" t="s">
        <v>1267</v>
      </c>
      <c r="O68" s="1319">
        <f t="shared" si="19"/>
        <v>1.8894160230760464</v>
      </c>
      <c r="P68" s="1319">
        <f t="shared" si="20"/>
        <v>2.0176407004867016</v>
      </c>
      <c r="Q68" s="1319">
        <f t="shared" si="21"/>
        <v>1.946491893378189</v>
      </c>
      <c r="R68" s="1319">
        <f t="shared" si="22"/>
        <v>1.8978531501647102</v>
      </c>
      <c r="S68" s="1319">
        <f t="shared" si="23"/>
        <v>1.8508854933605139</v>
      </c>
      <c r="T68" s="1319">
        <f t="shared" si="24"/>
        <v>1.7919080309139079</v>
      </c>
      <c r="U68" s="1319">
        <f t="shared" si="25"/>
        <v>1.6983764884299029</v>
      </c>
      <c r="V68" s="1319">
        <f t="shared" si="26"/>
        <v>1.6458271678096932</v>
      </c>
      <c r="W68" s="1319">
        <f t="shared" si="27"/>
        <v>1.5851683050485688</v>
      </c>
      <c r="X68" s="1319">
        <f t="shared" si="28"/>
        <v>1.5246029277398867</v>
      </c>
      <c r="Y68" s="1319">
        <f t="shared" si="29"/>
        <v>1.4514519386552573</v>
      </c>
    </row>
    <row r="69" spans="1:25">
      <c r="A69" s="1332" t="s">
        <v>1266</v>
      </c>
      <c r="B69" s="1309">
        <v>635.70710039999994</v>
      </c>
      <c r="C69" s="1309">
        <v>717.25705062999998</v>
      </c>
      <c r="D69" s="1309">
        <v>732.77582785000004</v>
      </c>
      <c r="E69" s="1309">
        <v>726.34478696999997</v>
      </c>
      <c r="F69" s="1309">
        <v>736.12796775000004</v>
      </c>
      <c r="G69" s="1309">
        <v>740.68958848</v>
      </c>
      <c r="H69" s="1309">
        <v>735.32166204999999</v>
      </c>
      <c r="I69" s="1309">
        <v>738.36260300000004</v>
      </c>
      <c r="J69" s="1309">
        <v>735.180654</v>
      </c>
      <c r="K69" s="1309">
        <v>744.27391399999999</v>
      </c>
      <c r="L69" s="1309">
        <v>751.27807800000005</v>
      </c>
      <c r="N69" s="1332" t="s">
        <v>1266</v>
      </c>
      <c r="O69" s="1319">
        <f t="shared" si="19"/>
        <v>0.99293395727479605</v>
      </c>
      <c r="P69" s="1319">
        <f t="shared" si="20"/>
        <v>1.0613875526693133</v>
      </c>
      <c r="Q69" s="1319">
        <f t="shared" si="21"/>
        <v>1.0375263748952246</v>
      </c>
      <c r="R69" s="1319">
        <f t="shared" si="22"/>
        <v>0.99905064676391098</v>
      </c>
      <c r="S69" s="1319">
        <f t="shared" si="23"/>
        <v>0.99248882329624288</v>
      </c>
      <c r="T69" s="1319">
        <f t="shared" si="24"/>
        <v>0.97527939241359696</v>
      </c>
      <c r="U69" s="1319">
        <f t="shared" si="25"/>
        <v>0.9345060113286292</v>
      </c>
      <c r="V69" s="1319">
        <f t="shared" si="26"/>
        <v>0.90951408575153447</v>
      </c>
      <c r="W69" s="1319">
        <f t="shared" si="27"/>
        <v>0.8684658905690642</v>
      </c>
      <c r="X69" s="1319">
        <f t="shared" si="28"/>
        <v>0.83421601026851289</v>
      </c>
      <c r="Y69" s="1319">
        <f t="shared" si="29"/>
        <v>0.79118103864965605</v>
      </c>
    </row>
    <row r="70" spans="1:25">
      <c r="A70" s="1330" t="s">
        <v>1265</v>
      </c>
      <c r="B70" s="1309">
        <v>275.60121799000001</v>
      </c>
      <c r="C70" s="1309">
        <v>322.87679699</v>
      </c>
      <c r="D70" s="1309">
        <v>313.17463551999998</v>
      </c>
      <c r="E70" s="1331">
        <v>308.98885326999999</v>
      </c>
      <c r="F70" s="1309">
        <v>273.6438708</v>
      </c>
      <c r="G70" s="1309">
        <v>244.45679695999999</v>
      </c>
      <c r="H70" s="1309">
        <v>213.18110039000001</v>
      </c>
      <c r="I70" s="1309">
        <v>184.04399999999998</v>
      </c>
      <c r="J70" s="1309">
        <v>174.79037300000002</v>
      </c>
      <c r="K70" s="1309">
        <v>174.818533</v>
      </c>
      <c r="L70" s="1309">
        <v>174.75202299999998</v>
      </c>
      <c r="N70" s="1330" t="s">
        <v>1265</v>
      </c>
      <c r="O70" s="1319">
        <f t="shared" si="19"/>
        <v>0.43047152979159087</v>
      </c>
      <c r="P70" s="1319">
        <f t="shared" si="20"/>
        <v>0.47778883884085338</v>
      </c>
      <c r="Q70" s="1319">
        <f t="shared" si="21"/>
        <v>0.44341929953332426</v>
      </c>
      <c r="R70" s="1329">
        <f t="shared" si="22"/>
        <v>0.42499859466188011</v>
      </c>
      <c r="S70" s="1319">
        <f t="shared" si="23"/>
        <v>0.36894194383435874</v>
      </c>
      <c r="T70" s="1319">
        <f t="shared" si="24"/>
        <v>0.32188069080298737</v>
      </c>
      <c r="U70" s="1319">
        <f t="shared" si="25"/>
        <v>0.27092771789247333</v>
      </c>
      <c r="V70" s="1319">
        <f t="shared" si="26"/>
        <v>0.22670515776115949</v>
      </c>
      <c r="W70" s="1319">
        <f t="shared" si="27"/>
        <v>0.20647915056581986</v>
      </c>
      <c r="X70" s="1319">
        <f t="shared" si="28"/>
        <v>0.19594455263986904</v>
      </c>
      <c r="Y70" s="1319">
        <f t="shared" si="29"/>
        <v>0.18403370351406495</v>
      </c>
    </row>
    <row r="71" spans="1:25">
      <c r="A71" s="1330" t="s">
        <v>1264</v>
      </c>
      <c r="B71" s="1309">
        <v>184.58885393</v>
      </c>
      <c r="C71" s="1309">
        <v>207.06286545</v>
      </c>
      <c r="D71" s="1309">
        <v>210.56727982999999</v>
      </c>
      <c r="E71" s="1331">
        <v>225.4869132</v>
      </c>
      <c r="F71" s="1309">
        <v>232.52053606999999</v>
      </c>
      <c r="G71" s="1309">
        <v>235.77362773999999</v>
      </c>
      <c r="H71" s="1309">
        <v>231.63494501</v>
      </c>
      <c r="I71" s="1309">
        <v>226.98000000000002</v>
      </c>
      <c r="J71" s="1309">
        <v>259.35209600000002</v>
      </c>
      <c r="K71" s="1309">
        <v>268.50002499999999</v>
      </c>
      <c r="L71" s="1309">
        <v>278.946303</v>
      </c>
      <c r="N71" s="1330" t="s">
        <v>1264</v>
      </c>
      <c r="O71" s="1319">
        <f t="shared" si="19"/>
        <v>0.28831602020208336</v>
      </c>
      <c r="P71" s="1319">
        <f t="shared" si="20"/>
        <v>0.30640890572721902</v>
      </c>
      <c r="Q71" s="1319">
        <f t="shared" si="21"/>
        <v>0.29813907365717457</v>
      </c>
      <c r="R71" s="1329">
        <f t="shared" si="22"/>
        <v>0.31014588458602405</v>
      </c>
      <c r="S71" s="1319">
        <f t="shared" si="23"/>
        <v>0.31349716808300943</v>
      </c>
      <c r="T71" s="1319">
        <f t="shared" si="24"/>
        <v>0.31044740466960913</v>
      </c>
      <c r="U71" s="1319">
        <f t="shared" si="25"/>
        <v>0.29438035041989891</v>
      </c>
      <c r="V71" s="1319">
        <f t="shared" si="26"/>
        <v>0.27959366623540016</v>
      </c>
      <c r="W71" s="1319">
        <f t="shared" si="27"/>
        <v>0.30637156704016516</v>
      </c>
      <c r="X71" s="1319">
        <f t="shared" si="28"/>
        <v>0.30094702420605857</v>
      </c>
      <c r="Y71" s="1319">
        <f t="shared" si="29"/>
        <v>0.29376209981069307</v>
      </c>
    </row>
    <row r="72" spans="1:25">
      <c r="A72" s="1330" t="s">
        <v>1263</v>
      </c>
      <c r="B72" s="1309">
        <v>113.76553755</v>
      </c>
      <c r="C72" s="1309">
        <v>116.27039602000001</v>
      </c>
      <c r="D72" s="1309">
        <v>118.23497931999999</v>
      </c>
      <c r="E72" s="1331">
        <v>118.98511159</v>
      </c>
      <c r="F72" s="1309">
        <v>130.50754491999999</v>
      </c>
      <c r="G72" s="1309">
        <v>139.96962761</v>
      </c>
      <c r="H72" s="1309">
        <v>156.24002272999999</v>
      </c>
      <c r="I72" s="1309">
        <v>186.73039700000001</v>
      </c>
      <c r="J72" s="1309">
        <v>172.56616</v>
      </c>
      <c r="K72" s="1309">
        <v>172.633386</v>
      </c>
      <c r="L72" s="1309">
        <v>173.27202399999999</v>
      </c>
      <c r="N72" s="1330" t="s">
        <v>1263</v>
      </c>
      <c r="O72" s="1319">
        <f t="shared" si="19"/>
        <v>0.17769451580757573</v>
      </c>
      <c r="P72" s="1319">
        <f t="shared" si="20"/>
        <v>0.17205540324931595</v>
      </c>
      <c r="Q72" s="1319">
        <f t="shared" si="21"/>
        <v>0.16740714529246523</v>
      </c>
      <c r="R72" s="1329">
        <f t="shared" si="22"/>
        <v>0.16365802415289496</v>
      </c>
      <c r="S72" s="1319">
        <f t="shared" si="23"/>
        <v>0.17595755814690325</v>
      </c>
      <c r="T72" s="1319">
        <f t="shared" si="24"/>
        <v>0.18430054302771431</v>
      </c>
      <c r="U72" s="1319">
        <f t="shared" si="25"/>
        <v>0.19856240878890163</v>
      </c>
      <c r="V72" s="1319">
        <f t="shared" si="26"/>
        <v>0.23001425806159914</v>
      </c>
      <c r="W72" s="1319">
        <f t="shared" si="27"/>
        <v>0.20385169687351926</v>
      </c>
      <c r="X72" s="1319">
        <f t="shared" si="28"/>
        <v>0.19349534062544632</v>
      </c>
      <c r="Y72" s="1319">
        <f t="shared" si="29"/>
        <v>0.18247509668084327</v>
      </c>
    </row>
    <row r="73" spans="1:25">
      <c r="A73" s="1328" t="s">
        <v>1262</v>
      </c>
      <c r="B73" s="1309">
        <v>247.38784793000002</v>
      </c>
      <c r="C73" s="1309">
        <v>278.54994853000005</v>
      </c>
      <c r="D73" s="1309">
        <v>298.74477711999998</v>
      </c>
      <c r="E73" s="1309">
        <v>294.83012249000001</v>
      </c>
      <c r="F73" s="1309">
        <v>320.39218559999995</v>
      </c>
      <c r="G73" s="1309">
        <v>338.02600000000001</v>
      </c>
      <c r="H73" s="1309">
        <v>346.65404221999995</v>
      </c>
      <c r="I73" s="1309">
        <v>370.01499999999999</v>
      </c>
      <c r="J73" s="1309">
        <v>370.01552099999998</v>
      </c>
      <c r="K73" s="1309">
        <v>374.19152100000002</v>
      </c>
      <c r="L73" s="1309">
        <v>378.36752100000001</v>
      </c>
      <c r="N73" s="1328" t="s">
        <v>1262</v>
      </c>
      <c r="O73" s="1319">
        <f t="shared" si="19"/>
        <v>0.38640404468074807</v>
      </c>
      <c r="P73" s="1319">
        <f t="shared" si="20"/>
        <v>0.41219455132122773</v>
      </c>
      <c r="Q73" s="1319">
        <f t="shared" si="21"/>
        <v>0.42298827805717909</v>
      </c>
      <c r="R73" s="1319">
        <f t="shared" si="22"/>
        <v>0.40552397407277502</v>
      </c>
      <c r="S73" s="1319">
        <f t="shared" si="23"/>
        <v>0.43197063175223371</v>
      </c>
      <c r="T73" s="1319">
        <f t="shared" si="24"/>
        <v>0.44508495465222847</v>
      </c>
      <c r="U73" s="1319">
        <f t="shared" si="25"/>
        <v>0.44055588598167894</v>
      </c>
      <c r="V73" s="1319">
        <f t="shared" si="26"/>
        <v>0.45578399159437655</v>
      </c>
      <c r="W73" s="1319">
        <f t="shared" si="27"/>
        <v>0.43709781700762934</v>
      </c>
      <c r="X73" s="1319">
        <f t="shared" si="28"/>
        <v>0.41941085379075432</v>
      </c>
      <c r="Y73" s="1319">
        <f t="shared" si="29"/>
        <v>0.39846392038085732</v>
      </c>
    </row>
    <row r="74" spans="1:25">
      <c r="A74" s="1327" t="s">
        <v>1261</v>
      </c>
      <c r="B74" s="1309">
        <v>269.40800000000002</v>
      </c>
      <c r="C74" s="1309">
        <v>276.14299999999997</v>
      </c>
      <c r="D74" s="1309">
        <v>270.52</v>
      </c>
      <c r="E74" s="1309">
        <v>265.20499999999998</v>
      </c>
      <c r="F74" s="1309">
        <v>264.42500000000001</v>
      </c>
      <c r="G74" s="1309">
        <v>262.97500000000002</v>
      </c>
      <c r="H74" s="1309">
        <v>262.34399999999999</v>
      </c>
      <c r="I74" s="1309">
        <v>250.99600000000001</v>
      </c>
      <c r="J74" s="1309">
        <v>252.136</v>
      </c>
      <c r="K74" s="1309">
        <v>255.24100000000001</v>
      </c>
      <c r="L74" s="1309">
        <v>259.63799999999998</v>
      </c>
      <c r="N74" s="1327" t="s">
        <v>1261</v>
      </c>
      <c r="O74" s="1319">
        <f t="shared" si="19"/>
        <v>0.42079811817921969</v>
      </c>
      <c r="P74" s="1319">
        <f t="shared" si="20"/>
        <v>0.40863278053429181</v>
      </c>
      <c r="Q74" s="1319">
        <f t="shared" si="21"/>
        <v>0.38302523673598837</v>
      </c>
      <c r="R74" s="1319">
        <f t="shared" si="22"/>
        <v>0.36477611119134568</v>
      </c>
      <c r="S74" s="1319">
        <f t="shared" si="23"/>
        <v>0.35651254754287121</v>
      </c>
      <c r="T74" s="1319">
        <f t="shared" si="24"/>
        <v>0.34626394404474742</v>
      </c>
      <c r="U74" s="1319">
        <f t="shared" si="25"/>
        <v>0.33340789165997337</v>
      </c>
      <c r="V74" s="1319">
        <f t="shared" si="26"/>
        <v>0.30917654352991675</v>
      </c>
      <c r="W74" s="1319">
        <f t="shared" si="27"/>
        <v>0.29784722243863831</v>
      </c>
      <c r="X74" s="1319">
        <f t="shared" si="28"/>
        <v>0.28608570671596251</v>
      </c>
      <c r="Y74" s="1319">
        <f t="shared" si="29"/>
        <v>0.27342826648126867</v>
      </c>
    </row>
    <row r="75" spans="1:25">
      <c r="A75" s="1327" t="s">
        <v>1260</v>
      </c>
      <c r="B75" s="1309">
        <v>95.790999999999997</v>
      </c>
      <c r="C75" s="1309">
        <v>138.78800000000001</v>
      </c>
      <c r="D75" s="1309">
        <v>148.33500000000001</v>
      </c>
      <c r="E75" s="1309">
        <v>120.09799999999996</v>
      </c>
      <c r="F75" s="1309">
        <v>142.29199999999946</v>
      </c>
      <c r="G75" s="1309">
        <v>153.36300000000119</v>
      </c>
      <c r="H75" s="1309">
        <v>170.85600000000068</v>
      </c>
      <c r="I75" s="1309">
        <v>166.78300000000002</v>
      </c>
      <c r="J75" s="1309">
        <v>176.35499999999999</v>
      </c>
      <c r="K75" s="1309">
        <v>175.25399999999999</v>
      </c>
      <c r="L75" s="1309">
        <v>175.58099999999999</v>
      </c>
      <c r="N75" s="1327" t="s">
        <v>1260</v>
      </c>
      <c r="O75" s="1319">
        <f t="shared" si="19"/>
        <v>0.14961943423545562</v>
      </c>
      <c r="P75" s="1319">
        <f t="shared" si="20"/>
        <v>0.20537665754624704</v>
      </c>
      <c r="Q75" s="1319">
        <f t="shared" si="21"/>
        <v>0.21002531602555391</v>
      </c>
      <c r="R75" s="1319">
        <f t="shared" si="22"/>
        <v>0.16518874607137202</v>
      </c>
      <c r="S75" s="1319">
        <f t="shared" si="23"/>
        <v>0.19184601839829832</v>
      </c>
      <c r="T75" s="1319">
        <f t="shared" si="24"/>
        <v>0.20193583896011028</v>
      </c>
      <c r="U75" s="1319">
        <f t="shared" si="25"/>
        <v>0.21713757027969621</v>
      </c>
      <c r="V75" s="1319">
        <f t="shared" si="26"/>
        <v>0.20544308060506983</v>
      </c>
      <c r="W75" s="1319">
        <f t="shared" si="27"/>
        <v>0.20832743802220252</v>
      </c>
      <c r="X75" s="1319">
        <f t="shared" si="28"/>
        <v>0.19643264383386402</v>
      </c>
      <c r="Y75" s="1319">
        <f t="shared" si="29"/>
        <v>0.18490671033149092</v>
      </c>
    </row>
    <row r="76" spans="1:25">
      <c r="A76" s="984" t="s">
        <v>1259</v>
      </c>
      <c r="B76" s="1309">
        <v>55.18</v>
      </c>
      <c r="C76" s="1309">
        <v>44.145000000000003</v>
      </c>
      <c r="D76" s="1309">
        <v>41.97</v>
      </c>
      <c r="E76" s="1309">
        <v>44.695</v>
      </c>
      <c r="F76" s="1309">
        <v>46.707000000000001</v>
      </c>
      <c r="G76" s="1309">
        <v>52.204999999999998</v>
      </c>
      <c r="H76" s="1309">
        <v>56.95</v>
      </c>
      <c r="I76" s="1309">
        <v>59.430999999999997</v>
      </c>
      <c r="J76" s="1309">
        <v>64.906999999999996</v>
      </c>
      <c r="K76" s="1309">
        <v>67.263999999999996</v>
      </c>
      <c r="L76" s="1309">
        <v>71.463999999999999</v>
      </c>
      <c r="N76" s="984" t="s">
        <v>1259</v>
      </c>
      <c r="O76" s="1319">
        <f t="shared" si="19"/>
        <v>8.6187641648092644E-2</v>
      </c>
      <c r="P76" s="1319">
        <f t="shared" si="20"/>
        <v>6.5325190559551799E-2</v>
      </c>
      <c r="Q76" s="1319">
        <f t="shared" si="21"/>
        <v>5.9424697566943047E-2</v>
      </c>
      <c r="R76" s="1319">
        <f t="shared" si="22"/>
        <v>6.1475719875934441E-2</v>
      </c>
      <c r="S76" s="1319">
        <f t="shared" si="23"/>
        <v>6.2972984997957407E-2</v>
      </c>
      <c r="T76" s="1319">
        <f t="shared" si="24"/>
        <v>6.87392687474324E-2</v>
      </c>
      <c r="U76" s="1319">
        <f t="shared" si="25"/>
        <v>7.2376648332096338E-2</v>
      </c>
      <c r="V76" s="1319">
        <f t="shared" si="26"/>
        <v>7.3207027835210436E-2</v>
      </c>
      <c r="W76" s="1319">
        <f t="shared" si="27"/>
        <v>7.6674372825874498E-2</v>
      </c>
      <c r="X76" s="1319">
        <f t="shared" si="28"/>
        <v>7.5392546560084386E-2</v>
      </c>
      <c r="Y76" s="1319">
        <f t="shared" si="29"/>
        <v>7.525969864125201E-2</v>
      </c>
    </row>
    <row r="77" spans="1:25">
      <c r="A77" s="1310" t="s">
        <v>1258</v>
      </c>
      <c r="B77" s="1309">
        <v>45.86</v>
      </c>
      <c r="C77" s="1309">
        <v>46.51</v>
      </c>
      <c r="D77" s="1309">
        <v>48.38</v>
      </c>
      <c r="E77" s="1309">
        <v>25.45</v>
      </c>
      <c r="F77" s="1309">
        <v>0</v>
      </c>
      <c r="G77" s="1309">
        <v>32.369999999999997</v>
      </c>
      <c r="H77" s="1309">
        <v>8.6029999999999998</v>
      </c>
      <c r="I77" s="1309">
        <v>8.48</v>
      </c>
      <c r="J77" s="1309">
        <v>8.8000000000000007</v>
      </c>
      <c r="K77" s="1309">
        <v>9.1470000000000002</v>
      </c>
      <c r="L77" s="1309">
        <v>9.1470000000000002</v>
      </c>
      <c r="N77" s="1310" t="s">
        <v>1258</v>
      </c>
      <c r="O77" s="1319">
        <f t="shared" si="19"/>
        <v>7.1630395903978406E-2</v>
      </c>
      <c r="P77" s="1319">
        <f t="shared" si="20"/>
        <v>6.8824886463353802E-2</v>
      </c>
      <c r="Q77" s="1319">
        <f t="shared" si="21"/>
        <v>6.8500521045716106E-2</v>
      </c>
      <c r="R77" s="1319">
        <f t="shared" si="22"/>
        <v>3.5005192322240329E-2</v>
      </c>
      <c r="S77" s="1319">
        <f t="shared" si="23"/>
        <v>0</v>
      </c>
      <c r="T77" s="1319">
        <f t="shared" si="24"/>
        <v>4.2622165105916807E-2</v>
      </c>
      <c r="U77" s="1319">
        <f t="shared" si="25"/>
        <v>1.093338552416198E-2</v>
      </c>
      <c r="V77" s="1319">
        <f t="shared" si="26"/>
        <v>1.0445652875478868E-2</v>
      </c>
      <c r="W77" s="1319">
        <f t="shared" si="27"/>
        <v>1.0395403898927631E-2</v>
      </c>
      <c r="X77" s="1319">
        <f t="shared" si="28"/>
        <v>1.0252373087908717E-2</v>
      </c>
      <c r="Y77" s="1319">
        <f t="shared" si="29"/>
        <v>9.6328286056130644E-3</v>
      </c>
    </row>
    <row r="78" spans="1:25">
      <c r="A78" s="984" t="s">
        <v>1257</v>
      </c>
      <c r="B78" s="1309">
        <v>0</v>
      </c>
      <c r="C78" s="1309">
        <v>0</v>
      </c>
      <c r="D78" s="1309">
        <v>0</v>
      </c>
      <c r="E78" s="1309">
        <v>0</v>
      </c>
      <c r="F78" s="1309">
        <v>0</v>
      </c>
      <c r="G78" s="1309">
        <v>0</v>
      </c>
      <c r="H78" s="1309">
        <v>33.51</v>
      </c>
      <c r="I78" s="1309">
        <v>43.11</v>
      </c>
      <c r="J78" s="1309">
        <v>9.6</v>
      </c>
      <c r="K78" s="1309">
        <v>9.6</v>
      </c>
      <c r="L78" s="1309">
        <v>9.6</v>
      </c>
      <c r="N78" s="984" t="s">
        <v>1257</v>
      </c>
      <c r="O78" s="1319">
        <f t="shared" si="19"/>
        <v>0</v>
      </c>
      <c r="P78" s="1319">
        <f t="shared" si="20"/>
        <v>0</v>
      </c>
      <c r="Q78" s="1319">
        <f t="shared" si="21"/>
        <v>0</v>
      </c>
      <c r="R78" s="1319">
        <f t="shared" si="22"/>
        <v>0</v>
      </c>
      <c r="S78" s="1319">
        <f t="shared" si="23"/>
        <v>0</v>
      </c>
      <c r="T78" s="1319">
        <f t="shared" si="24"/>
        <v>0</v>
      </c>
      <c r="U78" s="1319">
        <f t="shared" si="25"/>
        <v>4.2587207824557473E-2</v>
      </c>
      <c r="V78" s="1319">
        <f t="shared" si="26"/>
        <v>5.3102841445978065E-2</v>
      </c>
      <c r="W78" s="1319">
        <f t="shared" si="27"/>
        <v>1.1340440617011961E-2</v>
      </c>
      <c r="X78" s="1319">
        <f t="shared" si="28"/>
        <v>1.0760116064712331E-2</v>
      </c>
      <c r="Y78" s="1319">
        <f t="shared" si="29"/>
        <v>1.0109888992444017E-2</v>
      </c>
    </row>
    <row r="79" spans="1:25">
      <c r="A79" s="1326" t="s">
        <v>1256</v>
      </c>
      <c r="B79" s="1323">
        <f t="shared" ref="B79:L79" si="34">B80+B85+B86+B87</f>
        <v>4323.8462367899992</v>
      </c>
      <c r="C79" s="1323">
        <f t="shared" si="34"/>
        <v>4700.1457345200024</v>
      </c>
      <c r="D79" s="1323">
        <f t="shared" si="34"/>
        <v>4319.9390290099982</v>
      </c>
      <c r="E79" s="1323">
        <f t="shared" si="34"/>
        <v>4570.3296602599985</v>
      </c>
      <c r="F79" s="1323">
        <f t="shared" si="34"/>
        <v>4884.6833415500023</v>
      </c>
      <c r="G79" s="1323">
        <f t="shared" si="34"/>
        <v>5047.9642577399973</v>
      </c>
      <c r="H79" s="1323">
        <f t="shared" si="34"/>
        <v>5480.051776950002</v>
      </c>
      <c r="I79" s="1323">
        <f t="shared" si="34"/>
        <v>5555.4969223681501</v>
      </c>
      <c r="J79" s="1323">
        <f t="shared" si="34"/>
        <v>5705.6486460831675</v>
      </c>
      <c r="K79" s="1323">
        <f t="shared" si="34"/>
        <v>5884.1195494690537</v>
      </c>
      <c r="L79" s="1323">
        <f t="shared" si="34"/>
        <v>6060.4538399010708</v>
      </c>
      <c r="N79" s="1326" t="s">
        <v>1256</v>
      </c>
      <c r="O79" s="1321">
        <f t="shared" si="19"/>
        <v>6.7535721275445884</v>
      </c>
      <c r="P79" s="1321">
        <f t="shared" si="20"/>
        <v>6.955213858085485</v>
      </c>
      <c r="Q79" s="1321">
        <f t="shared" si="21"/>
        <v>6.1165372958435258</v>
      </c>
      <c r="R79" s="1321">
        <f t="shared" si="22"/>
        <v>6.2862581034750713</v>
      </c>
      <c r="S79" s="1321">
        <f t="shared" si="23"/>
        <v>6.5858027873166911</v>
      </c>
      <c r="T79" s="1321">
        <f t="shared" si="24"/>
        <v>6.6467459388990093</v>
      </c>
      <c r="U79" s="1321">
        <f t="shared" si="25"/>
        <v>6.9644913134677768</v>
      </c>
      <c r="V79" s="1321">
        <f t="shared" si="26"/>
        <v>6.8432538209727429</v>
      </c>
      <c r="W79" s="1321">
        <f t="shared" si="27"/>
        <v>6.7400593387959216</v>
      </c>
      <c r="X79" s="1321">
        <f t="shared" si="28"/>
        <v>6.5951884678051922</v>
      </c>
      <c r="Y79" s="1321">
        <f t="shared" si="29"/>
        <v>6.3823453713782206</v>
      </c>
    </row>
    <row r="80" spans="1:25">
      <c r="A80" s="1310" t="s">
        <v>56</v>
      </c>
      <c r="B80" s="1309">
        <f t="shared" ref="B80:L80" si="35">SUM(B81:B84)</f>
        <v>370.08631104999995</v>
      </c>
      <c r="C80" s="1309">
        <f t="shared" si="35"/>
        <v>482.53325814000004</v>
      </c>
      <c r="D80" s="1309">
        <f t="shared" si="35"/>
        <v>365.49164940000009</v>
      </c>
      <c r="E80" s="1309">
        <f t="shared" si="35"/>
        <v>383.84323793999994</v>
      </c>
      <c r="F80" s="1309">
        <f t="shared" si="35"/>
        <v>492.63560389000008</v>
      </c>
      <c r="G80" s="1309">
        <f t="shared" si="35"/>
        <v>432.74500264</v>
      </c>
      <c r="H80" s="1309">
        <f t="shared" si="35"/>
        <v>412.54776618999995</v>
      </c>
      <c r="I80" s="1309">
        <f t="shared" si="35"/>
        <v>282.61399999999998</v>
      </c>
      <c r="J80" s="1309">
        <f t="shared" si="35"/>
        <v>320.91793899999999</v>
      </c>
      <c r="K80" s="1309">
        <f t="shared" si="35"/>
        <v>305.897153</v>
      </c>
      <c r="L80" s="1309">
        <f t="shared" si="35"/>
        <v>304.362053</v>
      </c>
      <c r="N80" s="1310" t="s">
        <v>56</v>
      </c>
      <c r="O80" s="1319">
        <f t="shared" si="19"/>
        <v>0.57805122065317049</v>
      </c>
      <c r="P80" s="1319">
        <f t="shared" si="20"/>
        <v>0.71404637080794886</v>
      </c>
      <c r="Q80" s="1319">
        <f t="shared" si="21"/>
        <v>0.51749417986271584</v>
      </c>
      <c r="R80" s="1319">
        <f t="shared" si="22"/>
        <v>0.52795702812106704</v>
      </c>
      <c r="S80" s="1319">
        <f t="shared" si="23"/>
        <v>0.66419882444226042</v>
      </c>
      <c r="T80" s="1319">
        <f t="shared" si="24"/>
        <v>0.56980318045358314</v>
      </c>
      <c r="U80" s="1319">
        <f t="shared" si="25"/>
        <v>0.52429893931036931</v>
      </c>
      <c r="V80" s="1319">
        <f t="shared" si="26"/>
        <v>0.34812355445171989</v>
      </c>
      <c r="W80" s="1319">
        <f t="shared" si="27"/>
        <v>0.37909904480868406</v>
      </c>
      <c r="X80" s="1319">
        <f t="shared" si="28"/>
        <v>0.34286342397344433</v>
      </c>
      <c r="Y80" s="1319">
        <f t="shared" si="29"/>
        <v>0.32052776763982943</v>
      </c>
    </row>
    <row r="81" spans="1:25">
      <c r="A81" s="1325" t="s">
        <v>1255</v>
      </c>
      <c r="B81" s="1309">
        <v>33.406251310000002</v>
      </c>
      <c r="C81" s="1309">
        <v>59.698816190000002</v>
      </c>
      <c r="D81" s="1309">
        <v>28.940330849999999</v>
      </c>
      <c r="E81" s="1309">
        <v>25.480152690000001</v>
      </c>
      <c r="F81" s="1309">
        <v>65.5093064</v>
      </c>
      <c r="G81" s="1309">
        <v>10.20281645</v>
      </c>
      <c r="H81" s="1309">
        <v>35.778824710000002</v>
      </c>
      <c r="I81" s="1309">
        <v>5.1779999999999999</v>
      </c>
      <c r="J81" s="1309">
        <v>31.331126999999999</v>
      </c>
      <c r="K81" s="1309">
        <v>23.706213999999999</v>
      </c>
      <c r="L81" s="1309">
        <v>23.706213999999999</v>
      </c>
      <c r="N81" s="1325" t="s">
        <v>1255</v>
      </c>
      <c r="O81" s="1319">
        <f t="shared" si="19"/>
        <v>5.2178434518166103E-2</v>
      </c>
      <c r="P81" s="1319">
        <f t="shared" si="20"/>
        <v>8.8341523248191334E-2</v>
      </c>
      <c r="Q81" s="1319">
        <f t="shared" si="21"/>
        <v>4.0976183184382217E-2</v>
      </c>
      <c r="R81" s="1319">
        <f t="shared" si="22"/>
        <v>3.5046665827642411E-2</v>
      </c>
      <c r="S81" s="1319">
        <f t="shared" si="23"/>
        <v>8.8323304197524877E-2</v>
      </c>
      <c r="T81" s="1319">
        <f t="shared" si="24"/>
        <v>1.3434233156541985E-2</v>
      </c>
      <c r="U81" s="1319">
        <f t="shared" si="25"/>
        <v>4.5470613060077061E-2</v>
      </c>
      <c r="V81" s="1319">
        <f t="shared" si="26"/>
        <v>6.3782536072204687E-3</v>
      </c>
      <c r="W81" s="1319">
        <f t="shared" si="27"/>
        <v>3.701133179245418E-2</v>
      </c>
      <c r="X81" s="1319">
        <f t="shared" si="28"/>
        <v>2.6571001468219623E-2</v>
      </c>
      <c r="Y81" s="1319">
        <f t="shared" si="29"/>
        <v>2.4965332496991899E-2</v>
      </c>
    </row>
    <row r="82" spans="1:25">
      <c r="A82" s="1325" t="s">
        <v>1254</v>
      </c>
      <c r="B82" s="1309">
        <v>233.41565101000003</v>
      </c>
      <c r="C82" s="1309">
        <v>309.90415611999993</v>
      </c>
      <c r="D82" s="1309">
        <v>277.23394379000001</v>
      </c>
      <c r="E82" s="1309">
        <v>244.97705089999994</v>
      </c>
      <c r="F82" s="1309">
        <v>314.83137388</v>
      </c>
      <c r="G82" s="1309">
        <v>322.21092600999998</v>
      </c>
      <c r="H82" s="1309">
        <v>261.45406609999998</v>
      </c>
      <c r="I82" s="1309">
        <v>139.441</v>
      </c>
      <c r="J82" s="1309">
        <v>150.87100000000001</v>
      </c>
      <c r="K82" s="1309">
        <v>151.571</v>
      </c>
      <c r="L82" s="1309">
        <v>149.941</v>
      </c>
      <c r="N82" s="1325" t="s">
        <v>1254</v>
      </c>
      <c r="O82" s="1319">
        <f t="shared" si="19"/>
        <v>0.36458036397800175</v>
      </c>
      <c r="P82" s="1319">
        <f t="shared" si="20"/>
        <v>0.45859209545217094</v>
      </c>
      <c r="Q82" s="1319">
        <f t="shared" si="21"/>
        <v>0.39253140969768024</v>
      </c>
      <c r="R82" s="1319">
        <f t="shared" si="22"/>
        <v>0.33695358669114961</v>
      </c>
      <c r="S82" s="1319">
        <f t="shared" si="23"/>
        <v>0.42447323493762296</v>
      </c>
      <c r="T82" s="1319">
        <f t="shared" si="24"/>
        <v>0.42426096037468536</v>
      </c>
      <c r="U82" s="1319">
        <f t="shared" si="25"/>
        <v>0.33227689195990112</v>
      </c>
      <c r="V82" s="1319">
        <f t="shared" si="26"/>
        <v>0.17176324087377934</v>
      </c>
      <c r="W82" s="1319">
        <f t="shared" si="27"/>
        <v>0.17822329336762621</v>
      </c>
      <c r="X82" s="1319">
        <f t="shared" si="28"/>
        <v>0.1698876616713034</v>
      </c>
      <c r="Y82" s="1319">
        <f t="shared" si="29"/>
        <v>0.15790488181417173</v>
      </c>
    </row>
    <row r="83" spans="1:25">
      <c r="A83" s="1325" t="s">
        <v>1253</v>
      </c>
      <c r="B83" s="1309">
        <v>37.850964079999997</v>
      </c>
      <c r="C83" s="1309">
        <v>51.1393214</v>
      </c>
      <c r="D83" s="1309">
        <v>48.378945989999998</v>
      </c>
      <c r="E83" s="1309">
        <v>27.707979049999999</v>
      </c>
      <c r="F83" s="1309">
        <v>61.865790670000003</v>
      </c>
      <c r="G83" s="1309">
        <v>56.946411249999997</v>
      </c>
      <c r="H83" s="1309">
        <v>61.930292999999999</v>
      </c>
      <c r="I83" s="1309">
        <v>68.111999999999995</v>
      </c>
      <c r="J83" s="1309">
        <v>72.128846999999993</v>
      </c>
      <c r="K83" s="1309">
        <v>70.425545</v>
      </c>
      <c r="L83" s="1309">
        <v>69.436805000000007</v>
      </c>
      <c r="N83" s="1325" t="s">
        <v>1253</v>
      </c>
      <c r="O83" s="1319">
        <f t="shared" si="19"/>
        <v>5.9120792463970034E-2</v>
      </c>
      <c r="P83" s="1319">
        <f t="shared" si="20"/>
        <v>7.5675295402450229E-2</v>
      </c>
      <c r="Q83" s="1319">
        <f t="shared" si="21"/>
        <v>6.8499028688663866E-2</v>
      </c>
      <c r="R83" s="1319">
        <f t="shared" si="22"/>
        <v>3.8110928703569975E-2</v>
      </c>
      <c r="S83" s="1319">
        <f t="shared" si="23"/>
        <v>8.3410912877056598E-2</v>
      </c>
      <c r="T83" s="1319">
        <f t="shared" si="24"/>
        <v>7.498237079045221E-2</v>
      </c>
      <c r="U83" s="1319">
        <f t="shared" si="25"/>
        <v>7.8706005927386954E-2</v>
      </c>
      <c r="V83" s="1319">
        <f t="shared" si="26"/>
        <v>8.3900272247006663E-2</v>
      </c>
      <c r="W83" s="1319">
        <f t="shared" si="27"/>
        <v>8.5205511060108458E-2</v>
      </c>
      <c r="X83" s="1319">
        <f t="shared" si="28"/>
        <v>7.8936149804231373E-2</v>
      </c>
      <c r="Y83" s="1319">
        <f t="shared" si="29"/>
        <v>7.3124832347914767E-2</v>
      </c>
    </row>
    <row r="84" spans="1:25">
      <c r="A84" s="1325" t="s">
        <v>247</v>
      </c>
      <c r="B84" s="1309">
        <v>65.413444649999917</v>
      </c>
      <c r="C84" s="1309">
        <v>61.790964430000145</v>
      </c>
      <c r="D84" s="1309">
        <v>10.938428770000087</v>
      </c>
      <c r="E84" s="1309">
        <v>85.678055299999983</v>
      </c>
      <c r="F84" s="1309">
        <v>50.429132940000045</v>
      </c>
      <c r="G84" s="1309">
        <v>43.384848930000032</v>
      </c>
      <c r="H84" s="1309">
        <v>53.384582379999983</v>
      </c>
      <c r="I84" s="1309">
        <v>69.882999999999981</v>
      </c>
      <c r="J84" s="1309">
        <v>66.586964999999964</v>
      </c>
      <c r="K84" s="1309">
        <v>60.194394000000017</v>
      </c>
      <c r="L84" s="1309">
        <v>61.278033999999991</v>
      </c>
      <c r="N84" s="1325" t="s">
        <v>247</v>
      </c>
      <c r="O84" s="1319">
        <f t="shared" si="19"/>
        <v>0.10217162969303253</v>
      </c>
      <c r="P84" s="1319">
        <f t="shared" si="20"/>
        <v>9.1437456705136394E-2</v>
      </c>
      <c r="Q84" s="1319">
        <f t="shared" si="21"/>
        <v>1.5487558291989612E-2</v>
      </c>
      <c r="R84" s="1319">
        <f t="shared" si="22"/>
        <v>0.117845846898705</v>
      </c>
      <c r="S84" s="1319">
        <f t="shared" si="23"/>
        <v>6.799137243005593E-2</v>
      </c>
      <c r="T84" s="1319">
        <f t="shared" si="24"/>
        <v>5.7125616131903596E-2</v>
      </c>
      <c r="U84" s="1319">
        <f t="shared" si="25"/>
        <v>6.7845428363004126E-2</v>
      </c>
      <c r="V84" s="1319">
        <f t="shared" si="26"/>
        <v>8.6081787723713388E-2</v>
      </c>
      <c r="W84" s="1319">
        <f t="shared" si="27"/>
        <v>7.8658908588495141E-2</v>
      </c>
      <c r="X84" s="1319">
        <f t="shared" si="28"/>
        <v>6.7468611029689957E-2</v>
      </c>
      <c r="Y84" s="1319">
        <f t="shared" si="29"/>
        <v>6.4532720980751052E-2</v>
      </c>
    </row>
    <row r="85" spans="1:25">
      <c r="A85" s="1310" t="s">
        <v>1252</v>
      </c>
      <c r="B85" s="1309">
        <v>246.41513595999936</v>
      </c>
      <c r="C85" s="1309">
        <v>296.99176089000184</v>
      </c>
      <c r="D85" s="1309">
        <v>272.33351473999869</v>
      </c>
      <c r="E85" s="1309">
        <v>326.61406332999877</v>
      </c>
      <c r="F85" s="1309">
        <v>284.44159444000184</v>
      </c>
      <c r="G85" s="1309">
        <v>278.40441053999757</v>
      </c>
      <c r="H85" s="1309">
        <v>295.97829723000132</v>
      </c>
      <c r="I85" s="1309">
        <v>330.86000000000331</v>
      </c>
      <c r="J85" s="1309">
        <v>257.99968700000113</v>
      </c>
      <c r="K85" s="1309">
        <v>263.08096099999716</v>
      </c>
      <c r="L85" s="1309">
        <v>266.72150299999612</v>
      </c>
      <c r="N85" s="1310" t="s">
        <v>1252</v>
      </c>
      <c r="O85" s="1319">
        <f t="shared" si="19"/>
        <v>0.38488473060504624</v>
      </c>
      <c r="P85" s="1319">
        <f t="shared" si="20"/>
        <v>0.4394845027694238</v>
      </c>
      <c r="Q85" s="1319">
        <f t="shared" si="21"/>
        <v>0.3855929652315237</v>
      </c>
      <c r="R85" s="1319">
        <f t="shared" si="22"/>
        <v>0.44924118279037289</v>
      </c>
      <c r="S85" s="1319">
        <f t="shared" si="23"/>
        <v>0.38350003767027036</v>
      </c>
      <c r="T85" s="1319">
        <f t="shared" si="24"/>
        <v>0.36658012827467479</v>
      </c>
      <c r="U85" s="1319">
        <f t="shared" si="25"/>
        <v>0.37615306641876189</v>
      </c>
      <c r="V85" s="1319">
        <f t="shared" si="26"/>
        <v>0.40755291396002036</v>
      </c>
      <c r="W85" s="1319">
        <f t="shared" si="27"/>
        <v>0.30477397183658178</v>
      </c>
      <c r="X85" s="1319">
        <f t="shared" si="28"/>
        <v>0.29487309112250287</v>
      </c>
      <c r="Y85" s="1319">
        <f t="shared" si="29"/>
        <v>0.28088799866956093</v>
      </c>
    </row>
    <row r="86" spans="1:25">
      <c r="A86" s="1310" t="s">
        <v>49</v>
      </c>
      <c r="B86" s="1309">
        <v>421.88678978000007</v>
      </c>
      <c r="C86" s="1309">
        <v>438.71171549000053</v>
      </c>
      <c r="D86" s="1309">
        <v>289.24386486999936</v>
      </c>
      <c r="E86" s="1309">
        <v>358.36235899000002</v>
      </c>
      <c r="F86" s="1309">
        <v>443.15314322000052</v>
      </c>
      <c r="G86" s="1309">
        <v>506.83884455999987</v>
      </c>
      <c r="H86" s="1309">
        <v>778.6617135300005</v>
      </c>
      <c r="I86" s="1309">
        <v>726.21492236814686</v>
      </c>
      <c r="J86" s="1309">
        <v>751.34422136814715</v>
      </c>
      <c r="K86" s="1309">
        <v>791.17933736814712</v>
      </c>
      <c r="L86" s="1309">
        <v>809.89931236814675</v>
      </c>
      <c r="N86" s="1310" t="s">
        <v>49</v>
      </c>
      <c r="O86" s="1319">
        <f t="shared" si="19"/>
        <v>0.65896026556039933</v>
      </c>
      <c r="P86" s="1319">
        <f t="shared" si="20"/>
        <v>0.64919982818194943</v>
      </c>
      <c r="Q86" s="1319">
        <f t="shared" si="21"/>
        <v>0.40953607798411856</v>
      </c>
      <c r="R86" s="1319">
        <f t="shared" si="22"/>
        <v>0.49290936335939811</v>
      </c>
      <c r="S86" s="1319">
        <f t="shared" si="23"/>
        <v>0.59748380841824045</v>
      </c>
      <c r="T86" s="1319">
        <f t="shared" si="24"/>
        <v>0.66736388368638921</v>
      </c>
      <c r="U86" s="1319">
        <f t="shared" si="25"/>
        <v>0.98958604055888288</v>
      </c>
      <c r="V86" s="1319">
        <f t="shared" si="26"/>
        <v>0.89455058868519988</v>
      </c>
      <c r="W86" s="1319">
        <f t="shared" si="27"/>
        <v>0.88755984639172525</v>
      </c>
      <c r="X86" s="1319">
        <f t="shared" si="28"/>
        <v>0.88678973938369332</v>
      </c>
      <c r="Y86" s="1319">
        <f t="shared" si="29"/>
        <v>0.85291584823944855</v>
      </c>
    </row>
    <row r="87" spans="1:25">
      <c r="A87" s="1324" t="s">
        <v>1251</v>
      </c>
      <c r="B87" s="1309">
        <v>3285.4580000000001</v>
      </c>
      <c r="C87" s="1309">
        <v>3481.9090000000001</v>
      </c>
      <c r="D87" s="1309">
        <v>3392.87</v>
      </c>
      <c r="E87" s="1309">
        <v>3501.51</v>
      </c>
      <c r="F87" s="1309">
        <v>3664.453</v>
      </c>
      <c r="G87" s="1309">
        <v>3829.9760000000001</v>
      </c>
      <c r="H87" s="1309">
        <v>3992.864</v>
      </c>
      <c r="I87" s="1309">
        <v>4215.808</v>
      </c>
      <c r="J87" s="1309">
        <v>4375.3867987150197</v>
      </c>
      <c r="K87" s="1309">
        <v>4523.9620981009093</v>
      </c>
      <c r="L87" s="1309">
        <v>4679.4709715329282</v>
      </c>
      <c r="N87" s="1324" t="s">
        <v>1251</v>
      </c>
      <c r="O87" s="1319">
        <f t="shared" si="19"/>
        <v>5.1316759107259724</v>
      </c>
      <c r="P87" s="1319">
        <f t="shared" si="20"/>
        <v>5.1524831563261628</v>
      </c>
      <c r="Q87" s="1319">
        <f t="shared" si="21"/>
        <v>4.803914072765167</v>
      </c>
      <c r="R87" s="1319">
        <f t="shared" si="22"/>
        <v>4.8161505292042346</v>
      </c>
      <c r="S87" s="1319">
        <f t="shared" si="23"/>
        <v>4.9406201167859205</v>
      </c>
      <c r="T87" s="1319">
        <f t="shared" si="24"/>
        <v>5.0429987464843631</v>
      </c>
      <c r="U87" s="1319">
        <f t="shared" si="25"/>
        <v>5.0744532671797637</v>
      </c>
      <c r="V87" s="1319">
        <f t="shared" si="26"/>
        <v>5.1930267638758032</v>
      </c>
      <c r="W87" s="1319">
        <f t="shared" si="27"/>
        <v>5.1686264757589324</v>
      </c>
      <c r="X87" s="1319">
        <f t="shared" si="28"/>
        <v>5.0706622133255514</v>
      </c>
      <c r="Y87" s="1319">
        <f t="shared" si="29"/>
        <v>4.9280137568293814</v>
      </c>
    </row>
    <row r="88" spans="1:25">
      <c r="A88" s="1322" t="s">
        <v>65</v>
      </c>
      <c r="B88" s="1323">
        <f t="shared" ref="B88:L88" si="36">B89+B90</f>
        <v>2893.6421080000005</v>
      </c>
      <c r="C88" s="1323">
        <f t="shared" si="36"/>
        <v>1999.2695382899999</v>
      </c>
      <c r="D88" s="1323">
        <f t="shared" si="36"/>
        <v>2023.2689846599997</v>
      </c>
      <c r="E88" s="1323">
        <f t="shared" si="36"/>
        <v>1805.1963438799999</v>
      </c>
      <c r="F88" s="1323">
        <f t="shared" si="36"/>
        <v>1701.3563052499999</v>
      </c>
      <c r="G88" s="1323">
        <f t="shared" si="36"/>
        <v>2029.1831340000003</v>
      </c>
      <c r="H88" s="1323">
        <f t="shared" si="36"/>
        <v>2710.372499890002</v>
      </c>
      <c r="I88" s="1323">
        <f t="shared" si="36"/>
        <v>2773.4783456185069</v>
      </c>
      <c r="J88" s="1323">
        <f t="shared" si="36"/>
        <v>2735.2161599885062</v>
      </c>
      <c r="K88" s="1323">
        <f t="shared" si="36"/>
        <v>2550.6079367078946</v>
      </c>
      <c r="L88" s="1323">
        <f t="shared" si="36"/>
        <v>2474.7260211902949</v>
      </c>
      <c r="N88" s="1322" t="s">
        <v>65</v>
      </c>
      <c r="O88" s="1321">
        <f t="shared" si="19"/>
        <v>4.5196844701365615</v>
      </c>
      <c r="P88" s="1321">
        <f t="shared" si="20"/>
        <v>2.9584927753698356</v>
      </c>
      <c r="Q88" s="1321">
        <f t="shared" si="21"/>
        <v>2.8647164048128766</v>
      </c>
      <c r="R88" s="1321">
        <f t="shared" si="22"/>
        <v>2.4829565892701173</v>
      </c>
      <c r="S88" s="1321">
        <f t="shared" si="23"/>
        <v>2.2938635554989291</v>
      </c>
      <c r="T88" s="1321">
        <f t="shared" si="24"/>
        <v>2.6718621738489259</v>
      </c>
      <c r="U88" s="1321">
        <f t="shared" si="25"/>
        <v>3.4445597414139337</v>
      </c>
      <c r="V88" s="1321">
        <f t="shared" si="26"/>
        <v>3.4163669877344724</v>
      </c>
      <c r="W88" s="1321">
        <f t="shared" si="27"/>
        <v>3.2310996288584519</v>
      </c>
      <c r="X88" s="1321">
        <f t="shared" si="28"/>
        <v>2.8588372327659779</v>
      </c>
      <c r="Y88" s="1321">
        <f t="shared" si="29"/>
        <v>2.6061672250985981</v>
      </c>
    </row>
    <row r="89" spans="1:25">
      <c r="A89" s="1320" t="s">
        <v>66</v>
      </c>
      <c r="B89" s="1309">
        <v>1969.7824354700003</v>
      </c>
      <c r="C89" s="1309">
        <v>1489.2200537899998</v>
      </c>
      <c r="D89" s="1309">
        <v>1664.4585968699998</v>
      </c>
      <c r="E89" s="1309">
        <v>1433.69140283</v>
      </c>
      <c r="F89" s="1309">
        <v>1286.4239051199997</v>
      </c>
      <c r="G89" s="1309">
        <v>1863.8448247800004</v>
      </c>
      <c r="H89" s="1309">
        <v>2064.0011778300022</v>
      </c>
      <c r="I89" s="1309">
        <v>2150.9113456185069</v>
      </c>
      <c r="J89" s="1309">
        <v>2272.0115629885063</v>
      </c>
      <c r="K89" s="1309">
        <v>2182.0405877078947</v>
      </c>
      <c r="L89" s="1309">
        <v>2153.6029091902947</v>
      </c>
      <c r="N89" s="1320" t="s">
        <v>66</v>
      </c>
      <c r="O89" s="1319">
        <f t="shared" si="19"/>
        <v>3.0766745681949175</v>
      </c>
      <c r="P89" s="1319">
        <f t="shared" si="20"/>
        <v>2.2037282545914083</v>
      </c>
      <c r="Q89" s="1319">
        <f t="shared" si="21"/>
        <v>2.3566821237002173</v>
      </c>
      <c r="R89" s="1319">
        <f t="shared" si="22"/>
        <v>1.9719702666721683</v>
      </c>
      <c r="S89" s="1319">
        <f t="shared" si="23"/>
        <v>1.7344285284461753</v>
      </c>
      <c r="T89" s="1319">
        <f t="shared" si="24"/>
        <v>2.4541582284084571</v>
      </c>
      <c r="U89" s="1319">
        <f t="shared" si="25"/>
        <v>2.6230989886713734</v>
      </c>
      <c r="V89" s="1319">
        <f t="shared" si="26"/>
        <v>2.6494897738514243</v>
      </c>
      <c r="W89" s="1319">
        <f t="shared" si="27"/>
        <v>2.6839179386703838</v>
      </c>
      <c r="X89" s="1319">
        <f t="shared" si="28"/>
        <v>2.4457302064218802</v>
      </c>
      <c r="Y89" s="1319">
        <f t="shared" si="29"/>
        <v>2.2679881610123305</v>
      </c>
    </row>
    <row r="90" spans="1:25">
      <c r="A90" s="1317" t="s">
        <v>1250</v>
      </c>
      <c r="B90" s="1318">
        <v>923.85967253000024</v>
      </c>
      <c r="C90" s="1318">
        <v>510.04948450000001</v>
      </c>
      <c r="D90" s="1318">
        <v>358.81038778999994</v>
      </c>
      <c r="E90" s="1318">
        <v>371.5049410499999</v>
      </c>
      <c r="F90" s="1318">
        <v>414.93240013000019</v>
      </c>
      <c r="G90" s="1318">
        <v>165.33830922000004</v>
      </c>
      <c r="H90" s="1318">
        <v>646.3713220599999</v>
      </c>
      <c r="I90" s="1318">
        <v>622.56700000000001</v>
      </c>
      <c r="J90" s="1318">
        <v>463.20459699999998</v>
      </c>
      <c r="K90" s="1318">
        <v>368.56734900000004</v>
      </c>
      <c r="L90" s="1318">
        <v>321.12311199999999</v>
      </c>
      <c r="N90" s="1317" t="s">
        <v>1250</v>
      </c>
      <c r="O90" s="1316">
        <f t="shared" si="19"/>
        <v>1.4430099019416434</v>
      </c>
      <c r="P90" s="1316">
        <f t="shared" si="20"/>
        <v>0.75476452077842704</v>
      </c>
      <c r="Q90" s="1316">
        <f t="shared" si="21"/>
        <v>0.50803428111265914</v>
      </c>
      <c r="R90" s="1316">
        <f t="shared" si="22"/>
        <v>0.51098632259794907</v>
      </c>
      <c r="S90" s="1316">
        <f t="shared" si="23"/>
        <v>0.5594350270527535</v>
      </c>
      <c r="T90" s="1316">
        <f t="shared" si="24"/>
        <v>0.21770394544046862</v>
      </c>
      <c r="U90" s="1316">
        <f t="shared" si="25"/>
        <v>0.82146075274256003</v>
      </c>
      <c r="V90" s="1316">
        <f t="shared" si="26"/>
        <v>0.76687721388304864</v>
      </c>
      <c r="W90" s="1316">
        <f t="shared" si="27"/>
        <v>0.54718169018806839</v>
      </c>
      <c r="X90" s="1316">
        <f t="shared" si="28"/>
        <v>0.41310702634409752</v>
      </c>
      <c r="Y90" s="1316">
        <f t="shared" si="29"/>
        <v>0.33817906408626741</v>
      </c>
    </row>
    <row r="92" spans="1:25">
      <c r="A92" s="1313" t="s">
        <v>850</v>
      </c>
      <c r="B92" s="1315">
        <f t="shared" ref="B92:L92" si="37">B3-B50</f>
        <v>-4996.4930000000022</v>
      </c>
      <c r="C92" s="1315">
        <f t="shared" si="37"/>
        <v>-5058.107</v>
      </c>
      <c r="D92" s="1315">
        <f t="shared" si="37"/>
        <v>-3020.6910000000025</v>
      </c>
      <c r="E92" s="1315">
        <f t="shared" si="37"/>
        <v>-3158.8850000000057</v>
      </c>
      <c r="F92" s="1315">
        <f t="shared" si="37"/>
        <v>-2017.4120000000003</v>
      </c>
      <c r="G92" s="1315">
        <f t="shared" si="37"/>
        <v>-2056.1159999999982</v>
      </c>
      <c r="H92" s="1315">
        <f t="shared" si="37"/>
        <v>-2130.307000000008</v>
      </c>
      <c r="I92" s="1315">
        <f t="shared" si="37"/>
        <v>-2067.8689586323489</v>
      </c>
      <c r="J92" s="1315">
        <f t="shared" si="37"/>
        <v>-1315.9813644930036</v>
      </c>
      <c r="K92" s="1314">
        <f t="shared" si="37"/>
        <v>-715.31080378083425</v>
      </c>
      <c r="L92" s="1314">
        <f t="shared" si="37"/>
        <v>3.8591657279612264</v>
      </c>
      <c r="N92" s="1313" t="s">
        <v>850</v>
      </c>
      <c r="O92" s="1312">
        <f t="shared" ref="O92:Y92" si="38">O3-O50</f>
        <v>-7.804203482805427</v>
      </c>
      <c r="P92" s="1312">
        <f t="shared" si="38"/>
        <v>-7.4849202320897703</v>
      </c>
      <c r="Q92" s="1312">
        <f t="shared" si="38"/>
        <v>-4.2769513728421984</v>
      </c>
      <c r="R92" s="1312">
        <f t="shared" si="38"/>
        <v>-4.3448871099740813</v>
      </c>
      <c r="S92" s="1312">
        <f t="shared" si="38"/>
        <v>-2.7199874881859145</v>
      </c>
      <c r="T92" s="1312">
        <f t="shared" si="38"/>
        <v>-2.7073251661698237</v>
      </c>
      <c r="U92" s="1312">
        <f t="shared" si="38"/>
        <v>-2.7073657695944462</v>
      </c>
      <c r="V92" s="1312">
        <f t="shared" si="38"/>
        <v>-2.5471982705013545</v>
      </c>
      <c r="W92" s="1312">
        <f t="shared" si="38"/>
        <v>-1.5545633872007585</v>
      </c>
      <c r="X92" s="1311">
        <f t="shared" si="38"/>
        <v>-0.80175284073170872</v>
      </c>
      <c r="Y92" s="1311">
        <f t="shared" si="38"/>
        <v>4.064139282611734E-3</v>
      </c>
    </row>
    <row r="93" spans="1:25">
      <c r="H93" s="795"/>
      <c r="K93" s="1750" t="s">
        <v>1249</v>
      </c>
      <c r="L93" s="1750"/>
      <c r="U93" s="795"/>
      <c r="X93" s="1750" t="s">
        <v>1249</v>
      </c>
      <c r="Y93" s="1750"/>
    </row>
    <row r="95" spans="1:25">
      <c r="A95" s="1310" t="s">
        <v>753</v>
      </c>
      <c r="B95" s="1309">
        <v>64023.1</v>
      </c>
      <c r="C95" s="1309">
        <v>67577.3</v>
      </c>
      <c r="D95" s="1309">
        <v>70627.199999999997</v>
      </c>
      <c r="E95" s="1309">
        <v>72703.5</v>
      </c>
      <c r="F95" s="1309">
        <v>74169.899999999994</v>
      </c>
      <c r="G95" s="1309">
        <v>75946.399999999994</v>
      </c>
      <c r="H95" s="1309">
        <v>78685.600000000006</v>
      </c>
      <c r="I95" s="1309">
        <v>81182.096524639157</v>
      </c>
      <c r="J95" s="1309">
        <v>84652.795461923233</v>
      </c>
      <c r="K95" s="1309">
        <v>89218.368484733015</v>
      </c>
      <c r="L95" s="1309">
        <v>94956.532234675367</v>
      </c>
    </row>
  </sheetData>
  <mergeCells count="4">
    <mergeCell ref="K47:L47"/>
    <mergeCell ref="K93:L93"/>
    <mergeCell ref="X47:Y47"/>
    <mergeCell ref="X93:Y93"/>
  </mergeCells>
  <pageMargins left="0.7" right="0.7" top="0.75" bottom="0.75" header="0.3" footer="0.3"/>
  <pageSetup paperSize="0" orientation="portrait" horizontalDpi="0" verticalDpi="0" copies="0"/>
  <drawing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0"/>
  <sheetViews>
    <sheetView showGridLines="0" topLeftCell="H1" workbookViewId="0">
      <selection activeCell="O18" sqref="O18"/>
    </sheetView>
  </sheetViews>
  <sheetFormatPr defaultRowHeight="15"/>
  <cols>
    <col min="1" max="1" width="57.7109375" style="758" customWidth="1"/>
    <col min="2" max="13" width="9.140625" style="758"/>
    <col min="14" max="14" width="57.85546875" style="758" customWidth="1"/>
    <col min="15" max="16384" width="9.140625" style="758"/>
  </cols>
  <sheetData>
    <row r="1" spans="1:29">
      <c r="A1" s="793" t="s">
        <v>1319</v>
      </c>
      <c r="B1" s="794"/>
      <c r="C1" s="794"/>
      <c r="D1" s="794"/>
      <c r="E1" s="794"/>
      <c r="F1" s="794"/>
      <c r="G1" s="794"/>
      <c r="H1" s="794"/>
      <c r="I1" s="793"/>
      <c r="J1" s="793"/>
      <c r="K1" s="793"/>
      <c r="L1" s="793"/>
      <c r="N1" s="793" t="s">
        <v>1318</v>
      </c>
      <c r="O1" s="794"/>
      <c r="P1" s="794"/>
      <c r="Q1" s="794"/>
      <c r="R1" s="794"/>
      <c r="S1" s="794"/>
      <c r="T1" s="794"/>
      <c r="U1" s="794"/>
      <c r="V1" s="793"/>
      <c r="W1" s="793"/>
      <c r="X1" s="793"/>
      <c r="Y1" s="793"/>
    </row>
    <row r="2" spans="1:29">
      <c r="A2" s="513"/>
      <c r="B2" s="514" t="s">
        <v>891</v>
      </c>
      <c r="C2" s="514" t="s">
        <v>890</v>
      </c>
      <c r="D2" s="514" t="s">
        <v>536</v>
      </c>
      <c r="E2" s="514" t="s">
        <v>537</v>
      </c>
      <c r="F2" s="514" t="s">
        <v>538</v>
      </c>
      <c r="G2" s="514" t="s">
        <v>539</v>
      </c>
      <c r="H2" s="514" t="s">
        <v>540</v>
      </c>
      <c r="I2" s="514" t="s">
        <v>541</v>
      </c>
      <c r="J2" s="514" t="s">
        <v>542</v>
      </c>
      <c r="K2" s="514" t="s">
        <v>543</v>
      </c>
      <c r="L2" s="514" t="s">
        <v>544</v>
      </c>
      <c r="N2" s="513"/>
      <c r="O2" s="514" t="s">
        <v>891</v>
      </c>
      <c r="P2" s="514" t="s">
        <v>890</v>
      </c>
      <c r="Q2" s="514" t="s">
        <v>536</v>
      </c>
      <c r="R2" s="514" t="s">
        <v>537</v>
      </c>
      <c r="S2" s="514" t="s">
        <v>538</v>
      </c>
      <c r="T2" s="514" t="s">
        <v>539</v>
      </c>
      <c r="U2" s="514" t="s">
        <v>540</v>
      </c>
      <c r="V2" s="514" t="s">
        <v>541</v>
      </c>
      <c r="W2" s="514" t="s">
        <v>542</v>
      </c>
      <c r="X2" s="514" t="s">
        <v>543</v>
      </c>
      <c r="Y2" s="514" t="s">
        <v>544</v>
      </c>
      <c r="AB2" s="3"/>
      <c r="AC2" s="109"/>
    </row>
    <row r="3" spans="1:29">
      <c r="A3" s="1337" t="s">
        <v>1313</v>
      </c>
      <c r="B3" s="1357" t="str">
        <f>IFERROR((('T48, T49'!B3/'T48, T49'!A3)-1)*100,"-")</f>
        <v>-</v>
      </c>
      <c r="C3" s="1357">
        <f>IFERROR((('T48, T49'!C3/'T48, T49'!B3)-1)*100,"-")</f>
        <v>0.8381385952662912</v>
      </c>
      <c r="D3" s="1357">
        <f>IFERROR((('T48, T49'!D3/'T48, T49'!C3)-1)*100,"-")</f>
        <v>10.1816846496392</v>
      </c>
      <c r="E3" s="1357">
        <f>IFERROR((('T48, T49'!E3/'T48, T49'!D3)-1)*100,"-")</f>
        <v>2.2221183749561391</v>
      </c>
      <c r="F3" s="1357">
        <f>IFERROR((('T48, T49'!F3/'T48, T49'!E3)-1)*100,"-")</f>
        <v>8.8646329294455484</v>
      </c>
      <c r="G3" s="1357">
        <f>IFERROR((('T48, T49'!G3/'T48, T49'!F3)-1)*100,"-")</f>
        <v>3.9533253416824454</v>
      </c>
      <c r="H3" s="1357">
        <f>IFERROR((('T48, T49'!H3/'T48, T49'!G3)-1)*100,"-")</f>
        <v>12.948171967375078</v>
      </c>
      <c r="I3" s="1357">
        <f>IFERROR((('T48, T49'!I3/'T48, T49'!H3)-1)*100,"-")</f>
        <v>-4.7351845339549836</v>
      </c>
      <c r="J3" s="1357">
        <f>IFERROR((('T48, T49'!J3/'T48, T49'!I3)-1)*100,"-")</f>
        <v>4.1079697882823174</v>
      </c>
      <c r="K3" s="1357">
        <f>IFERROR((('T48, T49'!K3/'T48, T49'!J3)-1)*100,"-")</f>
        <v>3.5467316775050994</v>
      </c>
      <c r="L3" s="1357">
        <f>IFERROR((('T48, T49'!L3/'T48, T49'!K3)-1)*100,"-")</f>
        <v>4.2059539090888221</v>
      </c>
      <c r="N3" s="1337" t="s">
        <v>1313</v>
      </c>
      <c r="O3" s="1338" t="s">
        <v>1</v>
      </c>
      <c r="P3" s="1357">
        <v>0.8381385952662912</v>
      </c>
      <c r="Q3" s="1357">
        <v>8.5686783957812374</v>
      </c>
      <c r="R3" s="1357">
        <v>1.796906444191726</v>
      </c>
      <c r="S3" s="1357">
        <v>8.8646329294455484</v>
      </c>
      <c r="T3" s="1357">
        <v>3.5829786562891153</v>
      </c>
      <c r="U3" s="1357">
        <v>12.533171470498573</v>
      </c>
      <c r="V3" s="1357">
        <v>-3.8229451420689009</v>
      </c>
      <c r="W3" s="1357">
        <v>4.0075485641847486</v>
      </c>
      <c r="X3" s="1357">
        <v>3.5720940137846213</v>
      </c>
      <c r="Y3" s="1357">
        <v>4.2349929771768879</v>
      </c>
      <c r="AB3" s="3"/>
      <c r="AC3" s="109"/>
    </row>
    <row r="4" spans="1:29">
      <c r="A4" s="1334" t="s">
        <v>1312</v>
      </c>
      <c r="B4" s="1309" t="str">
        <f>IFERROR((('T48, T49'!B4/'T48, T49'!A4)-1)*100,"-")</f>
        <v>-</v>
      </c>
      <c r="C4" s="1353">
        <f>IFERROR((('T48, T49'!C4/'T48, T49'!B4)-1)*100,"-")</f>
        <v>-3.5715939569903599</v>
      </c>
      <c r="D4" s="1353">
        <f>IFERROR((('T48, T49'!D4/'T48, T49'!C4)-1)*100,"-")</f>
        <v>22.409806605337536</v>
      </c>
      <c r="E4" s="1353">
        <f>IFERROR((('T48, T49'!E4/'T48, T49'!D4)-1)*100,"-")</f>
        <v>-0.6621219964191738</v>
      </c>
      <c r="F4" s="1353">
        <f>IFERROR((('T48, T49'!F4/'T48, T49'!E4)-1)*100,"-")</f>
        <v>16.305225230394683</v>
      </c>
      <c r="G4" s="1353">
        <f>IFERROR((('T48, T49'!G4/'T48, T49'!F4)-1)*100,"-")</f>
        <v>5.1331512406635582</v>
      </c>
      <c r="H4" s="1353">
        <f>IFERROR((('T48, T49'!H4/'T48, T49'!G4)-1)*100,"-")</f>
        <v>115.6420776905772</v>
      </c>
      <c r="I4" s="1353">
        <f>IFERROR((('T48, T49'!I4/'T48, T49'!H4)-1)*100,"-")</f>
        <v>-69.216856898113335</v>
      </c>
      <c r="J4" s="1353">
        <f>IFERROR((('T48, T49'!J4/'T48, T49'!I4)-1)*100,"-")</f>
        <v>12.606203721630415</v>
      </c>
      <c r="K4" s="1353">
        <f>IFERROR((('T48, T49'!K4/'T48, T49'!J4)-1)*100,"-")</f>
        <v>-18.28261742733185</v>
      </c>
      <c r="L4" s="1353">
        <f>IFERROR((('T48, T49'!L4/'T48, T49'!K4)-1)*100,"-")</f>
        <v>-11.995245018301615</v>
      </c>
      <c r="N4" s="1334" t="s">
        <v>1312</v>
      </c>
      <c r="O4" s="1309" t="s">
        <v>1</v>
      </c>
      <c r="P4" s="1353">
        <v>-3.5715939569903599</v>
      </c>
      <c r="Q4" s="1353">
        <v>6.0750229089321151</v>
      </c>
      <c r="R4" s="1353">
        <v>-0.6621219964191738</v>
      </c>
      <c r="S4" s="1353">
        <v>16.305225230394683</v>
      </c>
      <c r="T4" s="1353">
        <v>3.0328324728801981</v>
      </c>
      <c r="U4" s="1353">
        <v>115.6420776905772</v>
      </c>
      <c r="V4" s="1353">
        <v>-69.216856898113335</v>
      </c>
      <c r="W4" s="1353">
        <v>12.606203721630415</v>
      </c>
      <c r="X4" s="1353">
        <v>-18.28261742733185</v>
      </c>
      <c r="Y4" s="1353">
        <v>-11.995245018301615</v>
      </c>
      <c r="AB4" s="3"/>
      <c r="AC4" s="109"/>
    </row>
    <row r="5" spans="1:29">
      <c r="A5" s="1334" t="s">
        <v>1277</v>
      </c>
      <c r="B5" s="1309" t="str">
        <f>IFERROR((('T48, T49'!B5/'T48, T49'!A5)-1)*100,"-")</f>
        <v>-</v>
      </c>
      <c r="C5" s="1353">
        <f>IFERROR((('T48, T49'!C5/'T48, T49'!B5)-1)*100,"-")</f>
        <v>13.154002761863026</v>
      </c>
      <c r="D5" s="1353">
        <f>IFERROR((('T48, T49'!D5/'T48, T49'!C5)-1)*100,"-")</f>
        <v>-7.656288298142055</v>
      </c>
      <c r="E5" s="1353">
        <f>IFERROR((('T48, T49'!E5/'T48, T49'!D5)-1)*100,"-")</f>
        <v>9.5039442416405606</v>
      </c>
      <c r="F5" s="1353">
        <f>IFERROR((('T48, T49'!F5/'T48, T49'!E5)-1)*100,"-")</f>
        <v>-0.9225662976645399</v>
      </c>
      <c r="G5" s="1353">
        <f>IFERROR((('T48, T49'!G5/'T48, T49'!F5)-1)*100,"-")</f>
        <v>-5.7190345866005909</v>
      </c>
      <c r="H5" s="1353">
        <f>IFERROR((('T48, T49'!H5/'T48, T49'!G5)-1)*100,"-")</f>
        <v>9.5860578401125487</v>
      </c>
      <c r="I5" s="1353">
        <f>IFERROR((('T48, T49'!I5/'T48, T49'!H5)-1)*100,"-")</f>
        <v>-0.37238181659917657</v>
      </c>
      <c r="J5" s="1353">
        <f>IFERROR((('T48, T49'!J5/'T48, T49'!I5)-1)*100,"-")</f>
        <v>-3.6353053335473451</v>
      </c>
      <c r="K5" s="1353">
        <f>IFERROR((('T48, T49'!K5/'T48, T49'!J5)-1)*100,"-")</f>
        <v>2.8706223260368757</v>
      </c>
      <c r="L5" s="1353">
        <f>IFERROR((('T48, T49'!L5/'T48, T49'!K5)-1)*100,"-")</f>
        <v>3.8071067640210288</v>
      </c>
      <c r="N5" s="1334" t="s">
        <v>1277</v>
      </c>
      <c r="O5" s="1309" t="s">
        <v>1</v>
      </c>
      <c r="P5" s="1353">
        <v>13.154002761863026</v>
      </c>
      <c r="Q5" s="1353">
        <v>-7.656288298142055</v>
      </c>
      <c r="R5" s="1353">
        <v>9.5039442416405606</v>
      </c>
      <c r="S5" s="1353">
        <v>-0.9225662976645399</v>
      </c>
      <c r="T5" s="1353">
        <v>-5.7190345866005909</v>
      </c>
      <c r="U5" s="1353">
        <v>9.5860578401125487</v>
      </c>
      <c r="V5" s="1353">
        <v>-0.37238181659917657</v>
      </c>
      <c r="W5" s="1353">
        <v>-3.6353053335473451</v>
      </c>
      <c r="X5" s="1353">
        <v>2.8706223260368757</v>
      </c>
      <c r="Y5" s="1353">
        <v>3.8071067640210288</v>
      </c>
    </row>
    <row r="6" spans="1:29">
      <c r="A6" s="1242" t="s">
        <v>1311</v>
      </c>
      <c r="B6" s="1309" t="str">
        <f>IFERROR((('T48, T49'!B6/'T48, T49'!A6)-1)*100,"-")</f>
        <v>-</v>
      </c>
      <c r="C6" s="1353">
        <f>IFERROR((('T48, T49'!C6/'T48, T49'!B6)-1)*100,"-")</f>
        <v>44.886262801307033</v>
      </c>
      <c r="D6" s="1353">
        <f>IFERROR((('T48, T49'!D6/'T48, T49'!C6)-1)*100,"-")</f>
        <v>6.8788367870421085</v>
      </c>
      <c r="E6" s="1353">
        <f>IFERROR((('T48, T49'!E6/'T48, T49'!D6)-1)*100,"-")</f>
        <v>-19.035965888023764</v>
      </c>
      <c r="F6" s="1353">
        <f>IFERROR((('T48, T49'!F6/'T48, T49'!E6)-1)*100,"-")</f>
        <v>18.479908075071627</v>
      </c>
      <c r="G6" s="1353">
        <f>IFERROR((('T48, T49'!G6/'T48, T49'!F6)-1)*100,"-")</f>
        <v>7.7804795772086877</v>
      </c>
      <c r="H6" s="1353">
        <f>IFERROR((('T48, T49'!H6/'T48, T49'!G6)-1)*100,"-")</f>
        <v>11.406271395316558</v>
      </c>
      <c r="I6" s="1353">
        <f>IFERROR((('T48, T49'!I6/'T48, T49'!H6)-1)*100,"-")</f>
        <v>-2.3838788219322948</v>
      </c>
      <c r="J6" s="1353">
        <f>IFERROR((('T48, T49'!J6/'T48, T49'!I6)-1)*100,"-")</f>
        <v>5.739194042558271</v>
      </c>
      <c r="K6" s="1353">
        <f>IFERROR((('T48, T49'!K6/'T48, T49'!J6)-1)*100,"-")</f>
        <v>-0.62430892234413005</v>
      </c>
      <c r="L6" s="1353">
        <f>IFERROR((('T48, T49'!L6/'T48, T49'!K6)-1)*100,"-")</f>
        <v>0.18658632613235415</v>
      </c>
      <c r="N6" s="1242" t="s">
        <v>1311</v>
      </c>
      <c r="O6" s="1309" t="s">
        <v>1</v>
      </c>
      <c r="P6" s="1353">
        <v>44.886262801307033</v>
      </c>
      <c r="Q6" s="1353">
        <v>6.8788367870421085</v>
      </c>
      <c r="R6" s="1353">
        <v>-19.035965888023764</v>
      </c>
      <c r="S6" s="1353">
        <v>18.479908075071627</v>
      </c>
      <c r="T6" s="1353">
        <v>7.7804795772086877</v>
      </c>
      <c r="U6" s="1353">
        <v>11.378540456302598</v>
      </c>
      <c r="V6" s="1353">
        <v>-2.0272096056020761</v>
      </c>
      <c r="W6" s="1353">
        <v>5.739194042558271</v>
      </c>
      <c r="X6" s="1353">
        <v>-0.62430892234413005</v>
      </c>
      <c r="Y6" s="1353">
        <v>0.18658632613235415</v>
      </c>
    </row>
    <row r="7" spans="1:29">
      <c r="A7" s="1351" t="s">
        <v>1310</v>
      </c>
      <c r="B7" s="1338" t="str">
        <f>IFERROR((('T48, T49'!B7/'T48, T49'!A7)-1)*100,"-")</f>
        <v>-</v>
      </c>
      <c r="C7" s="1357">
        <f>IFERROR((('T48, T49'!C7/'T48, T49'!B7)-1)*100,"-")</f>
        <v>4.3429446316456399E-2</v>
      </c>
      <c r="D7" s="1357">
        <f>IFERROR((('T48, T49'!D7/'T48, T49'!C7)-1)*100,"-")</f>
        <v>10.977501086042253</v>
      </c>
      <c r="E7" s="1357">
        <f>IFERROR((('T48, T49'!E7/'T48, T49'!D7)-1)*100,"-")</f>
        <v>2.0546300321858224</v>
      </c>
      <c r="F7" s="1357">
        <f>IFERROR((('T48, T49'!F7/'T48, T49'!E7)-1)*100,"-")</f>
        <v>9.1117001126520094</v>
      </c>
      <c r="G7" s="1357">
        <f>IFERROR((('T48, T49'!G7/'T48, T49'!F7)-1)*100,"-")</f>
        <v>4.4401891611591804</v>
      </c>
      <c r="H7" s="1357">
        <f>IFERROR((('T48, T49'!H7/'T48, T49'!G7)-1)*100,"-")</f>
        <v>8.2040650961752846</v>
      </c>
      <c r="I7" s="1357">
        <f>IFERROR((('T48, T49'!I7/'T48, T49'!H7)-1)*100,"-")</f>
        <v>1.1874708957889224</v>
      </c>
      <c r="J7" s="1357">
        <f>IFERROR((('T48, T49'!J7/'T48, T49'!I7)-1)*100,"-")</f>
        <v>4.2580034211201934</v>
      </c>
      <c r="K7" s="1357">
        <f>IFERROR((('T48, T49'!K7/'T48, T49'!J7)-1)*100,"-")</f>
        <v>4.2896465080607626</v>
      </c>
      <c r="L7" s="1357">
        <f>IFERROR((('T48, T49'!L7/'T48, T49'!K7)-1)*100,"-")</f>
        <v>4.6460402496594</v>
      </c>
      <c r="N7" s="1351" t="s">
        <v>1310</v>
      </c>
      <c r="O7" s="1338" t="s">
        <v>1</v>
      </c>
      <c r="P7" s="1357">
        <v>4.3429446316456399E-2</v>
      </c>
      <c r="Q7" s="1357">
        <v>9.851198533568839</v>
      </c>
      <c r="R7" s="1357">
        <v>1.5816984055116334</v>
      </c>
      <c r="S7" s="1357">
        <v>9.1117001126520094</v>
      </c>
      <c r="T7" s="1357">
        <v>4.1287013583512833</v>
      </c>
      <c r="U7" s="1357">
        <v>7.7450882041866009</v>
      </c>
      <c r="V7" s="1357">
        <v>2.3497729210860019</v>
      </c>
      <c r="W7" s="1357">
        <v>4.1497692724073332</v>
      </c>
      <c r="X7" s="1357">
        <v>4.3229704169767791</v>
      </c>
      <c r="Y7" s="1357">
        <v>4.6806371712267314</v>
      </c>
    </row>
    <row r="8" spans="1:29">
      <c r="A8" s="1349" t="s">
        <v>901</v>
      </c>
      <c r="B8" s="1323" t="str">
        <f>IFERROR((('T48, T49'!B8/'T48, T49'!A8)-1)*100,"-")</f>
        <v>-</v>
      </c>
      <c r="C8" s="1354">
        <f>IFERROR((('T48, T49'!C8/'T48, T49'!B8)-1)*100,"-")</f>
        <v>2.2490021503748014</v>
      </c>
      <c r="D8" s="1354">
        <f>IFERROR((('T48, T49'!D8/'T48, T49'!C8)-1)*100,"-")</f>
        <v>8.8278471706340511</v>
      </c>
      <c r="E8" s="1354">
        <f>IFERROR((('T48, T49'!E8/'T48, T49'!D8)-1)*100,"-")</f>
        <v>-2.9053349031374354</v>
      </c>
      <c r="F8" s="1354">
        <f>IFERROR((('T48, T49'!F8/'T48, T49'!E8)-1)*100,"-")</f>
        <v>6.5481418071167141</v>
      </c>
      <c r="G8" s="1354">
        <f>IFERROR((('T48, T49'!G8/'T48, T49'!F8)-1)*100,"-")</f>
        <v>6.0982962629389625</v>
      </c>
      <c r="H8" s="1354">
        <f>IFERROR((('T48, T49'!H8/'T48, T49'!G8)-1)*100,"-")</f>
        <v>5.7360865190743349</v>
      </c>
      <c r="I8" s="1354">
        <f>IFERROR((('T48, T49'!I8/'T48, T49'!H8)-1)*100,"-")</f>
        <v>2.2240357288939139</v>
      </c>
      <c r="J8" s="1354">
        <f>IFERROR((('T48, T49'!J8/'T48, T49'!I8)-1)*100,"-")</f>
        <v>5.0396402961488951</v>
      </c>
      <c r="K8" s="1354">
        <f>IFERROR((('T48, T49'!K8/'T48, T49'!J8)-1)*100,"-")</f>
        <v>3.3445634720758122</v>
      </c>
      <c r="L8" s="1354">
        <f>IFERROR((('T48, T49'!L8/'T48, T49'!K8)-1)*100,"-")</f>
        <v>4.384028514432825</v>
      </c>
      <c r="N8" s="1349" t="s">
        <v>901</v>
      </c>
      <c r="O8" s="1323" t="s">
        <v>1</v>
      </c>
      <c r="P8" s="1354">
        <v>2.2490021503748014</v>
      </c>
      <c r="Q8" s="1354">
        <v>8.8278471706340511</v>
      </c>
      <c r="R8" s="1354">
        <v>-2.9053349031374354</v>
      </c>
      <c r="S8" s="1354">
        <v>6.5481418071167141</v>
      </c>
      <c r="T8" s="1354">
        <v>6.0982962629389625</v>
      </c>
      <c r="U8" s="1354">
        <v>5.7360865190743349</v>
      </c>
      <c r="V8" s="1354">
        <v>2.2240357288939139</v>
      </c>
      <c r="W8" s="1354">
        <v>5.0396402961488951</v>
      </c>
      <c r="X8" s="1354">
        <v>3.3445634720758122</v>
      </c>
      <c r="Y8" s="1354">
        <v>4.384028514432825</v>
      </c>
    </row>
    <row r="9" spans="1:29">
      <c r="A9" s="764" t="s">
        <v>1309</v>
      </c>
      <c r="B9" s="1309" t="str">
        <f>IFERROR((('T48, T49'!B9/'T48, T49'!A9)-1)*100,"-")</f>
        <v>-</v>
      </c>
      <c r="C9" s="1353">
        <f>IFERROR((('T48, T49'!C9/'T48, T49'!B9)-1)*100,"-")</f>
        <v>-0.92834493806197571</v>
      </c>
      <c r="D9" s="1353">
        <f>IFERROR((('T48, T49'!D9/'T48, T49'!C9)-1)*100,"-")</f>
        <v>12.644690853301931</v>
      </c>
      <c r="E9" s="1353">
        <f>IFERROR((('T48, T49'!E9/'T48, T49'!D9)-1)*100,"-")</f>
        <v>-8.1345690572145131</v>
      </c>
      <c r="F9" s="1353">
        <f>IFERROR((('T48, T49'!F9/'T48, T49'!E9)-1)*100,"-")</f>
        <v>8.5135095155012941</v>
      </c>
      <c r="G9" s="1353">
        <f>IFERROR((('T48, T49'!G9/'T48, T49'!F9)-1)*100,"-")</f>
        <v>6.9203930763429122</v>
      </c>
      <c r="H9" s="1353">
        <f>IFERROR((('T48, T49'!H9/'T48, T49'!G9)-1)*100,"-")</f>
        <v>7.9472204600626872</v>
      </c>
      <c r="I9" s="1353">
        <f>IFERROR((('T48, T49'!I9/'T48, T49'!H9)-1)*100,"-")</f>
        <v>1.7291544022728589</v>
      </c>
      <c r="J9" s="1353">
        <f>IFERROR((('T48, T49'!J9/'T48, T49'!I9)-1)*100,"-")</f>
        <v>4.4579730919843241</v>
      </c>
      <c r="K9" s="1353">
        <f>IFERROR((('T48, T49'!K9/'T48, T49'!J9)-1)*100,"-")</f>
        <v>3.8004383558599475</v>
      </c>
      <c r="L9" s="1353">
        <f>IFERROR((('T48, T49'!L9/'T48, T49'!K9)-1)*100,"-")</f>
        <v>4.7961746215416934</v>
      </c>
      <c r="N9" s="764" t="s">
        <v>1309</v>
      </c>
      <c r="O9" s="1309" t="s">
        <v>1</v>
      </c>
      <c r="P9" s="1353">
        <v>-0.92834493806197571</v>
      </c>
      <c r="Q9" s="1353">
        <v>12.644690853301931</v>
      </c>
      <c r="R9" s="1353">
        <v>-8.1345690572145131</v>
      </c>
      <c r="S9" s="1353">
        <v>8.5135095155012941</v>
      </c>
      <c r="T9" s="1353">
        <v>6.9203930763429122</v>
      </c>
      <c r="U9" s="1353">
        <v>7.9472204600626872</v>
      </c>
      <c r="V9" s="1353">
        <v>1.7291544022728589</v>
      </c>
      <c r="W9" s="1353">
        <v>4.4579730919843241</v>
      </c>
      <c r="X9" s="1353">
        <v>3.8004383558599475</v>
      </c>
      <c r="Y9" s="1353">
        <v>4.7961746215416934</v>
      </c>
    </row>
    <row r="10" spans="1:29">
      <c r="A10" s="764" t="s">
        <v>1308</v>
      </c>
      <c r="B10" s="1309" t="str">
        <f>IFERROR((('T48, T49'!B10/'T48, T49'!A10)-1)*100,"-")</f>
        <v>-</v>
      </c>
      <c r="C10" s="1353">
        <f>IFERROR((('T48, T49'!C10/'T48, T49'!B10)-1)*100,"-")</f>
        <v>9.5978646522653541</v>
      </c>
      <c r="D10" s="1353">
        <f>IFERROR((('T48, T49'!D10/'T48, T49'!C10)-1)*100,"-")</f>
        <v>3.5386997080353089</v>
      </c>
      <c r="E10" s="1353">
        <f>IFERROR((('T48, T49'!E10/'T48, T49'!D10)-1)*100,"-")</f>
        <v>-1.0350739934429365</v>
      </c>
      <c r="F10" s="1353">
        <f>IFERROR((('T48, T49'!F10/'T48, T49'!E10)-1)*100,"-")</f>
        <v>0.32065017903342152</v>
      </c>
      <c r="G10" s="1353">
        <f>IFERROR((('T48, T49'!G10/'T48, T49'!F10)-1)*100,"-")</f>
        <v>1.522079450668401</v>
      </c>
      <c r="H10" s="1353">
        <f>IFERROR((('T48, T49'!H10/'T48, T49'!G10)-1)*100,"-")</f>
        <v>4.6268287177025025</v>
      </c>
      <c r="I10" s="1353">
        <f>IFERROR((('T48, T49'!I10/'T48, T49'!H10)-1)*100,"-")</f>
        <v>2.8760877772851412</v>
      </c>
      <c r="J10" s="1353">
        <f>IFERROR((('T48, T49'!J10/'T48, T49'!I10)-1)*100,"-")</f>
        <v>4.1909152189769872</v>
      </c>
      <c r="K10" s="1353">
        <f>IFERROR((('T48, T49'!K10/'T48, T49'!J10)-1)*100,"-")</f>
        <v>2.6738320515560687</v>
      </c>
      <c r="L10" s="1353">
        <f>IFERROR((('T48, T49'!L10/'T48, T49'!K10)-1)*100,"-")</f>
        <v>4.2040363334662212</v>
      </c>
      <c r="N10" s="764" t="s">
        <v>1308</v>
      </c>
      <c r="O10" s="1309" t="s">
        <v>1</v>
      </c>
      <c r="P10" s="1353">
        <v>9.5978646522653541</v>
      </c>
      <c r="Q10" s="1353">
        <v>3.5386997080353089</v>
      </c>
      <c r="R10" s="1353">
        <v>-1.0350739934429365</v>
      </c>
      <c r="S10" s="1353">
        <v>0.32065017903342152</v>
      </c>
      <c r="T10" s="1353">
        <v>1.522079450668401</v>
      </c>
      <c r="U10" s="1353">
        <v>4.6268287177025025</v>
      </c>
      <c r="V10" s="1353">
        <v>2.8760877772851412</v>
      </c>
      <c r="W10" s="1353">
        <v>4.1909152189769872</v>
      </c>
      <c r="X10" s="1353">
        <v>2.6738320515560687</v>
      </c>
      <c r="Y10" s="1353">
        <v>4.2040363334662212</v>
      </c>
    </row>
    <row r="11" spans="1:29">
      <c r="A11" s="764" t="s">
        <v>1307</v>
      </c>
      <c r="B11" s="1309" t="str">
        <f>IFERROR((('T48, T49'!B11/'T48, T49'!A11)-1)*100,"-")</f>
        <v>-</v>
      </c>
      <c r="C11" s="1353">
        <f>IFERROR((('T48, T49'!C11/'T48, T49'!B11)-1)*100,"-")</f>
        <v>4.5012411992195966</v>
      </c>
      <c r="D11" s="1353">
        <f>IFERROR((('T48, T49'!D11/'T48, T49'!C11)-1)*100,"-")</f>
        <v>3.1094845427066531</v>
      </c>
      <c r="E11" s="1353">
        <f>IFERROR((('T48, T49'!E11/'T48, T49'!D11)-1)*100,"-")</f>
        <v>10.895294228410958</v>
      </c>
      <c r="F11" s="1353">
        <f>IFERROR((('T48, T49'!F11/'T48, T49'!E11)-1)*100,"-")</f>
        <v>4.0435860115184852</v>
      </c>
      <c r="G11" s="1353">
        <f>IFERROR((('T48, T49'!G11/'T48, T49'!F11)-1)*100,"-")</f>
        <v>1.1560505573128488</v>
      </c>
      <c r="H11" s="1353">
        <f>IFERROR((('T48, T49'!H11/'T48, T49'!G11)-1)*100,"-")</f>
        <v>1.1236223055085759</v>
      </c>
      <c r="I11" s="1353">
        <f>IFERROR((('T48, T49'!I11/'T48, T49'!H11)-1)*100,"-")</f>
        <v>2.2961583543830155</v>
      </c>
      <c r="J11" s="1353">
        <f>IFERROR((('T48, T49'!J11/'T48, T49'!I11)-1)*100,"-")</f>
        <v>1.8048592131380881</v>
      </c>
      <c r="K11" s="1353">
        <f>IFERROR((('T48, T49'!K11/'T48, T49'!J11)-1)*100,"-")</f>
        <v>1.7124129940707</v>
      </c>
      <c r="L11" s="1353">
        <f>IFERROR((('T48, T49'!L11/'T48, T49'!K11)-1)*100,"-")</f>
        <v>1.900039620574745</v>
      </c>
      <c r="N11" s="764" t="s">
        <v>1307</v>
      </c>
      <c r="O11" s="1309" t="s">
        <v>1</v>
      </c>
      <c r="P11" s="1353">
        <v>4.5012411992195966</v>
      </c>
      <c r="Q11" s="1353">
        <v>3.1094845427066531</v>
      </c>
      <c r="R11" s="1353">
        <v>10.895294228410958</v>
      </c>
      <c r="S11" s="1353">
        <v>4.0435860115184852</v>
      </c>
      <c r="T11" s="1353">
        <v>1.1560505573128488</v>
      </c>
      <c r="U11" s="1353">
        <v>1.1236223055085759</v>
      </c>
      <c r="V11" s="1353">
        <v>2.2961583543830155</v>
      </c>
      <c r="W11" s="1353">
        <v>1.8048592131380881</v>
      </c>
      <c r="X11" s="1353">
        <v>1.7124129940707</v>
      </c>
      <c r="Y11" s="1353">
        <v>1.900039620574745</v>
      </c>
    </row>
    <row r="12" spans="1:29">
      <c r="A12" s="764" t="s">
        <v>1306</v>
      </c>
      <c r="B12" s="1309" t="str">
        <f>IFERROR((('T48, T49'!B12/'T48, T49'!A12)-1)*100,"-")</f>
        <v>-</v>
      </c>
      <c r="C12" s="1353">
        <f>IFERROR((('T48, T49'!C12/'T48, T49'!B12)-1)*100,"-")</f>
        <v>3.4891601625874458</v>
      </c>
      <c r="D12" s="1353">
        <f>IFERROR((('T48, T49'!D12/'T48, T49'!C12)-1)*100,"-")</f>
        <v>10.220163483151445</v>
      </c>
      <c r="E12" s="1353">
        <f>IFERROR((('T48, T49'!E12/'T48, T49'!D12)-1)*100,"-")</f>
        <v>0.33154923242761924</v>
      </c>
      <c r="F12" s="1353">
        <f>IFERROR((('T48, T49'!F12/'T48, T49'!E12)-1)*100,"-")</f>
        <v>9.189555190663512</v>
      </c>
      <c r="G12" s="1353">
        <f>IFERROR((('T48, T49'!G12/'T48, T49'!F12)-1)*100,"-")</f>
        <v>2.3481107090218556</v>
      </c>
      <c r="H12" s="1353">
        <f>IFERROR((('T48, T49'!H12/'T48, T49'!G12)-1)*100,"-")</f>
        <v>-5.7942827356936792</v>
      </c>
      <c r="I12" s="1353">
        <f>IFERROR((('T48, T49'!I12/'T48, T49'!H12)-1)*100,"-")</f>
        <v>3.0464933863410648</v>
      </c>
      <c r="J12" s="1353">
        <f>IFERROR((('T48, T49'!J12/'T48, T49'!I12)-1)*100,"-")</f>
        <v>4.2755766222944525</v>
      </c>
      <c r="K12" s="1353">
        <f>IFERROR((('T48, T49'!K12/'T48, T49'!J12)-1)*100,"-")</f>
        <v>5.393226045207733</v>
      </c>
      <c r="L12" s="1353">
        <f>IFERROR((('T48, T49'!L12/'T48, T49'!K12)-1)*100,"-")</f>
        <v>6.4310440192160589</v>
      </c>
      <c r="N12" s="764" t="s">
        <v>1306</v>
      </c>
      <c r="O12" s="1309" t="s">
        <v>1</v>
      </c>
      <c r="P12" s="1353">
        <v>3.4891601625874458</v>
      </c>
      <c r="Q12" s="1353">
        <v>10.220163483151445</v>
      </c>
      <c r="R12" s="1353">
        <v>0.33154923242761924</v>
      </c>
      <c r="S12" s="1353">
        <v>9.189555190663512</v>
      </c>
      <c r="T12" s="1353">
        <v>2.3481107090218556</v>
      </c>
      <c r="U12" s="1353">
        <v>-5.7942827356936792</v>
      </c>
      <c r="V12" s="1353">
        <v>3.0464933863410648</v>
      </c>
      <c r="W12" s="1353">
        <v>4.2755766222944525</v>
      </c>
      <c r="X12" s="1353">
        <v>5.393226045207733</v>
      </c>
      <c r="Y12" s="1353">
        <v>6.4310440192160589</v>
      </c>
    </row>
    <row r="13" spans="1:29">
      <c r="A13" s="764" t="s">
        <v>1305</v>
      </c>
      <c r="B13" s="1309" t="str">
        <f>IFERROR((('T48, T49'!B13/'T48, T49'!A13)-1)*100,"-")</f>
        <v>-</v>
      </c>
      <c r="C13" s="1353">
        <f>IFERROR((('T48, T49'!C13/'T48, T49'!B13)-1)*100,"-")</f>
        <v>-1.6164032684392704</v>
      </c>
      <c r="D13" s="1353">
        <f>IFERROR((('T48, T49'!D13/'T48, T49'!C13)-1)*100,"-")</f>
        <v>-2.8660132291041696</v>
      </c>
      <c r="E13" s="1353">
        <f>IFERROR((('T48, T49'!E13/'T48, T49'!D13)-1)*100,"-")</f>
        <v>-2.0866985943693739</v>
      </c>
      <c r="F13" s="1353">
        <f>IFERROR((('T48, T49'!F13/'T48, T49'!E13)-1)*100,"-")</f>
        <v>-1.4542054305672791</v>
      </c>
      <c r="G13" s="1353">
        <f>IFERROR((('T48, T49'!G13/'T48, T49'!F13)-1)*100,"-")</f>
        <v>-0.27242046995252789</v>
      </c>
      <c r="H13" s="1353">
        <f>IFERROR((('T48, T49'!H13/'T48, T49'!G13)-1)*100,"-")</f>
        <v>5.7014968436253088</v>
      </c>
      <c r="I13" s="1353">
        <f>IFERROR((('T48, T49'!I13/'T48, T49'!H13)-1)*100,"-")</f>
        <v>4.5180952671797892</v>
      </c>
      <c r="J13" s="1353">
        <f>IFERROR((('T48, T49'!J13/'T48, T49'!I13)-1)*100,"-")</f>
        <v>-0.43395265970984642</v>
      </c>
      <c r="K13" s="1353">
        <f>IFERROR((('T48, T49'!K13/'T48, T49'!J13)-1)*100,"-")</f>
        <v>0</v>
      </c>
      <c r="L13" s="1353">
        <f>IFERROR((('T48, T49'!L13/'T48, T49'!K13)-1)*100,"-")</f>
        <v>0</v>
      </c>
      <c r="N13" s="764" t="s">
        <v>1305</v>
      </c>
      <c r="O13" s="1309" t="s">
        <v>1</v>
      </c>
      <c r="P13" s="1353">
        <v>-1.6164032684392704</v>
      </c>
      <c r="Q13" s="1353">
        <v>-2.8660132291041696</v>
      </c>
      <c r="R13" s="1353">
        <v>-2.0866985943693739</v>
      </c>
      <c r="S13" s="1353">
        <v>-1.4542054305672791</v>
      </c>
      <c r="T13" s="1353">
        <v>-0.27242046995252789</v>
      </c>
      <c r="U13" s="1353">
        <v>5.7014968436253088</v>
      </c>
      <c r="V13" s="1353">
        <v>4.5180952671797892</v>
      </c>
      <c r="W13" s="1353">
        <v>-0.43395265970984642</v>
      </c>
      <c r="X13" s="1353">
        <v>0</v>
      </c>
      <c r="Y13" s="1353">
        <v>0</v>
      </c>
    </row>
    <row r="14" spans="1:29">
      <c r="A14" s="764" t="s">
        <v>1304</v>
      </c>
      <c r="B14" s="1309" t="str">
        <f>IFERROR((('T48, T49'!B14/'T48, T49'!A14)-1)*100,"-")</f>
        <v>-</v>
      </c>
      <c r="C14" s="1353" t="str">
        <f>IFERROR((('T48, T49'!C14/'T48, T49'!B14)-1)*100,"-")</f>
        <v>-</v>
      </c>
      <c r="D14" s="1353" t="str">
        <f>IFERROR((('T48, T49'!D14/'T48, T49'!C14)-1)*100,"-")</f>
        <v>-</v>
      </c>
      <c r="E14" s="1353" t="str">
        <f>IFERROR((('T48, T49'!E14/'T48, T49'!D14)-1)*100,"-")</f>
        <v>-</v>
      </c>
      <c r="F14" s="1353">
        <f>IFERROR((('T48, T49'!F14/'T48, T49'!E14)-1)*100,"-")</f>
        <v>20.056104672054609</v>
      </c>
      <c r="G14" s="1353">
        <f>IFERROR((('T48, T49'!G14/'T48, T49'!F14)-1)*100,"-")</f>
        <v>-24.908758553967282</v>
      </c>
      <c r="H14" s="1353">
        <f>IFERROR((('T48, T49'!H14/'T48, T49'!G14)-1)*100,"-")</f>
        <v>-28.003743322214337</v>
      </c>
      <c r="I14" s="1353">
        <f>IFERROR((('T48, T49'!I14/'T48, T49'!H14)-1)*100,"-")</f>
        <v>8.7920188719873948</v>
      </c>
      <c r="J14" s="1353">
        <f>IFERROR((('T48, T49'!J14/'T48, T49'!I14)-1)*100,"-")</f>
        <v>5.5889853816278423</v>
      </c>
      <c r="K14" s="1353">
        <f>IFERROR((('T48, T49'!K14/'T48, T49'!J14)-1)*100,"-")</f>
        <v>3.8542291541691531</v>
      </c>
      <c r="L14" s="1353">
        <f>IFERROR((('T48, T49'!L14/'T48, T49'!K14)-1)*100,"-")</f>
        <v>5.4242827284818551</v>
      </c>
      <c r="N14" s="764" t="s">
        <v>1304</v>
      </c>
      <c r="O14" s="1309" t="s">
        <v>1</v>
      </c>
      <c r="P14" s="1353" t="s">
        <v>1</v>
      </c>
      <c r="Q14" s="1353" t="s">
        <v>1</v>
      </c>
      <c r="R14" s="1353" t="s">
        <v>1</v>
      </c>
      <c r="S14" s="1353">
        <v>20.056104672054609</v>
      </c>
      <c r="T14" s="1353">
        <v>-24.908758553967282</v>
      </c>
      <c r="U14" s="1353">
        <v>-28.003743322214337</v>
      </c>
      <c r="V14" s="1353">
        <v>8.7920188719873948</v>
      </c>
      <c r="W14" s="1353">
        <v>5.5889853816278423</v>
      </c>
      <c r="X14" s="1353">
        <v>3.8542291541691531</v>
      </c>
      <c r="Y14" s="1353">
        <v>5.4242827284818551</v>
      </c>
    </row>
    <row r="15" spans="1:29">
      <c r="A15" s="764" t="s">
        <v>1303</v>
      </c>
      <c r="B15" s="1309" t="str">
        <f>IFERROR((('T48, T49'!B15/'T48, T49'!A15)-1)*100,"-")</f>
        <v>-</v>
      </c>
      <c r="C15" s="1353">
        <f>IFERROR((('T48, T49'!C15/'T48, T49'!B15)-1)*100,"-")</f>
        <v>9.1776591209504552</v>
      </c>
      <c r="D15" s="1353">
        <f>IFERROR((('T48, T49'!D15/'T48, T49'!C15)-1)*100,"-")</f>
        <v>-14.285586372377479</v>
      </c>
      <c r="E15" s="1353">
        <f>IFERROR((('T48, T49'!E15/'T48, T49'!D15)-1)*100,"-")</f>
        <v>14.624575779099679</v>
      </c>
      <c r="F15" s="1353">
        <f>IFERROR((('T48, T49'!F15/'T48, T49'!E15)-1)*100,"-")</f>
        <v>12.588134059168166</v>
      </c>
      <c r="G15" s="1353">
        <f>IFERROR((('T48, T49'!G15/'T48, T49'!F15)-1)*100,"-")</f>
        <v>8.6310949500753242</v>
      </c>
      <c r="H15" s="1353">
        <f>IFERROR((('T48, T49'!H15/'T48, T49'!G15)-1)*100,"-")</f>
        <v>14.846989372474706</v>
      </c>
      <c r="I15" s="1353">
        <f>IFERROR((('T48, T49'!I15/'T48, T49'!H15)-1)*100,"-")</f>
        <v>-3.0499263832884038</v>
      </c>
      <c r="J15" s="1353">
        <f>IFERROR((('T48, T49'!J15/'T48, T49'!I15)-1)*100,"-")</f>
        <v>13.87878787878789</v>
      </c>
      <c r="K15" s="1353">
        <f>IFERROR((('T48, T49'!K15/'T48, T49'!J15)-1)*100,"-")</f>
        <v>0</v>
      </c>
      <c r="L15" s="1353">
        <f>IFERROR((('T48, T49'!L15/'T48, T49'!K15)-1)*100,"-")</f>
        <v>0</v>
      </c>
      <c r="N15" s="764" t="s">
        <v>1303</v>
      </c>
      <c r="O15" s="1309" t="s">
        <v>1</v>
      </c>
      <c r="P15" s="1353">
        <v>9.1776591209504552</v>
      </c>
      <c r="Q15" s="1353">
        <v>-14.285586372377479</v>
      </c>
      <c r="R15" s="1353">
        <v>14.624575779099679</v>
      </c>
      <c r="S15" s="1353">
        <v>12.588134059168166</v>
      </c>
      <c r="T15" s="1353">
        <v>8.6310949500753242</v>
      </c>
      <c r="U15" s="1353">
        <v>14.846989372474706</v>
      </c>
      <c r="V15" s="1353">
        <v>-3.0499263832884038</v>
      </c>
      <c r="W15" s="1353">
        <v>13.87878787878789</v>
      </c>
      <c r="X15" s="1353">
        <v>0</v>
      </c>
      <c r="Y15" s="1353">
        <v>0</v>
      </c>
    </row>
    <row r="16" spans="1:29">
      <c r="A16" s="764" t="s">
        <v>1302</v>
      </c>
      <c r="B16" s="1309" t="str">
        <f>IFERROR((('T48, T49'!B16/'T48, T49'!A16)-1)*100,"-")</f>
        <v>-</v>
      </c>
      <c r="C16" s="1353">
        <f>IFERROR((('T48, T49'!C16/'T48, T49'!B16)-1)*100,"-")</f>
        <v>-10.232295609893271</v>
      </c>
      <c r="D16" s="1353">
        <f>IFERROR((('T48, T49'!D16/'T48, T49'!C16)-1)*100,"-")</f>
        <v>3.5686480377717489</v>
      </c>
      <c r="E16" s="1353">
        <f>IFERROR((('T48, T49'!E16/'T48, T49'!D16)-1)*100,"-")</f>
        <v>0.9563305783213627</v>
      </c>
      <c r="F16" s="1353">
        <f>IFERROR((('T48, T49'!F16/'T48, T49'!E16)-1)*100,"-")</f>
        <v>-0.73145364591874484</v>
      </c>
      <c r="G16" s="1353">
        <f>IFERROR((('T48, T49'!G16/'T48, T49'!F16)-1)*100,"-")</f>
        <v>-0.65081974186103064</v>
      </c>
      <c r="H16" s="1353">
        <f>IFERROR((('T48, T49'!H16/'T48, T49'!G16)-1)*100,"-")</f>
        <v>7.9247368194641732</v>
      </c>
      <c r="I16" s="1353">
        <f>IFERROR((('T48, T49'!I16/'T48, T49'!H16)-1)*100,"-")</f>
        <v>14.977289032142348</v>
      </c>
      <c r="J16" s="1353">
        <f>IFERROR((('T48, T49'!J16/'T48, T49'!I16)-1)*100,"-")</f>
        <v>13.496482857142844</v>
      </c>
      <c r="K16" s="1353">
        <f>IFERROR((('T48, T49'!K16/'T48, T49'!J16)-1)*100,"-")</f>
        <v>6.2445257900880513</v>
      </c>
      <c r="L16" s="1353">
        <f>IFERROR((('T48, T49'!L16/'T48, T49'!K16)-1)*100,"-")</f>
        <v>7.1885278121936791</v>
      </c>
      <c r="N16" s="764" t="s">
        <v>1302</v>
      </c>
      <c r="O16" s="1309" t="s">
        <v>1</v>
      </c>
      <c r="P16" s="1353">
        <v>-10.232295609893271</v>
      </c>
      <c r="Q16" s="1353">
        <v>3.5686480377717489</v>
      </c>
      <c r="R16" s="1353">
        <v>0.9563305783213627</v>
      </c>
      <c r="S16" s="1353">
        <v>-0.73145364591874484</v>
      </c>
      <c r="T16" s="1353">
        <v>-0.65081974186103064</v>
      </c>
      <c r="U16" s="1353">
        <v>7.9247368194641732</v>
      </c>
      <c r="V16" s="1353">
        <v>14.977289032142348</v>
      </c>
      <c r="W16" s="1353">
        <v>13.496482857142844</v>
      </c>
      <c r="X16" s="1353">
        <v>6.2445257900880513</v>
      </c>
      <c r="Y16" s="1353">
        <v>7.1885278121936791</v>
      </c>
    </row>
    <row r="17" spans="1:25">
      <c r="A17" s="764" t="s">
        <v>1301</v>
      </c>
      <c r="B17" s="1309" t="str">
        <f>IFERROR((('T48, T49'!B17/'T48, T49'!A17)-1)*100,"-")</f>
        <v>-</v>
      </c>
      <c r="C17" s="1353" t="str">
        <f>IFERROR((('T48, T49'!C17/'T48, T49'!B17)-1)*100,"-")</f>
        <v>-</v>
      </c>
      <c r="D17" s="1353" t="str">
        <f>IFERROR((('T48, T49'!D17/'T48, T49'!C17)-1)*100,"-")</f>
        <v>-</v>
      </c>
      <c r="E17" s="1353" t="str">
        <f>IFERROR((('T48, T49'!E17/'T48, T49'!D17)-1)*100,"-")</f>
        <v>-</v>
      </c>
      <c r="F17" s="1353">
        <f>IFERROR((('T48, T49'!F17/'T48, T49'!E17)-1)*100,"-")</f>
        <v>4.9394739540494559</v>
      </c>
      <c r="G17" s="1353">
        <f>IFERROR((('T48, T49'!G17/'T48, T49'!F17)-1)*100,"-")</f>
        <v>610.22832912001479</v>
      </c>
      <c r="H17" s="1353">
        <f>IFERROR((('T48, T49'!H17/'T48, T49'!G17)-1)*100,"-")</f>
        <v>-11.126022852243288</v>
      </c>
      <c r="I17" s="1353">
        <f>IFERROR((('T48, T49'!I17/'T48, T49'!H17)-1)*100,"-")</f>
        <v>35.358640939597329</v>
      </c>
      <c r="J17" s="1353">
        <f>IFERROR((('T48, T49'!J17/'T48, T49'!I17)-1)*100,"-")</f>
        <v>-14.252588325748006</v>
      </c>
      <c r="K17" s="1353">
        <f>IFERROR((('T48, T49'!K17/'T48, T49'!J17)-1)*100,"-")</f>
        <v>7.5721859207969366</v>
      </c>
      <c r="L17" s="1353">
        <f>IFERROR((('T48, T49'!L17/'T48, T49'!K17)-1)*100,"-")</f>
        <v>2.9172639425192548</v>
      </c>
      <c r="N17" s="764" t="s">
        <v>1301</v>
      </c>
      <c r="O17" s="1309" t="s">
        <v>1</v>
      </c>
      <c r="P17" s="1353" t="s">
        <v>1</v>
      </c>
      <c r="Q17" s="1353" t="s">
        <v>1</v>
      </c>
      <c r="R17" s="1353" t="s">
        <v>1</v>
      </c>
      <c r="S17" s="1353">
        <v>4.9394739540494559</v>
      </c>
      <c r="T17" s="1353">
        <v>610.22832912001479</v>
      </c>
      <c r="U17" s="1353">
        <v>-11.126022852243288</v>
      </c>
      <c r="V17" s="1353">
        <v>35.358640939597329</v>
      </c>
      <c r="W17" s="1353">
        <v>-14.252588325748006</v>
      </c>
      <c r="X17" s="1353">
        <v>7.5721859207969366</v>
      </c>
      <c r="Y17" s="1353">
        <v>2.9172639425192548</v>
      </c>
    </row>
    <row r="18" spans="1:25">
      <c r="A18" s="764" t="s">
        <v>1300</v>
      </c>
      <c r="B18" s="1309" t="str">
        <f>IFERROR((('T48, T49'!B18/'T48, T49'!A18)-1)*100,"-")</f>
        <v>-</v>
      </c>
      <c r="C18" s="1353">
        <f>IFERROR((('T48, T49'!C18/'T48, T49'!B18)-1)*100,"-")</f>
        <v>1.4173571740078383</v>
      </c>
      <c r="D18" s="1353">
        <f>IFERROR((('T48, T49'!D18/'T48, T49'!C18)-1)*100,"-")</f>
        <v>4.0206407224252949</v>
      </c>
      <c r="E18" s="1353">
        <f>IFERROR((('T48, T49'!E18/'T48, T49'!D18)-1)*100,"-")</f>
        <v>-47.395618023976851</v>
      </c>
      <c r="F18" s="1353">
        <f>IFERROR((('T48, T49'!F18/'T48, T49'!E18)-1)*100,"-")</f>
        <v>-100</v>
      </c>
      <c r="G18" s="1353" t="str">
        <f>IFERROR((('T48, T49'!G18/'T48, T49'!F18)-1)*100,"-")</f>
        <v>-</v>
      </c>
      <c r="H18" s="1353">
        <f>IFERROR((('T48, T49'!H18/'T48, T49'!G18)-1)*100,"-")</f>
        <v>-73.422922459067024</v>
      </c>
      <c r="I18" s="1353">
        <f>IFERROR((('T48, T49'!I18/'T48, T49'!H18)-1)*100,"-")</f>
        <v>-1.4297338137858828</v>
      </c>
      <c r="J18" s="1353">
        <f>IFERROR((('T48, T49'!J18/'T48, T49'!I18)-1)*100,"-")</f>
        <v>3.7735849056603765</v>
      </c>
      <c r="K18" s="1353">
        <f>IFERROR((('T48, T49'!K18/'T48, T49'!J18)-1)*100,"-")</f>
        <v>3.9431818181818068</v>
      </c>
      <c r="L18" s="1353">
        <f>IFERROR((('T48, T49'!L18/'T48, T49'!K18)-1)*100,"-")</f>
        <v>0</v>
      </c>
      <c r="N18" s="764" t="s">
        <v>1300</v>
      </c>
      <c r="O18" s="1309" t="s">
        <v>1</v>
      </c>
      <c r="P18" s="1353">
        <v>1.4173571740078383</v>
      </c>
      <c r="Q18" s="1353">
        <v>4.0206407224252949</v>
      </c>
      <c r="R18" s="1353">
        <v>-47.395618023976851</v>
      </c>
      <c r="S18" s="1353">
        <v>-100</v>
      </c>
      <c r="T18" s="1353" t="s">
        <v>1</v>
      </c>
      <c r="U18" s="1353">
        <v>-73.422922459067024</v>
      </c>
      <c r="V18" s="1353">
        <v>-1.4297338137858828</v>
      </c>
      <c r="W18" s="1353">
        <v>3.7735849056603765</v>
      </c>
      <c r="X18" s="1353">
        <v>3.9431818181818068</v>
      </c>
      <c r="Y18" s="1353">
        <v>0</v>
      </c>
    </row>
    <row r="19" spans="1:25">
      <c r="A19" s="764" t="s">
        <v>1299</v>
      </c>
      <c r="B19" s="1309" t="str">
        <f>IFERROR((('T48, T49'!B19/'T48, T49'!A19)-1)*100,"-")</f>
        <v>-</v>
      </c>
      <c r="C19" s="1353" t="str">
        <f>IFERROR((('T48, T49'!C19/'T48, T49'!B19)-1)*100,"-")</f>
        <v>-</v>
      </c>
      <c r="D19" s="1353" t="str">
        <f>IFERROR((('T48, T49'!D19/'T48, T49'!C19)-1)*100,"-")</f>
        <v>-</v>
      </c>
      <c r="E19" s="1353" t="str">
        <f>IFERROR((('T48, T49'!E19/'T48, T49'!D19)-1)*100,"-")</f>
        <v>-</v>
      </c>
      <c r="F19" s="1353" t="str">
        <f>IFERROR((('T48, T49'!F19/'T48, T49'!E19)-1)*100,"-")</f>
        <v>-</v>
      </c>
      <c r="G19" s="1353" t="str">
        <f>IFERROR((('T48, T49'!G19/'T48, T49'!F19)-1)*100,"-")</f>
        <v>-</v>
      </c>
      <c r="H19" s="1353" t="str">
        <f>IFERROR((('T48, T49'!H19/'T48, T49'!G19)-1)*100,"-")</f>
        <v>-</v>
      </c>
      <c r="I19" s="1353">
        <f>IFERROR((('T48, T49'!I19/'T48, T49'!H19)-1)*100,"-")</f>
        <v>-71.351835273052828</v>
      </c>
      <c r="J19" s="1353">
        <f>IFERROR((('T48, T49'!J19/'T48, T49'!I19)-1)*100,"-")</f>
        <v>0</v>
      </c>
      <c r="K19" s="1353">
        <f>IFERROR((('T48, T49'!K19/'T48, T49'!J19)-1)*100,"-")</f>
        <v>0</v>
      </c>
      <c r="L19" s="1353">
        <f>IFERROR((('T48, T49'!L19/'T48, T49'!K19)-1)*100,"-")</f>
        <v>0</v>
      </c>
      <c r="N19" s="764" t="s">
        <v>1299</v>
      </c>
      <c r="O19" s="1309" t="s">
        <v>1</v>
      </c>
      <c r="P19" s="1353" t="s">
        <v>1</v>
      </c>
      <c r="Q19" s="1353" t="s">
        <v>1</v>
      </c>
      <c r="R19" s="1353" t="s">
        <v>1</v>
      </c>
      <c r="S19" s="1353" t="s">
        <v>1</v>
      </c>
      <c r="T19" s="1353" t="s">
        <v>1</v>
      </c>
      <c r="U19" s="1353" t="s">
        <v>1</v>
      </c>
      <c r="V19" s="1353">
        <v>-71.351835273052828</v>
      </c>
      <c r="W19" s="1353">
        <v>0</v>
      </c>
      <c r="X19" s="1353">
        <v>0</v>
      </c>
      <c r="Y19" s="1353">
        <v>0</v>
      </c>
    </row>
    <row r="20" spans="1:25">
      <c r="A20" s="764" t="s">
        <v>1298</v>
      </c>
      <c r="B20" s="1309" t="str">
        <f>IFERROR((('T48, T49'!B20/'T48, T49'!A20)-1)*100,"-")</f>
        <v>-</v>
      </c>
      <c r="C20" s="1353" t="str">
        <f>IFERROR((('T48, T49'!C20/'T48, T49'!B20)-1)*100,"-")</f>
        <v>-</v>
      </c>
      <c r="D20" s="1353" t="str">
        <f>IFERROR((('T48, T49'!D20/'T48, T49'!C20)-1)*100,"-")</f>
        <v>-</v>
      </c>
      <c r="E20" s="1353" t="str">
        <f>IFERROR((('T48, T49'!E20/'T48, T49'!D20)-1)*100,"-")</f>
        <v>-</v>
      </c>
      <c r="F20" s="1353" t="str">
        <f>IFERROR((('T48, T49'!F20/'T48, T49'!E20)-1)*100,"-")</f>
        <v>-</v>
      </c>
      <c r="G20" s="1353">
        <f>IFERROR((('T48, T49'!G20/'T48, T49'!F20)-1)*100,"-")</f>
        <v>1216.9203564257027</v>
      </c>
      <c r="H20" s="1353">
        <f>IFERROR((('T48, T49'!H20/'T48, T49'!G20)-1)*100,"-")</f>
        <v>7.5519828639087017</v>
      </c>
      <c r="I20" s="1353">
        <f>IFERROR((('T48, T49'!I20/'T48, T49'!H20)-1)*100,"-")</f>
        <v>-3.8160585100949884</v>
      </c>
      <c r="J20" s="1353">
        <f>IFERROR((('T48, T49'!J20/'T48, T49'!I20)-1)*100,"-")</f>
        <v>122.62551819438046</v>
      </c>
      <c r="K20" s="1353">
        <f>IFERROR((('T48, T49'!K20/'T48, T49'!J20)-1)*100,"-")</f>
        <v>3.7714143838450731</v>
      </c>
      <c r="L20" s="1353">
        <f>IFERROR((('T48, T49'!L20/'T48, T49'!K20)-1)*100,"-")</f>
        <v>4.5084418639890878</v>
      </c>
      <c r="N20" s="764" t="s">
        <v>1298</v>
      </c>
      <c r="O20" s="1309" t="s">
        <v>1</v>
      </c>
      <c r="P20" s="1353" t="s">
        <v>1</v>
      </c>
      <c r="Q20" s="1353" t="s">
        <v>1</v>
      </c>
      <c r="R20" s="1353" t="s">
        <v>1</v>
      </c>
      <c r="S20" s="1353" t="s">
        <v>1</v>
      </c>
      <c r="T20" s="1353">
        <v>1216.9203564257027</v>
      </c>
      <c r="U20" s="1353">
        <v>7.5519828639087017</v>
      </c>
      <c r="V20" s="1353">
        <v>-3.8160585100949884</v>
      </c>
      <c r="W20" s="1353">
        <v>122.62551819438046</v>
      </c>
      <c r="X20" s="1353">
        <v>3.7714143838450731</v>
      </c>
      <c r="Y20" s="1353">
        <v>4.5084418639890878</v>
      </c>
    </row>
    <row r="21" spans="1:25">
      <c r="A21" s="764" t="s">
        <v>1285</v>
      </c>
      <c r="B21" s="1309" t="str">
        <f>IFERROR((('T48, T49'!B21/'T48, T49'!A21)-1)*100,"-")</f>
        <v>-</v>
      </c>
      <c r="C21" s="1353">
        <f>IFERROR((('T48, T49'!C21/'T48, T49'!B21)-1)*100,"-")</f>
        <v>-0.19114505297674889</v>
      </c>
      <c r="D21" s="1353">
        <f>IFERROR((('T48, T49'!D21/'T48, T49'!C21)-1)*100,"-")</f>
        <v>-1.0253873657524837</v>
      </c>
      <c r="E21" s="1353">
        <f>IFERROR((('T48, T49'!E21/'T48, T49'!D21)-1)*100,"-")</f>
        <v>-0.39562630499516693</v>
      </c>
      <c r="F21" s="1353">
        <f>IFERROR((('T48, T49'!F21/'T48, T49'!E21)-1)*100,"-")</f>
        <v>29.541592779236268</v>
      </c>
      <c r="G21" s="1353">
        <f>IFERROR((('T48, T49'!G21/'T48, T49'!F21)-1)*100,"-")</f>
        <v>8.2862634325395526</v>
      </c>
      <c r="H21" s="1353">
        <f>IFERROR((('T48, T49'!H21/'T48, T49'!G21)-1)*100,"-")</f>
        <v>-5.1234888414259272</v>
      </c>
      <c r="I21" s="1353">
        <f>IFERROR((('T48, T49'!I21/'T48, T49'!H21)-1)*100,"-")</f>
        <v>12.855655620753792</v>
      </c>
      <c r="J21" s="1353">
        <f>IFERROR((('T48, T49'!J21/'T48, T49'!I21)-1)*100,"-")</f>
        <v>0.93456529027808877</v>
      </c>
      <c r="K21" s="1353">
        <f>IFERROR((('T48, T49'!K21/'T48, T49'!J21)-1)*100,"-")</f>
        <v>-0.16582638148956441</v>
      </c>
      <c r="L21" s="1353">
        <f>IFERROR((('T48, T49'!L21/'T48, T49'!K21)-1)*100,"-")</f>
        <v>-1.1348065774074989E-2</v>
      </c>
      <c r="N21" s="764" t="s">
        <v>1285</v>
      </c>
      <c r="O21" s="1309" t="s">
        <v>1</v>
      </c>
      <c r="P21" s="1353">
        <v>-0.19114505297674889</v>
      </c>
      <c r="Q21" s="1353">
        <v>-1.0253873657524837</v>
      </c>
      <c r="R21" s="1353">
        <v>-0.39562630499516693</v>
      </c>
      <c r="S21" s="1353">
        <v>29.541592779236268</v>
      </c>
      <c r="T21" s="1353">
        <v>8.2862634325395526</v>
      </c>
      <c r="U21" s="1353">
        <v>-5.1234888414259272</v>
      </c>
      <c r="V21" s="1353">
        <v>12.855655620753792</v>
      </c>
      <c r="W21" s="1353">
        <v>0.93456529027808877</v>
      </c>
      <c r="X21" s="1353">
        <v>-0.16582638148956441</v>
      </c>
      <c r="Y21" s="1353">
        <v>-1.1348065774074989E-2</v>
      </c>
    </row>
    <row r="22" spans="1:25">
      <c r="A22" s="1349" t="s">
        <v>900</v>
      </c>
      <c r="B22" s="1350" t="str">
        <f>IFERROR((('T48, T49'!B22/'T48, T49'!A22)-1)*100,"-")</f>
        <v>-</v>
      </c>
      <c r="C22" s="1360">
        <f>IFERROR((('T48, T49'!C22/'T48, T49'!B22)-1)*100,"-")</f>
        <v>1.9625931746960701</v>
      </c>
      <c r="D22" s="1360">
        <f>IFERROR((('T48, T49'!D22/'T48, T49'!C22)-1)*100,"-")</f>
        <v>6.3319719489586923</v>
      </c>
      <c r="E22" s="1360">
        <f>IFERROR((('T48, T49'!E22/'T48, T49'!D22)-1)*100,"-")</f>
        <v>4.302554701217165</v>
      </c>
      <c r="F22" s="1360">
        <f>IFERROR((('T48, T49'!F22/'T48, T49'!E22)-1)*100,"-")</f>
        <v>11.511484615038924</v>
      </c>
      <c r="G22" s="1360">
        <f>IFERROR((('T48, T49'!G22/'T48, T49'!F22)-1)*100,"-")</f>
        <v>10.44007486664591</v>
      </c>
      <c r="H22" s="1360">
        <f>IFERROR((('T48, T49'!H22/'T48, T49'!G22)-1)*100,"-")</f>
        <v>11.878295624016278</v>
      </c>
      <c r="I22" s="1360">
        <f>IFERROR((('T48, T49'!I22/'T48, T49'!H22)-1)*100,"-")</f>
        <v>7.4111993715563429</v>
      </c>
      <c r="J22" s="1360">
        <f>IFERROR((('T48, T49'!J22/'T48, T49'!I22)-1)*100,"-")</f>
        <v>3.7079064712557397</v>
      </c>
      <c r="K22" s="1360">
        <f>IFERROR((('T48, T49'!K22/'T48, T49'!J22)-1)*100,"-")</f>
        <v>6.9287552589807344</v>
      </c>
      <c r="L22" s="1360">
        <f>IFERROR((('T48, T49'!L22/'T48, T49'!K22)-1)*100,"-")</f>
        <v>6.3673704691215693</v>
      </c>
      <c r="N22" s="1349" t="s">
        <v>900</v>
      </c>
      <c r="O22" s="1350" t="s">
        <v>1</v>
      </c>
      <c r="P22" s="1360">
        <v>1.9625931746960701</v>
      </c>
      <c r="Q22" s="1360">
        <v>6.3319719489586923</v>
      </c>
      <c r="R22" s="1360">
        <v>4.302554701217165</v>
      </c>
      <c r="S22" s="1360">
        <v>11.511484615038924</v>
      </c>
      <c r="T22" s="1360">
        <v>10.44007486664591</v>
      </c>
      <c r="U22" s="1360">
        <v>11.878295624016278</v>
      </c>
      <c r="V22" s="1360">
        <v>7.4111993715563429</v>
      </c>
      <c r="W22" s="1360">
        <v>3.7079064712557397</v>
      </c>
      <c r="X22" s="1360">
        <v>6.9287552589807344</v>
      </c>
      <c r="Y22" s="1360">
        <v>6.3673704691215693</v>
      </c>
    </row>
    <row r="23" spans="1:25">
      <c r="A23" s="764" t="s">
        <v>1297</v>
      </c>
      <c r="B23" s="1309" t="str">
        <f>IFERROR((('T48, T49'!B23/'T48, T49'!A23)-1)*100,"-")</f>
        <v>-</v>
      </c>
      <c r="C23" s="1353">
        <f>IFERROR((('T48, T49'!C23/'T48, T49'!B23)-1)*100,"-")</f>
        <v>3.268097880255727E-2</v>
      </c>
      <c r="D23" s="1353">
        <f>IFERROR((('T48, T49'!D23/'T48, T49'!C23)-1)*100,"-")</f>
        <v>11.737971183762363</v>
      </c>
      <c r="E23" s="1353">
        <f>IFERROR((('T48, T49'!E23/'T48, T49'!D23)-1)*100,"-")</f>
        <v>6.4596679880399632</v>
      </c>
      <c r="F23" s="1353">
        <f>IFERROR((('T48, T49'!F23/'T48, T49'!E23)-1)*100,"-")</f>
        <v>0.77985411971661645</v>
      </c>
      <c r="G23" s="1353">
        <f>IFERROR((('T48, T49'!G23/'T48, T49'!F23)-1)*100,"-")</f>
        <v>6.0471922572493675</v>
      </c>
      <c r="H23" s="1353">
        <f>IFERROR((('T48, T49'!H23/'T48, T49'!G23)-1)*100,"-")</f>
        <v>8.3200149367174792</v>
      </c>
      <c r="I23" s="1353">
        <f>IFERROR((('T48, T49'!I23/'T48, T49'!H23)-1)*100,"-")</f>
        <v>7.6539077837060043</v>
      </c>
      <c r="J23" s="1353">
        <f>IFERROR((('T48, T49'!J23/'T48, T49'!I23)-1)*100,"-")</f>
        <v>6.1112011549058876</v>
      </c>
      <c r="K23" s="1353">
        <f>IFERROR((('T48, T49'!K23/'T48, T49'!J23)-1)*100,"-")</f>
        <v>6.5410445295865705</v>
      </c>
      <c r="L23" s="1353">
        <f>IFERROR((('T48, T49'!L23/'T48, T49'!K23)-1)*100,"-")</f>
        <v>6.8333542826449989</v>
      </c>
      <c r="N23" s="764" t="s">
        <v>1297</v>
      </c>
      <c r="O23" s="1309" t="s">
        <v>1</v>
      </c>
      <c r="P23" s="1353">
        <v>3.268097880255727E-2</v>
      </c>
      <c r="Q23" s="1353">
        <v>11.737971183762363</v>
      </c>
      <c r="R23" s="1353">
        <v>6.4596679880399632</v>
      </c>
      <c r="S23" s="1353">
        <v>0.77985411971661645</v>
      </c>
      <c r="T23" s="1353">
        <v>6.0471922572493675</v>
      </c>
      <c r="U23" s="1353">
        <v>8.3200149367174792</v>
      </c>
      <c r="V23" s="1353">
        <v>7.6539077837060043</v>
      </c>
      <c r="W23" s="1353">
        <v>6.1112011549058876</v>
      </c>
      <c r="X23" s="1353">
        <v>6.5410445295865705</v>
      </c>
      <c r="Y23" s="1353">
        <v>6.8333542826449989</v>
      </c>
    </row>
    <row r="24" spans="1:25">
      <c r="A24" s="764" t="s">
        <v>1296</v>
      </c>
      <c r="B24" s="1309" t="str">
        <f>IFERROR((('T48, T49'!B24/'T48, T49'!A24)-1)*100,"-")</f>
        <v>-</v>
      </c>
      <c r="C24" s="1353">
        <f>IFERROR((('T48, T49'!C24/'T48, T49'!B24)-1)*100,"-")</f>
        <v>4.8704718910278721</v>
      </c>
      <c r="D24" s="1353">
        <f>IFERROR((('T48, T49'!D24/'T48, T49'!C24)-1)*100,"-")</f>
        <v>2.9531629690193739E-2</v>
      </c>
      <c r="E24" s="1353">
        <f>IFERROR((('T48, T49'!E24/'T48, T49'!D24)-1)*100,"-")</f>
        <v>0.66172520545637603</v>
      </c>
      <c r="F24" s="1353">
        <f>IFERROR((('T48, T49'!F24/'T48, T49'!E24)-1)*100,"-")</f>
        <v>22.535683622463853</v>
      </c>
      <c r="G24" s="1353">
        <f>IFERROR((('T48, T49'!G24/'T48, T49'!F24)-1)*100,"-")</f>
        <v>15.45432948594414</v>
      </c>
      <c r="H24" s="1353">
        <f>IFERROR((('T48, T49'!H24/'T48, T49'!G24)-1)*100,"-")</f>
        <v>21.002414107633527</v>
      </c>
      <c r="I24" s="1353">
        <f>IFERROR((('T48, T49'!I24/'T48, T49'!H24)-1)*100,"-")</f>
        <v>7.37559440559441</v>
      </c>
      <c r="J24" s="1353">
        <f>IFERROR((('T48, T49'!J24/'T48, T49'!I24)-1)*100,"-")</f>
        <v>-2.1464749252835147</v>
      </c>
      <c r="K24" s="1353">
        <f>IFERROR((('T48, T49'!K24/'T48, T49'!J24)-1)*100,"-")</f>
        <v>6.2000149749170008</v>
      </c>
      <c r="L24" s="1353">
        <f>IFERROR((('T48, T49'!L24/'T48, T49'!K24)-1)*100,"-")</f>
        <v>8.6553378724967054</v>
      </c>
      <c r="N24" s="764" t="s">
        <v>1296</v>
      </c>
      <c r="O24" s="1309" t="s">
        <v>1</v>
      </c>
      <c r="P24" s="1353">
        <v>4.8704718910278721</v>
      </c>
      <c r="Q24" s="1353">
        <v>2.9531629690193739E-2</v>
      </c>
      <c r="R24" s="1353">
        <v>0.66172520545637603</v>
      </c>
      <c r="S24" s="1353">
        <v>22.535683622463853</v>
      </c>
      <c r="T24" s="1353">
        <v>15.45432948594414</v>
      </c>
      <c r="U24" s="1353">
        <v>21.002414107633527</v>
      </c>
      <c r="V24" s="1353">
        <v>7.37559440559441</v>
      </c>
      <c r="W24" s="1353">
        <v>-2.1464749252835147</v>
      </c>
      <c r="X24" s="1353">
        <v>6.2000149749170008</v>
      </c>
      <c r="Y24" s="1353">
        <v>8.6553378724967054</v>
      </c>
    </row>
    <row r="25" spans="1:25">
      <c r="A25" s="764" t="s">
        <v>1295</v>
      </c>
      <c r="B25" s="1309" t="str">
        <f>IFERROR((('T48, T49'!B25/'T48, T49'!A25)-1)*100,"-")</f>
        <v>-</v>
      </c>
      <c r="C25" s="1353">
        <f>IFERROR((('T48, T49'!C25/'T48, T49'!B25)-1)*100,"-")</f>
        <v>-2.1973806082999814</v>
      </c>
      <c r="D25" s="1353">
        <f>IFERROR((('T48, T49'!D25/'T48, T49'!C25)-1)*100,"-")</f>
        <v>-5.9948525578286453</v>
      </c>
      <c r="E25" s="1353">
        <f>IFERROR((('T48, T49'!E25/'T48, T49'!D25)-1)*100,"-")</f>
        <v>16.720921596522853</v>
      </c>
      <c r="F25" s="1353">
        <f>IFERROR((('T48, T49'!F25/'T48, T49'!E25)-1)*100,"-")</f>
        <v>6.3656853959085824</v>
      </c>
      <c r="G25" s="1353">
        <f>IFERROR((('T48, T49'!G25/'T48, T49'!F25)-1)*100,"-")</f>
        <v>-1.531844647321956</v>
      </c>
      <c r="H25" s="1353">
        <f>IFERROR((('T48, T49'!H25/'T48, T49'!G25)-1)*100,"-")</f>
        <v>-7.4581631110224533</v>
      </c>
      <c r="I25" s="1353">
        <f>IFERROR((('T48, T49'!I25/'T48, T49'!H25)-1)*100,"-")</f>
        <v>7.7815487071938971</v>
      </c>
      <c r="J25" s="1353">
        <f>IFERROR((('T48, T49'!J25/'T48, T49'!I25)-1)*100,"-")</f>
        <v>8.8270498422207133</v>
      </c>
      <c r="K25" s="1353">
        <f>IFERROR((('T48, T49'!K25/'T48, T49'!J25)-1)*100,"-")</f>
        <v>37.479476276680842</v>
      </c>
      <c r="L25" s="1353">
        <f>IFERROR((('T48, T49'!L25/'T48, T49'!K25)-1)*100,"-")</f>
        <v>2.8919324462953977</v>
      </c>
      <c r="N25" s="764" t="s">
        <v>1295</v>
      </c>
      <c r="O25" s="1309" t="s">
        <v>1</v>
      </c>
      <c r="P25" s="1353">
        <v>-2.1973806082999814</v>
      </c>
      <c r="Q25" s="1353">
        <v>-5.9948525578286453</v>
      </c>
      <c r="R25" s="1353">
        <v>16.720921596522853</v>
      </c>
      <c r="S25" s="1353">
        <v>6.3656853959085824</v>
      </c>
      <c r="T25" s="1353">
        <v>-1.531844647321956</v>
      </c>
      <c r="U25" s="1353">
        <v>-7.4581631110224533</v>
      </c>
      <c r="V25" s="1353">
        <v>7.7815487071938971</v>
      </c>
      <c r="W25" s="1353">
        <v>8.8270498422207133</v>
      </c>
      <c r="X25" s="1353">
        <v>37.479476276680842</v>
      </c>
      <c r="Y25" s="1353">
        <v>2.8919324462953977</v>
      </c>
    </row>
    <row r="26" spans="1:25">
      <c r="A26" s="764" t="s">
        <v>1294</v>
      </c>
      <c r="B26" s="1309" t="str">
        <f>IFERROR((('T48, T49'!B26/'T48, T49'!A26)-1)*100,"-")</f>
        <v>-</v>
      </c>
      <c r="C26" s="1353">
        <f>IFERROR((('T48, T49'!C26/'T48, T49'!B26)-1)*100,"-")</f>
        <v>4.5012411992195744</v>
      </c>
      <c r="D26" s="1353">
        <f>IFERROR((('T48, T49'!D26/'T48, T49'!C26)-1)*100,"-")</f>
        <v>3.1094845427066531</v>
      </c>
      <c r="E26" s="1353">
        <f>IFERROR((('T48, T49'!E26/'T48, T49'!D26)-1)*100,"-")</f>
        <v>10.895294228410979</v>
      </c>
      <c r="F26" s="1353">
        <f>IFERROR((('T48, T49'!F26/'T48, T49'!E26)-1)*100,"-")</f>
        <v>4.043586011518463</v>
      </c>
      <c r="G26" s="1353">
        <f>IFERROR((('T48, T49'!G26/'T48, T49'!F26)-1)*100,"-")</f>
        <v>1.1560510714305083</v>
      </c>
      <c r="H26" s="1353">
        <f>IFERROR((('T48, T49'!H26/'T48, T49'!G26)-1)*100,"-")</f>
        <v>1.1236211617928094</v>
      </c>
      <c r="I26" s="1353">
        <f>IFERROR((('T48, T49'!I26/'T48, T49'!H26)-1)*100,"-")</f>
        <v>2.2961589914481273</v>
      </c>
      <c r="J26" s="1353">
        <f>IFERROR((('T48, T49'!J26/'T48, T49'!I26)-1)*100,"-")</f>
        <v>1.8048592131380881</v>
      </c>
      <c r="K26" s="1353">
        <f>IFERROR((('T48, T49'!K26/'T48, T49'!J26)-1)*100,"-")</f>
        <v>1.7124129940706778</v>
      </c>
      <c r="L26" s="1353">
        <f>IFERROR((('T48, T49'!L26/'T48, T49'!K26)-1)*100,"-")</f>
        <v>1.900039620574745</v>
      </c>
      <c r="N26" s="764" t="s">
        <v>1294</v>
      </c>
      <c r="O26" s="1309" t="s">
        <v>1</v>
      </c>
      <c r="P26" s="1353">
        <v>4.5012411992195744</v>
      </c>
      <c r="Q26" s="1353">
        <v>3.1094845427066531</v>
      </c>
      <c r="R26" s="1353">
        <v>10.895294228410979</v>
      </c>
      <c r="S26" s="1353">
        <v>4.043586011518463</v>
      </c>
      <c r="T26" s="1353">
        <v>1.1560510714305083</v>
      </c>
      <c r="U26" s="1353">
        <v>1.1236211617928094</v>
      </c>
      <c r="V26" s="1353">
        <v>2.2961589914481273</v>
      </c>
      <c r="W26" s="1353">
        <v>1.8048592131380881</v>
      </c>
      <c r="X26" s="1353">
        <v>1.7124129940706778</v>
      </c>
      <c r="Y26" s="1353">
        <v>1.900039620574745</v>
      </c>
    </row>
    <row r="27" spans="1:25">
      <c r="A27" s="764" t="s">
        <v>1293</v>
      </c>
      <c r="B27" s="1309" t="str">
        <f>IFERROR((('T48, T49'!B27/'T48, T49'!A27)-1)*100,"-")</f>
        <v>-</v>
      </c>
      <c r="C27" s="1353">
        <f>IFERROR((('T48, T49'!C27/'T48, T49'!B27)-1)*100,"-")</f>
        <v>-1.6164032684392815</v>
      </c>
      <c r="D27" s="1353">
        <f>IFERROR((('T48, T49'!D27/'T48, T49'!C27)-1)*100,"-")</f>
        <v>-2.8660132291041696</v>
      </c>
      <c r="E27" s="1353">
        <f>IFERROR((('T48, T49'!E27/'T48, T49'!D27)-1)*100,"-")</f>
        <v>-2.0866985943693628</v>
      </c>
      <c r="F27" s="1353">
        <f>IFERROR((('T48, T49'!F27/'T48, T49'!E27)-1)*100,"-")</f>
        <v>-1.4542054305672791</v>
      </c>
      <c r="G27" s="1353">
        <f>IFERROR((('T48, T49'!G27/'T48, T49'!F27)-1)*100,"-")</f>
        <v>-0.27241979365030256</v>
      </c>
      <c r="H27" s="1353">
        <f>IFERROR((('T48, T49'!H27/'T48, T49'!G27)-1)*100,"-")</f>
        <v>5.7014961268109898</v>
      </c>
      <c r="I27" s="1353">
        <f>IFERROR((('T48, T49'!I27/'T48, T49'!H27)-1)*100,"-")</f>
        <v>4.5180952671797892</v>
      </c>
      <c r="J27" s="1353">
        <f>IFERROR((('T48, T49'!J27/'T48, T49'!I27)-1)*100,"-")</f>
        <v>-0.43395265970984642</v>
      </c>
      <c r="K27" s="1353">
        <f>IFERROR((('T48, T49'!K27/'T48, T49'!J27)-1)*100,"-")</f>
        <v>0</v>
      </c>
      <c r="L27" s="1353">
        <f>IFERROR((('T48, T49'!L27/'T48, T49'!K27)-1)*100,"-")</f>
        <v>0</v>
      </c>
      <c r="N27" s="764" t="s">
        <v>1293</v>
      </c>
      <c r="O27" s="1309" t="s">
        <v>1</v>
      </c>
      <c r="P27" s="1353">
        <v>-1.6164032684392815</v>
      </c>
      <c r="Q27" s="1353">
        <v>-2.8660132291041696</v>
      </c>
      <c r="R27" s="1353">
        <v>-2.0866985943693628</v>
      </c>
      <c r="S27" s="1353">
        <v>-1.4542054305672791</v>
      </c>
      <c r="T27" s="1353">
        <v>-0.27241979365030256</v>
      </c>
      <c r="U27" s="1353">
        <v>5.7014961268109898</v>
      </c>
      <c r="V27" s="1353">
        <v>4.5180952671797892</v>
      </c>
      <c r="W27" s="1353">
        <v>-0.43395265970984642</v>
      </c>
      <c r="X27" s="1353">
        <v>0</v>
      </c>
      <c r="Y27" s="1353">
        <v>0</v>
      </c>
    </row>
    <row r="28" spans="1:25">
      <c r="A28" s="764" t="s">
        <v>1292</v>
      </c>
      <c r="B28" s="1309" t="str">
        <f>IFERROR((('T48, T49'!B28/'T48, T49'!A28)-1)*100,"-")</f>
        <v>-</v>
      </c>
      <c r="C28" s="1353" t="str">
        <f>IFERROR((('T48, T49'!C28/'T48, T49'!B28)-1)*100,"-")</f>
        <v>-</v>
      </c>
      <c r="D28" s="1353" t="str">
        <f>IFERROR((('T48, T49'!D28/'T48, T49'!C28)-1)*100,"-")</f>
        <v>-</v>
      </c>
      <c r="E28" s="1353" t="str">
        <f>IFERROR((('T48, T49'!E28/'T48, T49'!D28)-1)*100,"-")</f>
        <v>-</v>
      </c>
      <c r="F28" s="1353">
        <f>IFERROR((('T48, T49'!F28/'T48, T49'!E28)-1)*100,"-")</f>
        <v>230.00393755307593</v>
      </c>
      <c r="G28" s="1353">
        <f>IFERROR((('T48, T49'!G28/'T48, T49'!F28)-1)*100,"-")</f>
        <v>40.443077206756172</v>
      </c>
      <c r="H28" s="1353">
        <f>IFERROR((('T48, T49'!H28/'T48, T49'!G28)-1)*100,"-")</f>
        <v>-35.850508991223982</v>
      </c>
      <c r="I28" s="1353">
        <f>IFERROR((('T48, T49'!I28/'T48, T49'!H28)-1)*100,"-")</f>
        <v>5.3003241895674513</v>
      </c>
      <c r="J28" s="1353">
        <f>IFERROR((('T48, T49'!J28/'T48, T49'!I28)-1)*100,"-")</f>
        <v>122.46987825136148</v>
      </c>
      <c r="K28" s="1353">
        <f>IFERROR((('T48, T49'!K28/'T48, T49'!J28)-1)*100,"-")</f>
        <v>2.8355387523629538</v>
      </c>
      <c r="L28" s="1353">
        <f>IFERROR((('T48, T49'!L28/'T48, T49'!K28)-1)*100,"-")</f>
        <v>-22.449448529411764</v>
      </c>
      <c r="N28" s="764" t="s">
        <v>1292</v>
      </c>
      <c r="O28" s="1309" t="s">
        <v>1</v>
      </c>
      <c r="P28" s="1353" t="s">
        <v>1</v>
      </c>
      <c r="Q28" s="1353" t="s">
        <v>1</v>
      </c>
      <c r="R28" s="1353" t="s">
        <v>1</v>
      </c>
      <c r="S28" s="1353">
        <v>230.00393755307593</v>
      </c>
      <c r="T28" s="1353">
        <v>40.443077206756172</v>
      </c>
      <c r="U28" s="1353">
        <v>-35.850508991223982</v>
      </c>
      <c r="V28" s="1353">
        <v>5.3003241895674513</v>
      </c>
      <c r="W28" s="1353">
        <v>122.46987825136148</v>
      </c>
      <c r="X28" s="1353">
        <v>2.8355387523629538</v>
      </c>
      <c r="Y28" s="1353">
        <v>-22.449448529411764</v>
      </c>
    </row>
    <row r="29" spans="1:25">
      <c r="A29" s="764" t="s">
        <v>1291</v>
      </c>
      <c r="B29" s="1309" t="str">
        <f>IFERROR((('T48, T49'!B29/'T48, T49'!A29)-1)*100,"-")</f>
        <v>-</v>
      </c>
      <c r="C29" s="1353" t="str">
        <f>IFERROR((('T48, T49'!C29/'T48, T49'!B29)-1)*100,"-")</f>
        <v>-</v>
      </c>
      <c r="D29" s="1353" t="str">
        <f>IFERROR((('T48, T49'!D29/'T48, T49'!C29)-1)*100,"-")</f>
        <v>-</v>
      </c>
      <c r="E29" s="1353">
        <f>IFERROR((('T48, T49'!E29/'T48, T49'!D29)-1)*100,"-")</f>
        <v>-100</v>
      </c>
      <c r="F29" s="1353" t="str">
        <f>IFERROR((('T48, T49'!F29/'T48, T49'!E29)-1)*100,"-")</f>
        <v>-</v>
      </c>
      <c r="G29" s="1353">
        <f>IFERROR((('T48, T49'!G29/'T48, T49'!F29)-1)*100,"-")</f>
        <v>-46.901597287685405</v>
      </c>
      <c r="H29" s="1353">
        <f>IFERROR((('T48, T49'!H29/'T48, T49'!G29)-1)*100,"-")</f>
        <v>-100</v>
      </c>
      <c r="I29" s="1353" t="str">
        <f>IFERROR((('T48, T49'!I29/'T48, T49'!H29)-1)*100,"-")</f>
        <v>-</v>
      </c>
      <c r="J29" s="1353" t="str">
        <f>IFERROR((('T48, T49'!J29/'T48, T49'!I29)-1)*100,"-")</f>
        <v>-</v>
      </c>
      <c r="K29" s="1353" t="str">
        <f>IFERROR((('T48, T49'!K29/'T48, T49'!J29)-1)*100,"-")</f>
        <v>-</v>
      </c>
      <c r="L29" s="1353" t="str">
        <f>IFERROR((('T48, T49'!L29/'T48, T49'!K29)-1)*100,"-")</f>
        <v>-</v>
      </c>
      <c r="N29" s="764" t="s">
        <v>1291</v>
      </c>
      <c r="O29" s="1309" t="s">
        <v>1</v>
      </c>
      <c r="P29" s="1353" t="s">
        <v>1</v>
      </c>
      <c r="Q29" s="1353" t="s">
        <v>1</v>
      </c>
      <c r="R29" s="1353">
        <v>-100</v>
      </c>
      <c r="S29" s="1353" t="s">
        <v>1</v>
      </c>
      <c r="T29" s="1353">
        <v>-46.901597287685405</v>
      </c>
      <c r="U29" s="1353">
        <v>-100</v>
      </c>
      <c r="V29" s="1353" t="s">
        <v>1</v>
      </c>
      <c r="W29" s="1353" t="s">
        <v>1</v>
      </c>
      <c r="X29" s="1353" t="s">
        <v>1</v>
      </c>
      <c r="Y29" s="1353" t="s">
        <v>1</v>
      </c>
    </row>
    <row r="30" spans="1:25">
      <c r="A30" s="764" t="s">
        <v>1285</v>
      </c>
      <c r="B30" s="1309" t="str">
        <f>IFERROR((('T48, T49'!B30/'T48, T49'!A30)-1)*100,"-")</f>
        <v>-</v>
      </c>
      <c r="C30" s="1353">
        <f>IFERROR((('T48, T49'!C30/'T48, T49'!B30)-1)*100,"-")</f>
        <v>-5.7608346703905688</v>
      </c>
      <c r="D30" s="1353">
        <f>IFERROR((('T48, T49'!D30/'T48, T49'!C30)-1)*100,"-")</f>
        <v>-0.65382413167773823</v>
      </c>
      <c r="E30" s="1353">
        <f>IFERROR((('T48, T49'!E30/'T48, T49'!D30)-1)*100,"-")</f>
        <v>18.67312407045436</v>
      </c>
      <c r="F30" s="1353">
        <f>IFERROR((('T48, T49'!F30/'T48, T49'!E30)-1)*100,"-")</f>
        <v>14.359216009205621</v>
      </c>
      <c r="G30" s="1353">
        <f>IFERROR((('T48, T49'!G30/'T48, T49'!F30)-1)*100,"-")</f>
        <v>9.1723767507410514</v>
      </c>
      <c r="H30" s="1353">
        <f>IFERROR((('T48, T49'!H30/'T48, T49'!G30)-1)*100,"-")</f>
        <v>-9.688103835350514</v>
      </c>
      <c r="I30" s="1353">
        <f>IFERROR((('T48, T49'!I30/'T48, T49'!H30)-1)*100,"-")</f>
        <v>12.130632923888029</v>
      </c>
      <c r="J30" s="1353">
        <f>IFERROR((('T48, T49'!J30/'T48, T49'!I30)-1)*100,"-")</f>
        <v>2.5299200225041174</v>
      </c>
      <c r="K30" s="1353">
        <f>IFERROR((('T48, T49'!K30/'T48, T49'!J30)-1)*100,"-")</f>
        <v>2.2338431385038326E-2</v>
      </c>
      <c r="L30" s="1353">
        <f>IFERROR((('T48, T49'!L30/'T48, T49'!K30)-1)*100,"-")</f>
        <v>-0.25914861510960563</v>
      </c>
      <c r="N30" s="764" t="s">
        <v>1285</v>
      </c>
      <c r="O30" s="1309" t="s">
        <v>1</v>
      </c>
      <c r="P30" s="1353">
        <v>-5.7608346703905688</v>
      </c>
      <c r="Q30" s="1353">
        <v>-0.65382413167773823</v>
      </c>
      <c r="R30" s="1353">
        <v>18.67312407045436</v>
      </c>
      <c r="S30" s="1353">
        <v>14.359216009205621</v>
      </c>
      <c r="T30" s="1353">
        <v>9.1723767507410514</v>
      </c>
      <c r="U30" s="1353">
        <v>-9.688103835350514</v>
      </c>
      <c r="V30" s="1353">
        <v>12.130632923888029</v>
      </c>
      <c r="W30" s="1353">
        <v>2.5299200225041174</v>
      </c>
      <c r="X30" s="1353">
        <v>2.2338431385038326E-2</v>
      </c>
      <c r="Y30" s="1353">
        <v>-0.25914861510960563</v>
      </c>
    </row>
    <row r="31" spans="1:25">
      <c r="A31" s="1349" t="s">
        <v>899</v>
      </c>
      <c r="B31" s="1350" t="str">
        <f>IFERROR((('T48, T49'!B31/'T48, T49'!A31)-1)*100,"-")</f>
        <v>-</v>
      </c>
      <c r="C31" s="1360">
        <f>IFERROR((('T48, T49'!C31/'T48, T49'!B31)-1)*100,"-")</f>
        <v>-55.555555555555557</v>
      </c>
      <c r="D31" s="1360">
        <f>IFERROR((('T48, T49'!D31/'T48, T49'!C31)-1)*100,"-")</f>
        <v>-35.000000000000007</v>
      </c>
      <c r="E31" s="1360">
        <f>IFERROR((('T48, T49'!E31/'T48, T49'!D31)-1)*100,"-")</f>
        <v>-7.6923076923076872</v>
      </c>
      <c r="F31" s="1360">
        <f>IFERROR((('T48, T49'!F31/'T48, T49'!E31)-1)*100,"-")</f>
        <v>-41.666666666666664</v>
      </c>
      <c r="G31" s="1360">
        <f>IFERROR((('T48, T49'!G31/'T48, T49'!F31)-1)*100,"-")</f>
        <v>-42.857142857142861</v>
      </c>
      <c r="H31" s="1360">
        <f>IFERROR((('T48, T49'!H31/'T48, T49'!G31)-1)*100,"-")</f>
        <v>-250</v>
      </c>
      <c r="I31" s="1360">
        <f>IFERROR((('T48, T49'!I31/'T48, T49'!H31)-1)*100,"-")</f>
        <v>-100</v>
      </c>
      <c r="J31" s="1360" t="str">
        <f>IFERROR((('T48, T49'!J31/'T48, T49'!I31)-1)*100,"-")</f>
        <v>-</v>
      </c>
      <c r="K31" s="1360" t="str">
        <f>IFERROR((('T48, T49'!K31/'T48, T49'!J31)-1)*100,"-")</f>
        <v>-</v>
      </c>
      <c r="L31" s="1360" t="str">
        <f>IFERROR((('T48, T49'!L31/'T48, T49'!K31)-1)*100,"-")</f>
        <v>-</v>
      </c>
      <c r="N31" s="1349" t="s">
        <v>899</v>
      </c>
      <c r="O31" s="1350" t="s">
        <v>1</v>
      </c>
      <c r="P31" s="1360">
        <v>-55.555555555555557</v>
      </c>
      <c r="Q31" s="1360">
        <v>-35.000000000000007</v>
      </c>
      <c r="R31" s="1360">
        <v>-7.6923076923076872</v>
      </c>
      <c r="S31" s="1360">
        <v>-41.666666666666664</v>
      </c>
      <c r="T31" s="1360">
        <v>-42.857142857142861</v>
      </c>
      <c r="U31" s="1360">
        <v>-250</v>
      </c>
      <c r="V31" s="1360">
        <v>-100</v>
      </c>
      <c r="W31" s="1360" t="s">
        <v>1</v>
      </c>
      <c r="X31" s="1360" t="s">
        <v>1</v>
      </c>
      <c r="Y31" s="1360" t="s">
        <v>1</v>
      </c>
    </row>
    <row r="32" spans="1:25">
      <c r="A32" s="1349" t="s">
        <v>898</v>
      </c>
      <c r="B32" s="1350" t="str">
        <f>IFERROR((('T48, T49'!B32/'T48, T49'!A32)-1)*100,"-")</f>
        <v>-</v>
      </c>
      <c r="C32" s="1360">
        <f>IFERROR((('T48, T49'!C32/'T48, T49'!B32)-1)*100,"-")</f>
        <v>0.95389373991185966</v>
      </c>
      <c r="D32" s="1360">
        <f>IFERROR((('T48, T49'!D32/'T48, T49'!C32)-1)*100,"-")</f>
        <v>7.5388606206464814</v>
      </c>
      <c r="E32" s="1360">
        <f>IFERROR((('T48, T49'!E32/'T48, T49'!D32)-1)*100,"-")</f>
        <v>3.925265137822076</v>
      </c>
      <c r="F32" s="1360">
        <f>IFERROR((('T48, T49'!F32/'T48, T49'!E32)-1)*100,"-")</f>
        <v>11.932465112745527</v>
      </c>
      <c r="G32" s="1360">
        <f>IFERROR((('T48, T49'!G32/'T48, T49'!F32)-1)*100,"-")</f>
        <v>5.1265828109938738</v>
      </c>
      <c r="H32" s="1360">
        <f>IFERROR((('T48, T49'!H32/'T48, T49'!G32)-1)*100,"-")</f>
        <v>6.0152391829811691</v>
      </c>
      <c r="I32" s="1360">
        <f>IFERROR((('T48, T49'!I32/'T48, T49'!H32)-1)*100,"-")</f>
        <v>5.2421399027601456</v>
      </c>
      <c r="J32" s="1360">
        <f>IFERROR((('T48, T49'!J32/'T48, T49'!I32)-1)*100,"-")</f>
        <v>4.7714635011223638</v>
      </c>
      <c r="K32" s="1360">
        <f>IFERROR((('T48, T49'!K32/'T48, T49'!J32)-1)*100,"-")</f>
        <v>5.0484149739738804</v>
      </c>
      <c r="L32" s="1360">
        <f>IFERROR((('T48, T49'!L32/'T48, T49'!K32)-1)*100,"-")</f>
        <v>5.4827807350224633</v>
      </c>
      <c r="N32" s="1349" t="s">
        <v>898</v>
      </c>
      <c r="O32" s="1350" t="s">
        <v>1</v>
      </c>
      <c r="P32" s="1360">
        <v>0.95389373991185966</v>
      </c>
      <c r="Q32" s="1360">
        <v>7.5388606206464814</v>
      </c>
      <c r="R32" s="1360">
        <v>3.925265137822076</v>
      </c>
      <c r="S32" s="1360">
        <v>11.932465112745527</v>
      </c>
      <c r="T32" s="1360">
        <v>5.1265828109938738</v>
      </c>
      <c r="U32" s="1360">
        <v>6.0152391829811691</v>
      </c>
      <c r="V32" s="1360">
        <v>5.2421399027601456</v>
      </c>
      <c r="W32" s="1360">
        <v>4.7714635011223638</v>
      </c>
      <c r="X32" s="1360">
        <v>5.0484149739738804</v>
      </c>
      <c r="Y32" s="1360">
        <v>5.4827807350224633</v>
      </c>
    </row>
    <row r="33" spans="1:25">
      <c r="A33" s="764" t="s">
        <v>1290</v>
      </c>
      <c r="B33" s="1309" t="str">
        <f>IFERROR((('T48, T49'!B33/'T48, T49'!A33)-1)*100,"-")</f>
        <v>-</v>
      </c>
      <c r="C33" s="1353">
        <f>IFERROR((('T48, T49'!C33/'T48, T49'!B33)-1)*100,"-")</f>
        <v>1.3122331929150244</v>
      </c>
      <c r="D33" s="1353">
        <f>IFERROR((('T48, T49'!D33/'T48, T49'!C33)-1)*100,"-")</f>
        <v>7.4999357188324511</v>
      </c>
      <c r="E33" s="1353">
        <f>IFERROR((('T48, T49'!E33/'T48, T49'!D33)-1)*100,"-")</f>
        <v>4.6088263180148248</v>
      </c>
      <c r="F33" s="1353">
        <f>IFERROR((('T48, T49'!F33/'T48, T49'!E33)-1)*100,"-")</f>
        <v>14.200941823384072</v>
      </c>
      <c r="G33" s="1353">
        <f>IFERROR((('T48, T49'!G33/'T48, T49'!F33)-1)*100,"-")</f>
        <v>4.9316079786974942</v>
      </c>
      <c r="H33" s="1353">
        <f>IFERROR((('T48, T49'!H33/'T48, T49'!G33)-1)*100,"-")</f>
        <v>6.8510079098460519</v>
      </c>
      <c r="I33" s="1353">
        <f>IFERROR((('T48, T49'!I33/'T48, T49'!H33)-1)*100,"-")</f>
        <v>6.579070046217983</v>
      </c>
      <c r="J33" s="1353">
        <f>IFERROR((('T48, T49'!J33/'T48, T49'!I33)-1)*100,"-")</f>
        <v>4.5832084257344752</v>
      </c>
      <c r="K33" s="1353">
        <f>IFERROR((('T48, T49'!K33/'T48, T49'!J33)-1)*100,"-")</f>
        <v>4.8420305599698121</v>
      </c>
      <c r="L33" s="1353">
        <f>IFERROR((('T48, T49'!L33/'T48, T49'!K33)-1)*100,"-")</f>
        <v>5.2298298829511536</v>
      </c>
      <c r="N33" s="764" t="s">
        <v>1290</v>
      </c>
      <c r="O33" s="1309" t="s">
        <v>1</v>
      </c>
      <c r="P33" s="1353">
        <v>1.3122331929150244</v>
      </c>
      <c r="Q33" s="1353">
        <v>7.4999357188324511</v>
      </c>
      <c r="R33" s="1353">
        <v>4.6088263180148248</v>
      </c>
      <c r="S33" s="1353">
        <v>14.200941823384072</v>
      </c>
      <c r="T33" s="1353">
        <v>4.9316079786974942</v>
      </c>
      <c r="U33" s="1353">
        <v>6.8510079098460519</v>
      </c>
      <c r="V33" s="1353">
        <v>6.579070046217983</v>
      </c>
      <c r="W33" s="1353">
        <v>4.5832084257344752</v>
      </c>
      <c r="X33" s="1353">
        <v>4.8420305599698121</v>
      </c>
      <c r="Y33" s="1353">
        <v>5.2298298829511536</v>
      </c>
    </row>
    <row r="34" spans="1:25">
      <c r="A34" s="764" t="s">
        <v>1289</v>
      </c>
      <c r="B34" s="1309" t="str">
        <f>IFERROR((('T48, T49'!B34/'T48, T49'!A34)-1)*100,"-")</f>
        <v>-</v>
      </c>
      <c r="C34" s="1353">
        <f>IFERROR((('T48, T49'!C34/'T48, T49'!B34)-1)*100,"-")</f>
        <v>-0.21031674587375093</v>
      </c>
      <c r="D34" s="1353">
        <f>IFERROR((('T48, T49'!D34/'T48, T49'!C34)-1)*100,"-")</f>
        <v>9.0729339618091931</v>
      </c>
      <c r="E34" s="1353">
        <f>IFERROR((('T48, T49'!E34/'T48, T49'!D34)-1)*100,"-")</f>
        <v>2.9286791713714511</v>
      </c>
      <c r="F34" s="1353">
        <f>IFERROR((('T48, T49'!F34/'T48, T49'!E34)-1)*100,"-")</f>
        <v>7.7156392343822988</v>
      </c>
      <c r="G34" s="1353">
        <f>IFERROR((('T48, T49'!G34/'T48, T49'!F34)-1)*100,"-")</f>
        <v>5.0670582124772601</v>
      </c>
      <c r="H34" s="1353">
        <f>IFERROR((('T48, T49'!H34/'T48, T49'!G34)-1)*100,"-")</f>
        <v>4.5260265961418744</v>
      </c>
      <c r="I34" s="1353">
        <f>IFERROR((('T48, T49'!I34/'T48, T49'!H34)-1)*100,"-")</f>
        <v>1.4589341640980802</v>
      </c>
      <c r="J34" s="1353">
        <f>IFERROR((('T48, T49'!J34/'T48, T49'!I34)-1)*100,"-")</f>
        <v>5.6677607778777839</v>
      </c>
      <c r="K34" s="1353">
        <f>IFERROR((('T48, T49'!K34/'T48, T49'!J34)-1)*100,"-")</f>
        <v>5.9966374355869601</v>
      </c>
      <c r="L34" s="1353">
        <f>IFERROR((('T48, T49'!L34/'T48, T49'!K34)-1)*100,"-")</f>
        <v>6.5375777327194351</v>
      </c>
      <c r="N34" s="764" t="s">
        <v>1289</v>
      </c>
      <c r="O34" s="1309" t="s">
        <v>1</v>
      </c>
      <c r="P34" s="1353">
        <v>-0.21031674587375093</v>
      </c>
      <c r="Q34" s="1353">
        <v>9.0729339618091931</v>
      </c>
      <c r="R34" s="1353">
        <v>2.9286791713714511</v>
      </c>
      <c r="S34" s="1353">
        <v>7.7156392343822988</v>
      </c>
      <c r="T34" s="1353">
        <v>5.0670582124772601</v>
      </c>
      <c r="U34" s="1353">
        <v>4.5260265961418744</v>
      </c>
      <c r="V34" s="1353">
        <v>1.4589341640980802</v>
      </c>
      <c r="W34" s="1353">
        <v>5.6677607778777839</v>
      </c>
      <c r="X34" s="1353">
        <v>5.9966374355869601</v>
      </c>
      <c r="Y34" s="1353">
        <v>6.5375777327194351</v>
      </c>
    </row>
    <row r="35" spans="1:25">
      <c r="A35" s="764" t="s">
        <v>1288</v>
      </c>
      <c r="B35" s="1309" t="str">
        <f>IFERROR((('T48, T49'!B35/'T48, T49'!A35)-1)*100,"-")</f>
        <v>-</v>
      </c>
      <c r="C35" s="1353">
        <f>IFERROR((('T48, T49'!C35/'T48, T49'!B35)-1)*100,"-")</f>
        <v>5.9986649837451278</v>
      </c>
      <c r="D35" s="1353">
        <f>IFERROR((('T48, T49'!D35/'T48, T49'!C35)-1)*100,"-")</f>
        <v>-7.0693025900018807</v>
      </c>
      <c r="E35" s="1353">
        <f>IFERROR((('T48, T49'!E35/'T48, T49'!D35)-1)*100,"-")</f>
        <v>0.15478749657507063</v>
      </c>
      <c r="F35" s="1353">
        <f>IFERROR((('T48, T49'!F35/'T48, T49'!E35)-1)*100,"-")</f>
        <v>9.2055858537984481</v>
      </c>
      <c r="G35" s="1353">
        <f>IFERROR((('T48, T49'!G35/'T48, T49'!F35)-1)*100,"-")</f>
        <v>10.66195437525792</v>
      </c>
      <c r="H35" s="1353">
        <f>IFERROR((('T48, T49'!H35/'T48, T49'!G35)-1)*100,"-")</f>
        <v>3.2546148707546241</v>
      </c>
      <c r="I35" s="1353">
        <f>IFERROR((('T48, T49'!I35/'T48, T49'!H35)-1)*100,"-")</f>
        <v>16.110501358707594</v>
      </c>
      <c r="J35" s="1353">
        <f>IFERROR((('T48, T49'!J35/'T48, T49'!I35)-1)*100,"-")</f>
        <v>0</v>
      </c>
      <c r="K35" s="1353">
        <f>IFERROR((('T48, T49'!K35/'T48, T49'!J35)-1)*100,"-")</f>
        <v>-0.16987677139003177</v>
      </c>
      <c r="L35" s="1353">
        <f>IFERROR((('T48, T49'!L35/'T48, T49'!K35)-1)*100,"-")</f>
        <v>-0.17016584363119813</v>
      </c>
      <c r="N35" s="764" t="s">
        <v>1288</v>
      </c>
      <c r="O35" s="1309" t="s">
        <v>1</v>
      </c>
      <c r="P35" s="1353">
        <v>5.9986649837451278</v>
      </c>
      <c r="Q35" s="1353">
        <v>-7.0693025900018807</v>
      </c>
      <c r="R35" s="1353">
        <v>0.15478749657507063</v>
      </c>
      <c r="S35" s="1353">
        <v>9.2055858537984481</v>
      </c>
      <c r="T35" s="1353">
        <v>10.66195437525792</v>
      </c>
      <c r="U35" s="1353">
        <v>3.2546148707546241</v>
      </c>
      <c r="V35" s="1353">
        <v>16.110501358707594</v>
      </c>
      <c r="W35" s="1353">
        <v>0</v>
      </c>
      <c r="X35" s="1353">
        <v>-0.16987677139003177</v>
      </c>
      <c r="Y35" s="1353">
        <v>-0.17016584363119813</v>
      </c>
    </row>
    <row r="36" spans="1:25">
      <c r="A36" s="764" t="s">
        <v>1285</v>
      </c>
      <c r="B36" s="1309" t="str">
        <f>IFERROR((('T48, T49'!B36/'T48, T49'!A36)-1)*100,"-")</f>
        <v>-</v>
      </c>
      <c r="C36" s="1353">
        <f>IFERROR((('T48, T49'!C36/'T48, T49'!B36)-1)*100,"-")</f>
        <v>-100.16669794219742</v>
      </c>
      <c r="D36" s="1353">
        <f>IFERROR((('T48, T49'!D36/'T48, T49'!C36)-1)*100,"-")</f>
        <v>13706.893636149805</v>
      </c>
      <c r="E36" s="1353">
        <f>IFERROR((('T48, T49'!E36/'T48, T49'!D36)-1)*100,"-")</f>
        <v>78.206852733212088</v>
      </c>
      <c r="F36" s="1353">
        <f>IFERROR((('T48, T49'!F36/'T48, T49'!E36)-1)*100,"-")</f>
        <v>-340.69288328159331</v>
      </c>
      <c r="G36" s="1353">
        <f>IFERROR((('T48, T49'!G36/'T48, T49'!F36)-1)*100,"-")</f>
        <v>5.7915656340298716</v>
      </c>
      <c r="H36" s="1353">
        <f>IFERROR((('T48, T49'!H36/'T48, T49'!G36)-1)*100,"-")</f>
        <v>-35.655105977493875</v>
      </c>
      <c r="I36" s="1353">
        <f>IFERROR((('T48, T49'!I36/'T48, T49'!H36)-1)*100,"-")</f>
        <v>-1012.3931482073743</v>
      </c>
      <c r="J36" s="1353">
        <f>IFERROR((('T48, T49'!J36/'T48, T49'!I36)-1)*100,"-")</f>
        <v>-87.499999997157829</v>
      </c>
      <c r="K36" s="1353">
        <f>IFERROR((('T48, T49'!K36/'T48, T49'!J36)-1)*100,"-")</f>
        <v>-150.00000009094947</v>
      </c>
      <c r="L36" s="1353">
        <f>IFERROR((('T48, T49'!L36/'T48, T49'!K36)-1)*100,"-")</f>
        <v>399.9999990905053</v>
      </c>
      <c r="N36" s="764" t="s">
        <v>1285</v>
      </c>
      <c r="O36" s="1309" t="s">
        <v>1</v>
      </c>
      <c r="P36" s="1353">
        <v>-100.16669794219742</v>
      </c>
      <c r="Q36" s="1353">
        <v>13706.893636149805</v>
      </c>
      <c r="R36" s="1353">
        <v>78.206852733212088</v>
      </c>
      <c r="S36" s="1353">
        <v>-340.69288328159331</v>
      </c>
      <c r="T36" s="1353">
        <v>5.7915656340298716</v>
      </c>
      <c r="U36" s="1353">
        <v>-35.655105977493875</v>
      </c>
      <c r="V36" s="1353">
        <v>-1012.3931482073743</v>
      </c>
      <c r="W36" s="1353">
        <v>-87.499999997157829</v>
      </c>
      <c r="X36" s="1353">
        <v>-150.00000009094947</v>
      </c>
      <c r="Y36" s="1353">
        <v>399.9999990905053</v>
      </c>
    </row>
    <row r="37" spans="1:25">
      <c r="A37" s="1349" t="s">
        <v>897</v>
      </c>
      <c r="B37" s="1350" t="str">
        <f>IFERROR((('T48, T49'!B37/'T48, T49'!A37)-1)*100,"-")</f>
        <v>-</v>
      </c>
      <c r="C37" s="1360">
        <f>IFERROR((('T48, T49'!C37/'T48, T49'!B37)-1)*100,"-")</f>
        <v>-25.493609109923298</v>
      </c>
      <c r="D37" s="1360">
        <f>IFERROR((('T48, T49'!D37/'T48, T49'!C37)-1)*100,"-")</f>
        <v>3.4026718569187153</v>
      </c>
      <c r="E37" s="1360">
        <f>IFERROR((('T48, T49'!E37/'T48, T49'!D37)-1)*100,"-")</f>
        <v>24.632590268770183</v>
      </c>
      <c r="F37" s="1360">
        <f>IFERROR((('T48, T49'!F37/'T48, T49'!E37)-1)*100,"-")</f>
        <v>-19.025363682459627</v>
      </c>
      <c r="G37" s="1360">
        <f>IFERROR((('T48, T49'!G37/'T48, T49'!F37)-1)*100,"-")</f>
        <v>-17.470427797496736</v>
      </c>
      <c r="H37" s="1360">
        <f>IFERROR((('T48, T49'!H37/'T48, T49'!G37)-1)*100,"-")</f>
        <v>14.637666462643907</v>
      </c>
      <c r="I37" s="1360">
        <f>IFERROR((('T48, T49'!I37/'T48, T49'!H37)-1)*100,"-")</f>
        <v>-34.896166600753055</v>
      </c>
      <c r="J37" s="1360">
        <f>IFERROR((('T48, T49'!J37/'T48, T49'!I37)-1)*100,"-")</f>
        <v>6.6654587332721782</v>
      </c>
      <c r="K37" s="1360">
        <f>IFERROR((('T48, T49'!K37/'T48, T49'!J37)-1)*100,"-")</f>
        <v>-0.40944724295014501</v>
      </c>
      <c r="L37" s="1360">
        <f>IFERROR((('T48, T49'!L37/'T48, T49'!K37)-1)*100,"-")</f>
        <v>0.2307598432806035</v>
      </c>
      <c r="N37" s="1349" t="s">
        <v>897</v>
      </c>
      <c r="O37" s="1350" t="s">
        <v>1</v>
      </c>
      <c r="P37" s="1360">
        <v>-25.493609109923298</v>
      </c>
      <c r="Q37" s="1360">
        <v>3.4026718569187153</v>
      </c>
      <c r="R37" s="1360">
        <v>24.290217489668507</v>
      </c>
      <c r="S37" s="1360">
        <v>-19.025363682459627</v>
      </c>
      <c r="T37" s="1360">
        <v>-17.472323257986176</v>
      </c>
      <c r="U37" s="1360">
        <v>14.630625142604647</v>
      </c>
      <c r="V37" s="1360">
        <v>-8.5934999822209424</v>
      </c>
      <c r="W37" s="1360">
        <v>5.2516411378555672</v>
      </c>
      <c r="X37" s="1360">
        <v>-0.41580041580040472</v>
      </c>
      <c r="Y37" s="1360">
        <v>0.23435536998377415</v>
      </c>
    </row>
    <row r="38" spans="1:25">
      <c r="A38" s="764" t="s">
        <v>1238</v>
      </c>
      <c r="B38" s="1309" t="str">
        <f>IFERROR((('T48, T49'!B38/'T48, T49'!A38)-1)*100,"-")</f>
        <v>-</v>
      </c>
      <c r="C38" s="1353">
        <f>IFERROR((('T48, T49'!C38/'T48, T49'!B38)-1)*100,"-")</f>
        <v>-19.410938819560187</v>
      </c>
      <c r="D38" s="1353">
        <f>IFERROR((('T48, T49'!D38/'T48, T49'!C38)-1)*100,"-")</f>
        <v>0.11760570860783748</v>
      </c>
      <c r="E38" s="1353">
        <f>IFERROR((('T48, T49'!E38/'T48, T49'!D38)-1)*100,"-")</f>
        <v>30.945808098167539</v>
      </c>
      <c r="F38" s="1353">
        <f>IFERROR((('T48, T49'!F38/'T48, T49'!E38)-1)*100,"-")</f>
        <v>-26.262362267345651</v>
      </c>
      <c r="G38" s="1353">
        <f>IFERROR((('T48, T49'!G38/'T48, T49'!F38)-1)*100,"-")</f>
        <v>-33.874850232995044</v>
      </c>
      <c r="H38" s="1353">
        <f>IFERROR((('T48, T49'!H38/'T48, T49'!G38)-1)*100,"-")</f>
        <v>10.689352410579511</v>
      </c>
      <c r="I38" s="1353">
        <f>IFERROR((('T48, T49'!I38/'T48, T49'!H38)-1)*100,"-")</f>
        <v>-6.3606087883946287</v>
      </c>
      <c r="J38" s="1353">
        <f>IFERROR((('T48, T49'!J38/'T48, T49'!I38)-1)*100,"-")</f>
        <v>7.0558359481333488</v>
      </c>
      <c r="K38" s="1353">
        <f>IFERROR((('T48, T49'!K38/'T48, T49'!J38)-1)*100,"-")</f>
        <v>-0.44584235233463554</v>
      </c>
      <c r="L38" s="1353">
        <f>IFERROR((('T48, T49'!L38/'T48, T49'!K38)-1)*100,"-")</f>
        <v>0.26924810490092099</v>
      </c>
      <c r="N38" s="764" t="s">
        <v>1238</v>
      </c>
      <c r="O38" s="1309" t="s">
        <v>1</v>
      </c>
      <c r="P38" s="1353">
        <v>-19.410938819560187</v>
      </c>
      <c r="Q38" s="1353">
        <v>0.11760570860783748</v>
      </c>
      <c r="R38" s="1353">
        <v>30.945808098167539</v>
      </c>
      <c r="S38" s="1353">
        <v>-26.262362267345651</v>
      </c>
      <c r="T38" s="1353">
        <v>-33.874850232995044</v>
      </c>
      <c r="U38" s="1353">
        <v>10.689352410579511</v>
      </c>
      <c r="V38" s="1353">
        <v>-6.3606087883946287</v>
      </c>
      <c r="W38" s="1353">
        <v>7.0558359481333488</v>
      </c>
      <c r="X38" s="1353">
        <v>-0.44584235233463554</v>
      </c>
      <c r="Y38" s="1353">
        <v>0.26924810490092099</v>
      </c>
    </row>
    <row r="39" spans="1:25">
      <c r="A39" s="764" t="s">
        <v>1160</v>
      </c>
      <c r="B39" s="1309" t="str">
        <f>IFERROR((('T48, T49'!B39/'T48, T49'!A39)-1)*100,"-")</f>
        <v>-</v>
      </c>
      <c r="C39" s="1353">
        <f>IFERROR((('T48, T49'!C39/'T48, T49'!B39)-1)*100,"-")</f>
        <v>-46.813477929580216</v>
      </c>
      <c r="D39" s="1353">
        <f>IFERROR((('T48, T49'!D39/'T48, T49'!C39)-1)*100,"-")</f>
        <v>14.692776051774548</v>
      </c>
      <c r="E39" s="1353">
        <f>IFERROR((('T48, T49'!E39/'T48, T49'!D39)-1)*100,"-")</f>
        <v>4.4786091402261308</v>
      </c>
      <c r="F39" s="1353">
        <f>IFERROR((('T48, T49'!F39/'T48, T49'!E39)-1)*100,"-")</f>
        <v>8.3334491818775938</v>
      </c>
      <c r="G39" s="1353">
        <f>IFERROR((('T48, T49'!G39/'T48, T49'!F39)-1)*100,"-")</f>
        <v>22.812870937730612</v>
      </c>
      <c r="H39" s="1353">
        <f>IFERROR((('T48, T49'!H39/'T48, T49'!G39)-1)*100,"-")</f>
        <v>18.493809100882896</v>
      </c>
      <c r="I39" s="1353">
        <f>IFERROR((('T48, T49'!I39/'T48, T49'!H39)-1)*100,"-")</f>
        <v>-80.149519340529366</v>
      </c>
      <c r="J39" s="1353">
        <f>IFERROR((('T48, T49'!J39/'T48, T49'!I39)-1)*100,"-")</f>
        <v>-1.747503831481545</v>
      </c>
      <c r="K39" s="1353">
        <f>IFERROR((('T48, T49'!K39/'T48, T49'!J39)-1)*100,"-")</f>
        <v>-0.16561207957165314</v>
      </c>
      <c r="L39" s="1353">
        <f>IFERROR((('T48, T49'!L39/'T48, T49'!K39)-1)*100,"-")</f>
        <v>0.3247948674513168</v>
      </c>
      <c r="N39" s="764" t="s">
        <v>1160</v>
      </c>
      <c r="O39" s="1309" t="s">
        <v>1</v>
      </c>
      <c r="P39" s="1353">
        <v>-46.813477929580216</v>
      </c>
      <c r="Q39" s="1353">
        <v>14.692776051774548</v>
      </c>
      <c r="R39" s="1353">
        <v>2.8300859120254707</v>
      </c>
      <c r="S39" s="1353">
        <v>8.3334491818775938</v>
      </c>
      <c r="T39" s="1353">
        <v>22.812142055115348</v>
      </c>
      <c r="U39" s="1353">
        <v>18.493670132176977</v>
      </c>
      <c r="V39" s="1353">
        <v>1.049910791893538</v>
      </c>
      <c r="W39" s="1353">
        <v>-1.7809561536546226</v>
      </c>
      <c r="X39" s="1353">
        <v>-0.16883986340980872</v>
      </c>
      <c r="Y39" s="1353">
        <v>0.33113583414092762</v>
      </c>
    </row>
    <row r="40" spans="1:25">
      <c r="A40" s="764" t="s">
        <v>1285</v>
      </c>
      <c r="B40" s="1309" t="str">
        <f>IFERROR((('T48, T49'!B40/'T48, T49'!A40)-1)*100,"-")</f>
        <v>-</v>
      </c>
      <c r="C40" s="1353">
        <f>IFERROR((('T48, T49'!C40/'T48, T49'!B40)-1)*100,"-")</f>
        <v>1.928093064895231</v>
      </c>
      <c r="D40" s="1353">
        <f>IFERROR((('T48, T49'!D40/'T48, T49'!C40)-1)*100,"-")</f>
        <v>7.966812538363377</v>
      </c>
      <c r="E40" s="1353">
        <f>IFERROR((('T48, T49'!E40/'T48, T49'!D40)-1)*100,"-")</f>
        <v>19.907886427623222</v>
      </c>
      <c r="F40" s="1353">
        <f>IFERROR((('T48, T49'!F40/'T48, T49'!E40)-1)*100,"-")</f>
        <v>-9.2039251033147913</v>
      </c>
      <c r="G40" s="1353">
        <f>IFERROR((('T48, T49'!G40/'T48, T49'!F40)-1)*100,"-")</f>
        <v>6.2372398808741902</v>
      </c>
      <c r="H40" s="1353">
        <f>IFERROR((('T48, T49'!H40/'T48, T49'!G40)-1)*100,"-")</f>
        <v>22.793067578765513</v>
      </c>
      <c r="I40" s="1353">
        <f>IFERROR((('T48, T49'!I40/'T48, T49'!H40)-1)*100,"-")</f>
        <v>-25.43828162017029</v>
      </c>
      <c r="J40" s="1353">
        <f>IFERROR((('T48, T49'!J40/'T48, T49'!I40)-1)*100,"-")</f>
        <v>11.589971114962538</v>
      </c>
      <c r="K40" s="1353">
        <f>IFERROR((('T48, T49'!K40/'T48, T49'!J40)-1)*100,"-")</f>
        <v>-0.38365503872109796</v>
      </c>
      <c r="L40" s="1353">
        <f>IFERROR((('T48, T49'!L40/'T48, T49'!K40)-1)*100,"-")</f>
        <v>-6.515568826285234E-2</v>
      </c>
      <c r="N40" s="764" t="s">
        <v>1285</v>
      </c>
      <c r="O40" s="1309" t="s">
        <v>1</v>
      </c>
      <c r="P40" s="1353">
        <v>1.928093064895231</v>
      </c>
      <c r="Q40" s="1353">
        <v>7.966812538363377</v>
      </c>
      <c r="R40" s="1353">
        <v>19.907886427623222</v>
      </c>
      <c r="S40" s="1353">
        <v>-9.2039251033147913</v>
      </c>
      <c r="T40" s="1353">
        <v>6.2156118301521346</v>
      </c>
      <c r="U40" s="1353">
        <v>22.724981046915516</v>
      </c>
      <c r="V40" s="1353">
        <v>-25.43828162017029</v>
      </c>
      <c r="W40" s="1353">
        <v>0.28359715000971786</v>
      </c>
      <c r="X40" s="1353">
        <v>-0.42690984274283972</v>
      </c>
      <c r="Y40" s="1353">
        <v>-7.253309611772174E-2</v>
      </c>
    </row>
    <row r="41" spans="1:25">
      <c r="A41" s="1349" t="s">
        <v>43</v>
      </c>
      <c r="B41" s="1350" t="str">
        <f>IFERROR((('T48, T49'!B41/'T48, T49'!A41)-1)*100,"-")</f>
        <v>-</v>
      </c>
      <c r="C41" s="1360">
        <f>IFERROR((('T48, T49'!C41/'T48, T49'!B41)-1)*100,"-")</f>
        <v>7.4075700038779058</v>
      </c>
      <c r="D41" s="1360">
        <f>IFERROR((('T48, T49'!D41/'T48, T49'!C41)-1)*100,"-")</f>
        <v>14.745279698445701</v>
      </c>
      <c r="E41" s="1360">
        <f>IFERROR((('T48, T49'!E41/'T48, T49'!D41)-1)*100,"-")</f>
        <v>15.947209793378846</v>
      </c>
      <c r="F41" s="1360">
        <f>IFERROR((('T48, T49'!F41/'T48, T49'!E41)-1)*100,"-")</f>
        <v>10.374265069321753</v>
      </c>
      <c r="G41" s="1360">
        <f>IFERROR((('T48, T49'!G41/'T48, T49'!F41)-1)*100,"-")</f>
        <v>0.13115710952251725</v>
      </c>
      <c r="H41" s="1360">
        <f>IFERROR((('T48, T49'!H41/'T48, T49'!G41)-1)*100,"-")</f>
        <v>5.8124158676686077</v>
      </c>
      <c r="I41" s="1360">
        <f>IFERROR((('T48, T49'!I41/'T48, T49'!H41)-1)*100,"-")</f>
        <v>-1.1021641544326166</v>
      </c>
      <c r="J41" s="1360">
        <f>IFERROR((('T48, T49'!J41/'T48, T49'!I41)-1)*100,"-")</f>
        <v>3.9392366711505256</v>
      </c>
      <c r="K41" s="1360">
        <f>IFERROR((('T48, T49'!K41/'T48, T49'!J41)-1)*100,"-")</f>
        <v>1.7061061164506119</v>
      </c>
      <c r="L41" s="1360">
        <f>IFERROR((('T48, T49'!L41/'T48, T49'!K41)-1)*100,"-")</f>
        <v>1.4929244257661622</v>
      </c>
      <c r="N41" s="1349" t="s">
        <v>43</v>
      </c>
      <c r="O41" s="1350" t="s">
        <v>1</v>
      </c>
      <c r="P41" s="1360">
        <v>7.4075700038779058</v>
      </c>
      <c r="Q41" s="1360">
        <v>5.0779658707721609</v>
      </c>
      <c r="R41" s="1360">
        <v>13.324085086509374</v>
      </c>
      <c r="S41" s="1360">
        <v>10.374265069321753</v>
      </c>
      <c r="T41" s="1360">
        <v>-2.1997800488333663</v>
      </c>
      <c r="U41" s="1360">
        <v>5.7193338813488204</v>
      </c>
      <c r="V41" s="1360">
        <v>-1.1245052518608634</v>
      </c>
      <c r="W41" s="1360">
        <v>3.2363222180119111</v>
      </c>
      <c r="X41" s="1360">
        <v>1.7827813772544499</v>
      </c>
      <c r="Y41" s="1360">
        <v>1.5588437476412587</v>
      </c>
    </row>
    <row r="42" spans="1:25">
      <c r="A42" s="764" t="s">
        <v>1287</v>
      </c>
      <c r="B42" s="1309" t="str">
        <f>IFERROR((('T48, T49'!B42/'T48, T49'!A42)-1)*100,"-")</f>
        <v>-</v>
      </c>
      <c r="C42" s="1353">
        <f>IFERROR((('T48, T49'!C42/'T48, T49'!B42)-1)*100,"-")</f>
        <v>42.629884797831522</v>
      </c>
      <c r="D42" s="1353">
        <f>IFERROR((('T48, T49'!D42/'T48, T49'!C42)-1)*100,"-")</f>
        <v>107.92615087362267</v>
      </c>
      <c r="E42" s="1353">
        <f>IFERROR((('T48, T49'!E42/'T48, T49'!D42)-1)*100,"-")</f>
        <v>3.687087861344307</v>
      </c>
      <c r="F42" s="1353">
        <f>IFERROR((('T48, T49'!F42/'T48, T49'!E42)-1)*100,"-")</f>
        <v>0.23708954675678573</v>
      </c>
      <c r="G42" s="1353">
        <f>IFERROR((('T48, T49'!G42/'T48, T49'!F42)-1)*100,"-")</f>
        <v>9.8365551445463559</v>
      </c>
      <c r="H42" s="1353">
        <f>IFERROR((('T48, T49'!H42/'T48, T49'!G42)-1)*100,"-")</f>
        <v>12.992493744787325</v>
      </c>
      <c r="I42" s="1353">
        <f>IFERROR((('T48, T49'!I42/'T48, T49'!H42)-1)*100,"-")</f>
        <v>-4.0208196164690957</v>
      </c>
      <c r="J42" s="1353">
        <f>IFERROR((('T48, T49'!J42/'T48, T49'!I42)-1)*100,"-")</f>
        <v>6.6616020155367384</v>
      </c>
      <c r="K42" s="1353">
        <f>IFERROR((('T48, T49'!K42/'T48, T49'!J42)-1)*100,"-")</f>
        <v>1.7255401866571152</v>
      </c>
      <c r="L42" s="1353">
        <f>IFERROR((('T48, T49'!L42/'T48, T49'!K42)-1)*100,"-")</f>
        <v>0.52719617821754827</v>
      </c>
      <c r="N42" s="764" t="s">
        <v>1287</v>
      </c>
      <c r="O42" s="1309" t="s">
        <v>1</v>
      </c>
      <c r="P42" s="1353">
        <v>42.629884797831522</v>
      </c>
      <c r="Q42" s="1353">
        <v>23.645419667496824</v>
      </c>
      <c r="R42" s="1353">
        <v>3.687087861344307</v>
      </c>
      <c r="S42" s="1353">
        <v>0.23708954675678573</v>
      </c>
      <c r="T42" s="1353">
        <v>-3.9721755332889908</v>
      </c>
      <c r="U42" s="1353">
        <v>12.489791102585478</v>
      </c>
      <c r="V42" s="1353">
        <v>-4.0208196164690957</v>
      </c>
      <c r="W42" s="1353">
        <v>6.6616020155367384</v>
      </c>
      <c r="X42" s="1353">
        <v>1.7255401866571152</v>
      </c>
      <c r="Y42" s="1353">
        <v>0.52719617821754827</v>
      </c>
    </row>
    <row r="43" spans="1:25">
      <c r="A43" s="764" t="s">
        <v>1286</v>
      </c>
      <c r="B43" s="1309" t="str">
        <f>IFERROR((('T48, T49'!B43/'T48, T49'!A43)-1)*100,"-")</f>
        <v>-</v>
      </c>
      <c r="C43" s="1353">
        <f>IFERROR((('T48, T49'!C43/'T48, T49'!B43)-1)*100,"-")</f>
        <v>4.0826595197308801</v>
      </c>
      <c r="D43" s="1353">
        <f>IFERROR((('T48, T49'!D43/'T48, T49'!C43)-1)*100,"-")</f>
        <v>-1.8149890459395523</v>
      </c>
      <c r="E43" s="1353">
        <f>IFERROR((('T48, T49'!E43/'T48, T49'!D43)-1)*100,"-")</f>
        <v>12.299907492126705</v>
      </c>
      <c r="F43" s="1353">
        <f>IFERROR((('T48, T49'!F43/'T48, T49'!E43)-1)*100,"-")</f>
        <v>13.337216546449127</v>
      </c>
      <c r="G43" s="1353">
        <f>IFERROR((('T48, T49'!G43/'T48, T49'!F43)-1)*100,"-")</f>
        <v>-0.59170281569200789</v>
      </c>
      <c r="H43" s="1353">
        <f>IFERROR((('T48, T49'!H43/'T48, T49'!G43)-1)*100,"-")</f>
        <v>8.1126044779697324</v>
      </c>
      <c r="I43" s="1353">
        <f>IFERROR((('T48, T49'!I43/'T48, T49'!H43)-1)*100,"-")</f>
        <v>2.2711986672441453</v>
      </c>
      <c r="J43" s="1353">
        <f>IFERROR((('T48, T49'!J43/'T48, T49'!I43)-1)*100,"-")</f>
        <v>5.9022269759307466</v>
      </c>
      <c r="K43" s="1353">
        <f>IFERROR((('T48, T49'!K43/'T48, T49'!J43)-1)*100,"-")</f>
        <v>2.4834429177315265</v>
      </c>
      <c r="L43" s="1353">
        <f>IFERROR((('T48, T49'!L43/'T48, T49'!K43)-1)*100,"-")</f>
        <v>2.6346121960850288</v>
      </c>
      <c r="N43" s="764" t="s">
        <v>1286</v>
      </c>
      <c r="O43" s="1309" t="s">
        <v>1</v>
      </c>
      <c r="P43" s="1353">
        <v>4.0826595197308801</v>
      </c>
      <c r="Q43" s="1353">
        <v>-1.8149890459395523</v>
      </c>
      <c r="R43" s="1353">
        <v>12.299907492126705</v>
      </c>
      <c r="S43" s="1353">
        <v>13.337216546449127</v>
      </c>
      <c r="T43" s="1353">
        <v>-0.59170281569200789</v>
      </c>
      <c r="U43" s="1353">
        <v>8.1126044779697324</v>
      </c>
      <c r="V43" s="1353">
        <v>2.2711986672441453</v>
      </c>
      <c r="W43" s="1353">
        <v>5.9022269759307466</v>
      </c>
      <c r="X43" s="1353">
        <v>2.4834429177315265</v>
      </c>
      <c r="Y43" s="1353">
        <v>2.6346121960850288</v>
      </c>
    </row>
    <row r="44" spans="1:25">
      <c r="A44" s="764" t="s">
        <v>1285</v>
      </c>
      <c r="B44" s="1309" t="str">
        <f>IFERROR((('T48, T49'!B44/'T48, T49'!A44)-1)*100,"-")</f>
        <v>-</v>
      </c>
      <c r="C44" s="1353">
        <f>IFERROR((('T48, T49'!C44/'T48, T49'!B44)-1)*100,"-")</f>
        <v>4.0719867507962526</v>
      </c>
      <c r="D44" s="1353">
        <f>IFERROR((('T48, T49'!D44/'T48, T49'!C44)-1)*100,"-")</f>
        <v>7.471174680217052</v>
      </c>
      <c r="E44" s="1353">
        <f>IFERROR((('T48, T49'!E44/'T48, T49'!D44)-1)*100,"-")</f>
        <v>25.870776999495249</v>
      </c>
      <c r="F44" s="1353">
        <f>IFERROR((('T48, T49'!F44/'T48, T49'!E44)-1)*100,"-")</f>
        <v>12.123345293366071</v>
      </c>
      <c r="G44" s="1353">
        <f>IFERROR((('T48, T49'!G44/'T48, T49'!F44)-1)*100,"-")</f>
        <v>-2.9396214806908016</v>
      </c>
      <c r="H44" s="1353">
        <f>IFERROR((('T48, T49'!H44/'T48, T49'!G44)-1)*100,"-")</f>
        <v>0.63255244848881009</v>
      </c>
      <c r="I44" s="1353">
        <f>IFERROR((('T48, T49'!I44/'T48, T49'!H44)-1)*100,"-")</f>
        <v>-2.9560150912178673</v>
      </c>
      <c r="J44" s="1353">
        <f>IFERROR((('T48, T49'!J44/'T48, T49'!I44)-1)*100,"-")</f>
        <v>0.62656501225208938</v>
      </c>
      <c r="K44" s="1353">
        <f>IFERROR((('T48, T49'!K44/'T48, T49'!J44)-1)*100,"-")</f>
        <v>0.86032374191935546</v>
      </c>
      <c r="L44" s="1353">
        <f>IFERROR((('T48, T49'!L44/'T48, T49'!K44)-1)*100,"-")</f>
        <v>0.74113099078911837</v>
      </c>
      <c r="N44" s="764" t="s">
        <v>1285</v>
      </c>
      <c r="O44" s="1309" t="s">
        <v>1</v>
      </c>
      <c r="P44" s="1353">
        <v>4.0719867507962526</v>
      </c>
      <c r="Q44" s="1353">
        <v>7.471174680217052</v>
      </c>
      <c r="R44" s="1353">
        <v>19.323984064689537</v>
      </c>
      <c r="S44" s="1353">
        <v>12.123345293366071</v>
      </c>
      <c r="T44" s="1353">
        <v>-2.9396214806908016</v>
      </c>
      <c r="U44" s="1353">
        <v>0.63255244848881009</v>
      </c>
      <c r="V44" s="1353">
        <v>-3.1952702594596816</v>
      </c>
      <c r="W44" s="1353">
        <v>-1.5709159976100673</v>
      </c>
      <c r="X44" s="1353">
        <v>0.96789958223000294</v>
      </c>
      <c r="Y44" s="1353">
        <v>0.83291446468820585</v>
      </c>
    </row>
    <row r="45" spans="1:25">
      <c r="A45" s="1346" t="s">
        <v>896</v>
      </c>
      <c r="B45" s="1347" t="str">
        <f>IFERROR((('T48, T49'!B45/'T48, T49'!A45)-1)*100,"-")</f>
        <v>-</v>
      </c>
      <c r="C45" s="1359">
        <f>IFERROR((('T48, T49'!C45/'T48, T49'!B45)-1)*100,"-")</f>
        <v>-20.858056817868398</v>
      </c>
      <c r="D45" s="1359">
        <f>IFERROR((('T48, T49'!D45/'T48, T49'!C45)-1)*100,"-")</f>
        <v>76.327781084888159</v>
      </c>
      <c r="E45" s="1359">
        <f>IFERROR((('T48, T49'!E45/'T48, T49'!D45)-1)*100,"-")</f>
        <v>-23.715624343665841</v>
      </c>
      <c r="F45" s="1359">
        <f>IFERROR((('T48, T49'!F45/'T48, T49'!E45)-1)*100,"-")</f>
        <v>15.402276364219203</v>
      </c>
      <c r="G45" s="1359">
        <f>IFERROR((('T48, T49'!G45/'T48, T49'!F45)-1)*100,"-")</f>
        <v>-10.252564548675892</v>
      </c>
      <c r="H45" s="1359">
        <f>IFERROR((('T48, T49'!H45/'T48, T49'!G45)-1)*100,"-")</f>
        <v>30.181520713001909</v>
      </c>
      <c r="I45" s="1359">
        <f>IFERROR((('T48, T49'!I45/'T48, T49'!H45)-1)*100,"-")</f>
        <v>-35.119571933356461</v>
      </c>
      <c r="J45" s="1359">
        <f>IFERROR((('T48, T49'!J45/'T48, T49'!I45)-1)*100,"-")</f>
        <v>-4.6863495898044842</v>
      </c>
      <c r="K45" s="1359">
        <f>IFERROR((('T48, T49'!K45/'T48, T49'!J45)-1)*100,"-")</f>
        <v>-1.4059766178979305</v>
      </c>
      <c r="L45" s="1359">
        <f>IFERROR((('T48, T49'!L45/'T48, T49'!K45)-1)*100,"-")</f>
        <v>-1.3475679700185816</v>
      </c>
      <c r="N45" s="1346" t="s">
        <v>896</v>
      </c>
      <c r="O45" s="1347" t="s">
        <v>1</v>
      </c>
      <c r="P45" s="1359">
        <v>-20.858056817868398</v>
      </c>
      <c r="Q45" s="1359">
        <v>73.474950680701042</v>
      </c>
      <c r="R45" s="1359">
        <v>-26.661699756184444</v>
      </c>
      <c r="S45" s="1359">
        <v>15.402276364219203</v>
      </c>
      <c r="T45" s="1359">
        <v>-10.666805245322941</v>
      </c>
      <c r="U45" s="1359">
        <v>19.245435903449536</v>
      </c>
      <c r="V45" s="1359">
        <v>-29.552357916629823</v>
      </c>
      <c r="W45" s="1359">
        <v>-5.835888009128098</v>
      </c>
      <c r="X45" s="1359">
        <v>-1.5435808620710589</v>
      </c>
      <c r="Y45" s="1359">
        <v>-1.4815234159217705</v>
      </c>
    </row>
    <row r="46" spans="1:25">
      <c r="A46" s="1343" t="s">
        <v>545</v>
      </c>
      <c r="B46" s="1344" t="str">
        <f>IFERROR((('T48, T49'!B46/'T48, T49'!A46)-1)*100,"-")</f>
        <v>-</v>
      </c>
      <c r="C46" s="1359">
        <f>IFERROR((('T48, T49'!C46/'T48, T49'!B46)-1)*100,"-")</f>
        <v>1.6812557982791354</v>
      </c>
      <c r="D46" s="1359">
        <f>IFERROR((('T48, T49'!D46/'T48, T49'!C46)-1)*100,"-")</f>
        <v>7.7783598258295283</v>
      </c>
      <c r="E46" s="1359">
        <f>IFERROR((('T48, T49'!E46/'T48, T49'!D46)-1)*100,"-")</f>
        <v>1.3003425635059962</v>
      </c>
      <c r="F46" s="1359">
        <f>IFERROR((('T48, T49'!F46/'T48, T49'!E46)-1)*100,"-")</f>
        <v>9.7927531347875565</v>
      </c>
      <c r="G46" s="1359">
        <f>IFERROR((('T48, T49'!G46/'T48, T49'!F46)-1)*100,"-")</f>
        <v>6.6947029771784683</v>
      </c>
      <c r="H46" s="1359">
        <f>IFERROR((('T48, T49'!H46/'T48, T49'!G46)-1)*100,"-")</f>
        <v>7.2947974266492466</v>
      </c>
      <c r="I46" s="1359">
        <f>IFERROR((('T48, T49'!I46/'T48, T49'!H46)-1)*100,"-")</f>
        <v>4.684970453342574</v>
      </c>
      <c r="J46" s="1359">
        <f>IFERROR((('T48, T49'!J46/'T48, T49'!I46)-1)*100,"-")</f>
        <v>4.59786604012975</v>
      </c>
      <c r="K46" s="1359">
        <f>IFERROR((('T48, T49'!K46/'T48, T49'!J46)-1)*100,"-")</f>
        <v>4.9149645034443967</v>
      </c>
      <c r="L46" s="1359">
        <f>IFERROR((('T48, T49'!L46/'T48, T49'!K46)-1)*100,"-")</f>
        <v>5.3247928040637937</v>
      </c>
      <c r="N46" s="1343" t="s">
        <v>545</v>
      </c>
      <c r="O46" s="1344" t="s">
        <v>1</v>
      </c>
      <c r="P46" s="1359">
        <v>1.6812557982791354</v>
      </c>
      <c r="Q46" s="1359">
        <v>7.7783598258295283</v>
      </c>
      <c r="R46" s="1359">
        <v>1.3003425635059962</v>
      </c>
      <c r="S46" s="1359">
        <v>9.7927531347875565</v>
      </c>
      <c r="T46" s="1359">
        <v>6.6947029771784683</v>
      </c>
      <c r="U46" s="1359">
        <v>7.2947974266492466</v>
      </c>
      <c r="V46" s="1359">
        <v>4.684970453342574</v>
      </c>
      <c r="W46" s="1359">
        <v>4.59786604012975</v>
      </c>
      <c r="X46" s="1359">
        <v>4.9149645034443967</v>
      </c>
      <c r="Y46" s="1359">
        <v>5.3247928040637937</v>
      </c>
    </row>
    <row r="48" spans="1:25">
      <c r="A48" s="793" t="s">
        <v>1317</v>
      </c>
      <c r="B48" s="794"/>
      <c r="C48" s="794"/>
      <c r="D48" s="794"/>
      <c r="E48" s="794"/>
      <c r="F48" s="794"/>
      <c r="G48" s="794"/>
      <c r="H48" s="794"/>
      <c r="I48" s="793"/>
      <c r="J48" s="793"/>
      <c r="K48" s="793"/>
      <c r="L48" s="793"/>
      <c r="N48" s="793" t="s">
        <v>1316</v>
      </c>
      <c r="O48" s="794"/>
      <c r="P48" s="794"/>
      <c r="Q48" s="794"/>
      <c r="R48" s="794"/>
      <c r="S48" s="794"/>
      <c r="T48" s="794"/>
      <c r="U48" s="794"/>
      <c r="V48" s="793"/>
      <c r="W48" s="793"/>
      <c r="X48" s="793"/>
      <c r="Y48" s="793"/>
    </row>
    <row r="49" spans="1:25">
      <c r="A49" s="513"/>
      <c r="B49" s="514" t="s">
        <v>891</v>
      </c>
      <c r="C49" s="514" t="s">
        <v>890</v>
      </c>
      <c r="D49" s="514" t="s">
        <v>536</v>
      </c>
      <c r="E49" s="514" t="s">
        <v>537</v>
      </c>
      <c r="F49" s="514" t="s">
        <v>538</v>
      </c>
      <c r="G49" s="514" t="s">
        <v>539</v>
      </c>
      <c r="H49" s="514" t="s">
        <v>540</v>
      </c>
      <c r="I49" s="514" t="s">
        <v>541</v>
      </c>
      <c r="J49" s="514" t="s">
        <v>542</v>
      </c>
      <c r="K49" s="514" t="s">
        <v>543</v>
      </c>
      <c r="L49" s="514" t="s">
        <v>544</v>
      </c>
      <c r="N49" s="513"/>
      <c r="O49" s="514" t="s">
        <v>891</v>
      </c>
      <c r="P49" s="514" t="s">
        <v>890</v>
      </c>
      <c r="Q49" s="514" t="s">
        <v>536</v>
      </c>
      <c r="R49" s="514" t="s">
        <v>537</v>
      </c>
      <c r="S49" s="514" t="s">
        <v>538</v>
      </c>
      <c r="T49" s="514" t="s">
        <v>539</v>
      </c>
      <c r="U49" s="514" t="s">
        <v>540</v>
      </c>
      <c r="V49" s="514" t="s">
        <v>541</v>
      </c>
      <c r="W49" s="514" t="s">
        <v>542</v>
      </c>
      <c r="X49" s="514" t="s">
        <v>543</v>
      </c>
      <c r="Y49" s="514" t="s">
        <v>544</v>
      </c>
    </row>
    <row r="50" spans="1:25">
      <c r="A50" s="1337" t="s">
        <v>1281</v>
      </c>
      <c r="B50" s="1357" t="str">
        <f>IFERROR((('T48, T49'!B50/'T48, T49'!A50)-1)*100,"-")</f>
        <v>-</v>
      </c>
      <c r="C50" s="1357">
        <f>IFERROR((('T48, T49'!C50/'T48, T49'!B50)-1)*100,"-")</f>
        <v>0.90806615822511816</v>
      </c>
      <c r="D50" s="1357">
        <f>IFERROR((('T48, T49'!D50/'T48, T49'!C50)-1)*100,"-")</f>
        <v>1.2196893384651242</v>
      </c>
      <c r="E50" s="1357">
        <f>IFERROR((('T48, T49'!E50/'T48, T49'!D50)-1)*100,"-")</f>
        <v>2.4686533724261439</v>
      </c>
      <c r="F50" s="1357">
        <f>IFERROR((('T48, T49'!F50/'T48, T49'!E50)-1)*100,"-")</f>
        <v>4.0524408671905654</v>
      </c>
      <c r="G50" s="1357">
        <f>IFERROR((('T48, T49'!G50/'T48, T49'!F50)-1)*100,"-")</f>
        <v>3.8197681971539499</v>
      </c>
      <c r="H50" s="1357">
        <f>IFERROR((('T48, T49'!H50/'T48, T49'!G50)-1)*100,"-")</f>
        <v>12.346370875447853</v>
      </c>
      <c r="I50" s="1357">
        <f>IFERROR((('T48, T49'!I50/'T48, T49'!H50)-1)*100,"-")</f>
        <v>-4.6279726036785203</v>
      </c>
      <c r="J50" s="1357">
        <f>IFERROR((('T48, T49'!J50/'T48, T49'!I50)-1)*100,"-")</f>
        <v>1.6604590897542293</v>
      </c>
      <c r="K50" s="1357">
        <f>IFERROR((('T48, T49'!K50/'T48, T49'!J50)-1)*100,"-")</f>
        <v>1.6843512195948263</v>
      </c>
      <c r="L50" s="1357">
        <f>IFERROR((('T48, T49'!L50/'T48, T49'!K50)-1)*100,"-")</f>
        <v>2.0860871477824894</v>
      </c>
      <c r="N50" s="1337" t="s">
        <v>1281</v>
      </c>
      <c r="O50" s="1338" t="s">
        <v>1</v>
      </c>
      <c r="P50" s="1358">
        <v>0.90806615822511816</v>
      </c>
      <c r="Q50" s="1358">
        <v>0.64674597911009712</v>
      </c>
      <c r="R50" s="1358">
        <v>2.020856795910575</v>
      </c>
      <c r="S50" s="1358">
        <v>4.0524408671905654</v>
      </c>
      <c r="T50" s="1358">
        <v>3.3237435248997249</v>
      </c>
      <c r="U50" s="1358">
        <v>11.95524203606726</v>
      </c>
      <c r="V50" s="1358">
        <v>-3.8244531455164932</v>
      </c>
      <c r="W50" s="1358">
        <v>1.5519423484440464</v>
      </c>
      <c r="X50" s="1358">
        <v>1.6959367024389937</v>
      </c>
      <c r="Y50" s="1358">
        <v>2.1001966057349941</v>
      </c>
    </row>
    <row r="51" spans="1:25">
      <c r="A51" s="1334" t="s">
        <v>1280</v>
      </c>
      <c r="B51" s="1309" t="str">
        <f>IFERROR((('T48, T49'!B51/'T48, T49'!A51)-1)*100,"-")</f>
        <v>-</v>
      </c>
      <c r="C51" s="1353">
        <f>IFERROR((('T48, T49'!C51/'T48, T49'!B51)-1)*100,"-")</f>
        <v>6.567761945813122</v>
      </c>
      <c r="D51" s="1353">
        <f>IFERROR((('T48, T49'!D51/'T48, T49'!C51)-1)*100,"-")</f>
        <v>7.0472494904647132</v>
      </c>
      <c r="E51" s="1353">
        <f>IFERROR((('T48, T49'!E51/'T48, T49'!D51)-1)*100,"-")</f>
        <v>-3.5636401848695209</v>
      </c>
      <c r="F51" s="1353">
        <f>IFERROR((('T48, T49'!F51/'T48, T49'!E51)-1)*100,"-")</f>
        <v>24.840581791143656</v>
      </c>
      <c r="G51" s="1353">
        <f>IFERROR((('T48, T49'!G51/'T48, T49'!F51)-1)*100,"-")</f>
        <v>4.1791533382510959</v>
      </c>
      <c r="H51" s="1353">
        <f>IFERROR((('T48, T49'!H51/'T48, T49'!G51)-1)*100,"-")</f>
        <v>126.78120400270112</v>
      </c>
      <c r="I51" s="1353">
        <f>IFERROR((('T48, T49'!I51/'T48, T49'!H51)-1)*100,"-")</f>
        <v>-70.470729927525895</v>
      </c>
      <c r="J51" s="1353">
        <f>IFERROR((('T48, T49'!J51/'T48, T49'!I51)-1)*100,"-")</f>
        <v>12.606203721630438</v>
      </c>
      <c r="K51" s="1353">
        <f>IFERROR((('T48, T49'!K51/'T48, T49'!J51)-1)*100,"-")</f>
        <v>-18.28261742733185</v>
      </c>
      <c r="L51" s="1353">
        <f>IFERROR((('T48, T49'!L51/'T48, T49'!K51)-1)*100,"-")</f>
        <v>-11.995245018301581</v>
      </c>
      <c r="N51" s="1334" t="s">
        <v>1280</v>
      </c>
      <c r="O51" s="1309" t="s">
        <v>1</v>
      </c>
      <c r="P51" s="1353">
        <v>6.567761945813122</v>
      </c>
      <c r="Q51" s="1353">
        <v>-7.8329796052254208</v>
      </c>
      <c r="R51" s="1353">
        <v>-3.5636401848695209</v>
      </c>
      <c r="S51" s="1353">
        <v>24.840581791143656</v>
      </c>
      <c r="T51" s="1353">
        <v>2.0795383981654592</v>
      </c>
      <c r="U51" s="1353">
        <v>126.78120400270112</v>
      </c>
      <c r="V51" s="1353">
        <v>-70.470729927525895</v>
      </c>
      <c r="W51" s="1353">
        <v>12.606203721630438</v>
      </c>
      <c r="X51" s="1353">
        <v>-18.28261742733185</v>
      </c>
      <c r="Y51" s="1353">
        <v>-11.995245018301581</v>
      </c>
    </row>
    <row r="52" spans="1:25">
      <c r="A52" s="1334" t="s">
        <v>1279</v>
      </c>
      <c r="B52" s="1309" t="str">
        <f>IFERROR((('T48, T49'!B52/'T48, T49'!A52)-1)*100,"-")</f>
        <v>-</v>
      </c>
      <c r="C52" s="1353">
        <f>IFERROR((('T48, T49'!C52/'T48, T49'!B52)-1)*100,"-")</f>
        <v>2.5663503440388702</v>
      </c>
      <c r="D52" s="1353">
        <f>IFERROR((('T48, T49'!D52/'T48, T49'!C52)-1)*100,"-")</f>
        <v>7.8834635895164151</v>
      </c>
      <c r="E52" s="1353">
        <f>IFERROR((('T48, T49'!E52/'T48, T49'!D52)-1)*100,"-")</f>
        <v>-10.189402946190651</v>
      </c>
      <c r="F52" s="1353">
        <f>IFERROR((('T48, T49'!F52/'T48, T49'!E52)-1)*100,"-")</f>
        <v>-11.977131101200589</v>
      </c>
      <c r="G52" s="1353">
        <f>IFERROR((('T48, T49'!G52/'T48, T49'!F52)-1)*100,"-")</f>
        <v>1.9378959889292835</v>
      </c>
      <c r="H52" s="1353">
        <f>IFERROR((('T48, T49'!H52/'T48, T49'!G52)-1)*100,"-")</f>
        <v>97.317587205307163</v>
      </c>
      <c r="I52" s="1353">
        <f>IFERROR((('T48, T49'!I52/'T48, T49'!H52)-1)*100,"-")</f>
        <v>-50.112955171832454</v>
      </c>
      <c r="J52" s="1353">
        <f>IFERROR((('T48, T49'!J52/'T48, T49'!I52)-1)*100,"-")</f>
        <v>14.245678848428556</v>
      </c>
      <c r="K52" s="1353">
        <f>IFERROR((('T48, T49'!K52/'T48, T49'!J52)-1)*100,"-")</f>
        <v>-3.4302885283290174</v>
      </c>
      <c r="L52" s="1353">
        <f>IFERROR((('T48, T49'!L52/'T48, T49'!K52)-1)*100,"-")</f>
        <v>3.0815711456222417</v>
      </c>
      <c r="N52" s="1334" t="s">
        <v>1279</v>
      </c>
      <c r="O52" s="1309" t="s">
        <v>1</v>
      </c>
      <c r="P52" s="1353">
        <v>2.5663503440388702</v>
      </c>
      <c r="Q52" s="1353">
        <v>7.8834635895164151</v>
      </c>
      <c r="R52" s="1353">
        <v>-10.189402946190651</v>
      </c>
      <c r="S52" s="1353">
        <v>-11.977131101200589</v>
      </c>
      <c r="T52" s="1353">
        <v>1.9378959889292835</v>
      </c>
      <c r="U52" s="1353">
        <v>97.317587205307163</v>
      </c>
      <c r="V52" s="1353">
        <v>-50.112955171832454</v>
      </c>
      <c r="W52" s="1353">
        <v>14.245678848428556</v>
      </c>
      <c r="X52" s="1353">
        <v>-3.4302885283290174</v>
      </c>
      <c r="Y52" s="1353">
        <v>3.0815711456222417</v>
      </c>
    </row>
    <row r="53" spans="1:25">
      <c r="A53" s="1334" t="s">
        <v>1278</v>
      </c>
      <c r="B53" s="1309" t="str">
        <f>IFERROR((('T48, T49'!B53/'T48, T49'!A53)-1)*100,"-")</f>
        <v>-</v>
      </c>
      <c r="C53" s="1353">
        <f>IFERROR((('T48, T49'!C53/'T48, T49'!B53)-1)*100,"-")</f>
        <v>-4.2522469426845451</v>
      </c>
      <c r="D53" s="1353">
        <f>IFERROR((('T48, T49'!D53/'T48, T49'!C53)-1)*100,"-")</f>
        <v>23.01956948946977</v>
      </c>
      <c r="E53" s="1353">
        <f>IFERROR((('T48, T49'!E53/'T48, T49'!D53)-1)*100,"-")</f>
        <v>18.905683769276461</v>
      </c>
      <c r="F53" s="1353">
        <f>IFERROR((('T48, T49'!F53/'T48, T49'!E53)-1)*100,"-")</f>
        <v>8.0864699240298386</v>
      </c>
      <c r="G53" s="1353">
        <f>IFERROR((('T48, T49'!G53/'T48, T49'!F53)-1)*100,"-")</f>
        <v>4.0779704665625749</v>
      </c>
      <c r="H53" s="1353">
        <f>IFERROR((('T48, T49'!H53/'T48, T49'!G53)-1)*100,"-")</f>
        <v>-4.446796587145629</v>
      </c>
      <c r="I53" s="1353">
        <f>IFERROR((('T48, T49'!I53/'T48, T49'!H53)-1)*100,"-")</f>
        <v>-11.374960399649991</v>
      </c>
      <c r="J53" s="1353">
        <f>IFERROR((('T48, T49'!J53/'T48, T49'!I53)-1)*100,"-")</f>
        <v>-8.3662985685071583</v>
      </c>
      <c r="K53" s="1353">
        <f>IFERROR((('T48, T49'!K53/'T48, T49'!J53)-1)*100,"-")</f>
        <v>-0.27869475871745708</v>
      </c>
      <c r="L53" s="1353">
        <f>IFERROR((('T48, T49'!L53/'T48, T49'!K53)-1)*100,"-")</f>
        <v>-2.9431563870736865</v>
      </c>
      <c r="N53" s="1334" t="s">
        <v>1278</v>
      </c>
      <c r="O53" s="1309" t="s">
        <v>1</v>
      </c>
      <c r="P53" s="1353">
        <v>-4.2522469426845451</v>
      </c>
      <c r="Q53" s="1353">
        <v>22.14550818207104</v>
      </c>
      <c r="R53" s="1353">
        <v>18.905591110707533</v>
      </c>
      <c r="S53" s="1353">
        <v>8.0864699240298386</v>
      </c>
      <c r="T53" s="1353">
        <v>3.8172577824111542</v>
      </c>
      <c r="U53" s="1353">
        <v>-4.4484624906743875</v>
      </c>
      <c r="V53" s="1353">
        <v>-4.2107316889704816</v>
      </c>
      <c r="W53" s="1353">
        <v>-8.3662985685071583</v>
      </c>
      <c r="X53" s="1353">
        <v>-0.27869475871745708</v>
      </c>
      <c r="Y53" s="1353">
        <v>-2.9431563870736865</v>
      </c>
    </row>
    <row r="54" spans="1:25">
      <c r="A54" s="1334" t="s">
        <v>1277</v>
      </c>
      <c r="B54" s="1309" t="str">
        <f>IFERROR((('T48, T49'!B54/'T48, T49'!A54)-1)*100,"-")</f>
        <v>-</v>
      </c>
      <c r="C54" s="1353">
        <f>IFERROR((('T48, T49'!C54/'T48, T49'!B54)-1)*100,"-")</f>
        <v>11.484116761310204</v>
      </c>
      <c r="D54" s="1353">
        <f>IFERROR((('T48, T49'!D54/'T48, T49'!C54)-1)*100,"-")</f>
        <v>-7.2832360157251692</v>
      </c>
      <c r="E54" s="1353">
        <f>IFERROR((('T48, T49'!E54/'T48, T49'!D54)-1)*100,"-")</f>
        <v>7.4849852659919724</v>
      </c>
      <c r="F54" s="1353">
        <f>IFERROR((('T48, T49'!F54/'T48, T49'!E54)-1)*100,"-")</f>
        <v>-0.89391940406766679</v>
      </c>
      <c r="G54" s="1353">
        <f>IFERROR((('T48, T49'!G54/'T48, T49'!F54)-1)*100,"-")</f>
        <v>-6.1175299675311994</v>
      </c>
      <c r="H54" s="1353">
        <f>IFERROR((('T48, T49'!H54/'T48, T49'!G54)-1)*100,"-")</f>
        <v>9.3412893426377366</v>
      </c>
      <c r="I54" s="1353">
        <f>IFERROR((('T48, T49'!I54/'T48, T49'!H54)-1)*100,"-")</f>
        <v>-0.40301910390917461</v>
      </c>
      <c r="J54" s="1353">
        <f>IFERROR((('T48, T49'!J54/'T48, T49'!I54)-1)*100,"-")</f>
        <v>-4.5993925829376225</v>
      </c>
      <c r="K54" s="1353">
        <f>IFERROR((('T48, T49'!K54/'T48, T49'!J54)-1)*100,"-")</f>
        <v>2.9157407550505221</v>
      </c>
      <c r="L54" s="1353">
        <f>IFERROR((('T48, T49'!L54/'T48, T49'!K54)-1)*100,"-")</f>
        <v>3.9055877874214717</v>
      </c>
      <c r="N54" s="1334" t="s">
        <v>1277</v>
      </c>
      <c r="O54" s="1309" t="s">
        <v>1</v>
      </c>
      <c r="P54" s="1353">
        <v>11.484116761310204</v>
      </c>
      <c r="Q54" s="1353">
        <v>-7.2832360157251692</v>
      </c>
      <c r="R54" s="1353">
        <v>7.4849852659919724</v>
      </c>
      <c r="S54" s="1353">
        <v>-0.89391940406766679</v>
      </c>
      <c r="T54" s="1353">
        <v>-6.1175299675311994</v>
      </c>
      <c r="U54" s="1353">
        <v>9.3412893426377366</v>
      </c>
      <c r="V54" s="1353">
        <v>-0.40301910390917461</v>
      </c>
      <c r="W54" s="1353">
        <v>-4.5993925829376225</v>
      </c>
      <c r="X54" s="1353">
        <v>2.9157407550505221</v>
      </c>
      <c r="Y54" s="1353">
        <v>3.9055877874214717</v>
      </c>
    </row>
    <row r="55" spans="1:25">
      <c r="A55" s="1334" t="s">
        <v>1276</v>
      </c>
      <c r="B55" s="1309" t="str">
        <f>IFERROR((('T48, T49'!B55/'T48, T49'!A55)-1)*100,"-")</f>
        <v>-</v>
      </c>
      <c r="C55" s="1353">
        <f>IFERROR((('T48, T49'!C55/'T48, T49'!B55)-1)*100,"-")</f>
        <v>44.886262801307033</v>
      </c>
      <c r="D55" s="1353">
        <f>IFERROR((('T48, T49'!D55/'T48, T49'!C55)-1)*100,"-")</f>
        <v>6.8788367870421085</v>
      </c>
      <c r="E55" s="1353">
        <f>IFERROR((('T48, T49'!E55/'T48, T49'!D55)-1)*100,"-")</f>
        <v>-19.035965888023764</v>
      </c>
      <c r="F55" s="1353">
        <f>IFERROR((('T48, T49'!F55/'T48, T49'!E55)-1)*100,"-")</f>
        <v>18.479908075071627</v>
      </c>
      <c r="G55" s="1353">
        <f>IFERROR((('T48, T49'!G55/'T48, T49'!F55)-1)*100,"-")</f>
        <v>7.7804795772086877</v>
      </c>
      <c r="H55" s="1353">
        <f>IFERROR((('T48, T49'!H55/'T48, T49'!G55)-1)*100,"-")</f>
        <v>11.406271395316558</v>
      </c>
      <c r="I55" s="1353">
        <f>IFERROR((('T48, T49'!I55/'T48, T49'!H55)-1)*100,"-")</f>
        <v>-2.3838788219322948</v>
      </c>
      <c r="J55" s="1353">
        <f>IFERROR((('T48, T49'!J55/'T48, T49'!I55)-1)*100,"-")</f>
        <v>5.739194042558271</v>
      </c>
      <c r="K55" s="1353">
        <f>IFERROR((('T48, T49'!K55/'T48, T49'!J55)-1)*100,"-")</f>
        <v>-0.62430892234413005</v>
      </c>
      <c r="L55" s="1353">
        <f>IFERROR((('T48, T49'!L55/'T48, T49'!K55)-1)*100,"-")</f>
        <v>0.18658632613235415</v>
      </c>
      <c r="N55" s="1334" t="s">
        <v>1276</v>
      </c>
      <c r="O55" s="1309" t="s">
        <v>1</v>
      </c>
      <c r="P55" s="1353">
        <v>44.886262801307033</v>
      </c>
      <c r="Q55" s="1353">
        <v>6.8788367870421085</v>
      </c>
      <c r="R55" s="1353">
        <v>-19.035965888023764</v>
      </c>
      <c r="S55" s="1353">
        <v>18.479908075071627</v>
      </c>
      <c r="T55" s="1353">
        <v>7.7804795772086877</v>
      </c>
      <c r="U55" s="1353">
        <v>11.378540456302598</v>
      </c>
      <c r="V55" s="1353">
        <v>-2.0272096056020761</v>
      </c>
      <c r="W55" s="1353">
        <v>5.739194042558271</v>
      </c>
      <c r="X55" s="1353">
        <v>-0.62430892234413005</v>
      </c>
      <c r="Y55" s="1353">
        <v>0.18658632613235415</v>
      </c>
    </row>
    <row r="56" spans="1:25">
      <c r="A56" s="1334" t="s">
        <v>1275</v>
      </c>
      <c r="B56" s="1309" t="str">
        <f>IFERROR((('T48, T49'!B56/'T48, T49'!A56)-1)*100,"-")</f>
        <v>-</v>
      </c>
      <c r="C56" s="1353">
        <f>IFERROR((('T48, T49'!C56/'T48, T49'!B56)-1)*100,"-")</f>
        <v>-15.004617986662049</v>
      </c>
      <c r="D56" s="1353">
        <f>IFERROR((('T48, T49'!D56/'T48, T49'!C56)-1)*100,"-")</f>
        <v>11.891697121815014</v>
      </c>
      <c r="E56" s="1353">
        <f>IFERROR((('T48, T49'!E56/'T48, T49'!D56)-1)*100,"-")</f>
        <v>6.6343989759873212</v>
      </c>
      <c r="F56" s="1353">
        <f>IFERROR((('T48, T49'!F56/'T48, T49'!E56)-1)*100,"-")</f>
        <v>14.924964103524839</v>
      </c>
      <c r="G56" s="1353">
        <f>IFERROR((('T48, T49'!G56/'T48, T49'!F56)-1)*100,"-")</f>
        <v>-16.4827193586483</v>
      </c>
      <c r="H56" s="1353">
        <f>IFERROR((('T48, T49'!H56/'T48, T49'!G56)-1)*100,"-")</f>
        <v>6.9925595622844172</v>
      </c>
      <c r="I56" s="1353">
        <f>IFERROR((('T48, T49'!I56/'T48, T49'!H56)-1)*100,"-")</f>
        <v>7.7235273936845594</v>
      </c>
      <c r="J56" s="1353">
        <f>IFERROR((('T48, T49'!J56/'T48, T49'!I56)-1)*100,"-")</f>
        <v>2.8291047721120233</v>
      </c>
      <c r="K56" s="1353">
        <f>IFERROR((('T48, T49'!K56/'T48, T49'!J56)-1)*100,"-")</f>
        <v>12.976618182899568</v>
      </c>
      <c r="L56" s="1353">
        <f>IFERROR((('T48, T49'!L56/'T48, T49'!K56)-1)*100,"-")</f>
        <v>3.7954024976779355</v>
      </c>
      <c r="N56" s="1334" t="s">
        <v>1275</v>
      </c>
      <c r="O56" s="1309" t="s">
        <v>1</v>
      </c>
      <c r="P56" s="1353">
        <v>-15.004617986662049</v>
      </c>
      <c r="Q56" s="1353">
        <v>11.891697121815014</v>
      </c>
      <c r="R56" s="1353">
        <v>6.6343989759873212</v>
      </c>
      <c r="S56" s="1353">
        <v>14.924964103524839</v>
      </c>
      <c r="T56" s="1353">
        <v>-16.4827193586483</v>
      </c>
      <c r="U56" s="1353">
        <v>6.9925595622844172</v>
      </c>
      <c r="V56" s="1353">
        <v>7.7235273936845594</v>
      </c>
      <c r="W56" s="1353">
        <v>2.8291047721120233</v>
      </c>
      <c r="X56" s="1353">
        <v>12.976618182899568</v>
      </c>
      <c r="Y56" s="1353">
        <v>3.7954024976779355</v>
      </c>
    </row>
    <row r="57" spans="1:25">
      <c r="A57" s="1337" t="s">
        <v>1274</v>
      </c>
      <c r="B57" s="1338" t="str">
        <f>IFERROR((('T48, T49'!B57/'T48, T49'!A57)-1)*100,"-")</f>
        <v>-</v>
      </c>
      <c r="C57" s="1357">
        <f>IFERROR((('T48, T49'!C57/'T48, T49'!B57)-1)*100,"-")</f>
        <v>0.47568674364710795</v>
      </c>
      <c r="D57" s="1357">
        <f>IFERROR((('T48, T49'!D57/'T48, T49'!C57)-1)*100,"-")</f>
        <v>0.35947168490335635</v>
      </c>
      <c r="E57" s="1357">
        <f>IFERROR((('T48, T49'!E57/'T48, T49'!D57)-1)*100,"-")</f>
        <v>1.9635088488845431</v>
      </c>
      <c r="F57" s="1357">
        <f>IFERROR((('T48, T49'!F57/'T48, T49'!E57)-1)*100,"-")</f>
        <v>3.2465083727949429</v>
      </c>
      <c r="G57" s="1357">
        <f>IFERROR((('T48, T49'!G57/'T48, T49'!F57)-1)*100,"-")</f>
        <v>4.9687404573031335</v>
      </c>
      <c r="H57" s="1357">
        <f>IFERROR((('T48, T49'!H57/'T48, T49'!G57)-1)*100,"-")</f>
        <v>6.8264198377592678</v>
      </c>
      <c r="I57" s="1357">
        <f>IFERROR((('T48, T49'!I57/'T48, T49'!H57)-1)*100,"-")</f>
        <v>3.1028015737899262</v>
      </c>
      <c r="J57" s="1357">
        <f>IFERROR((('T48, T49'!J57/'T48, T49'!I57)-1)*100,"-")</f>
        <v>1.8849539256555525</v>
      </c>
      <c r="K57" s="1357">
        <f>IFERROR((('T48, T49'!K57/'T48, T49'!J57)-1)*100,"-")</f>
        <v>2.1623076139723141</v>
      </c>
      <c r="L57" s="1357">
        <f>IFERROR((('T48, T49'!L57/'T48, T49'!K57)-1)*100,"-")</f>
        <v>2.4961095535840583</v>
      </c>
      <c r="N57" s="1337" t="s">
        <v>1274</v>
      </c>
      <c r="O57" s="1338" t="s">
        <v>1</v>
      </c>
      <c r="P57" s="1357">
        <v>0.47568674364710795</v>
      </c>
      <c r="Q57" s="1357">
        <v>0.30449497117936986</v>
      </c>
      <c r="R57" s="1357">
        <v>1.4274666211019138</v>
      </c>
      <c r="S57" s="1357">
        <v>3.2465083727949429</v>
      </c>
      <c r="T57" s="1357">
        <v>4.483707469580489</v>
      </c>
      <c r="U57" s="1357">
        <v>6.3576572580251511</v>
      </c>
      <c r="V57" s="1357">
        <v>3.873524906392678</v>
      </c>
      <c r="W57" s="1357">
        <v>1.7597647751141698</v>
      </c>
      <c r="X57" s="1357">
        <v>2.179638739847678</v>
      </c>
      <c r="Y57" s="1357">
        <v>2.5156893683376369</v>
      </c>
    </row>
    <row r="58" spans="1:25">
      <c r="A58" s="1335" t="s">
        <v>1273</v>
      </c>
      <c r="B58" s="1323" t="str">
        <f>IFERROR((('T48, T49'!B58/'T48, T49'!A58)-1)*100,"-")</f>
        <v>-</v>
      </c>
      <c r="C58" s="1354">
        <f>IFERROR((('T48, T49'!C58/'T48, T49'!B58)-1)*100,"-")</f>
        <v>1.5887924649598872</v>
      </c>
      <c r="D58" s="1354">
        <f>IFERROR((('T48, T49'!D58/'T48, T49'!C58)-1)*100,"-")</f>
        <v>2.5481111523776523</v>
      </c>
      <c r="E58" s="1354">
        <f>IFERROR((('T48, T49'!E58/'T48, T49'!D58)-1)*100,"-")</f>
        <v>2.1067836770152004</v>
      </c>
      <c r="F58" s="1354">
        <f>IFERROR((('T48, T49'!F58/'T48, T49'!E58)-1)*100,"-")</f>
        <v>3.7336797516315468</v>
      </c>
      <c r="G58" s="1354">
        <f>IFERROR((('T48, T49'!G58/'T48, T49'!F58)-1)*100,"-")</f>
        <v>3.8687832551565826</v>
      </c>
      <c r="H58" s="1354">
        <f>IFERROR((('T48, T49'!H58/'T48, T49'!G58)-1)*100,"-")</f>
        <v>5.2076489079285082</v>
      </c>
      <c r="I58" s="1354">
        <f>IFERROR((('T48, T49'!I58/'T48, T49'!H58)-1)*100,"-")</f>
        <v>4.4930912583130089</v>
      </c>
      <c r="J58" s="1354">
        <f>IFERROR((('T48, T49'!J58/'T48, T49'!I58)-1)*100,"-")</f>
        <v>1.3980127794373631</v>
      </c>
      <c r="K58" s="1354">
        <f>IFERROR((('T48, T49'!K58/'T48, T49'!J58)-1)*100,"-")</f>
        <v>3.8218427757739315</v>
      </c>
      <c r="L58" s="1354">
        <f>IFERROR((('T48, T49'!L58/'T48, T49'!K58)-1)*100,"-")</f>
        <v>3.2455614063412019</v>
      </c>
      <c r="N58" s="1335" t="s">
        <v>1273</v>
      </c>
      <c r="O58" s="1323" t="s">
        <v>1</v>
      </c>
      <c r="P58" s="1354">
        <v>1.5887924649598872</v>
      </c>
      <c r="Q58" s="1354">
        <v>-1.8902570977811783</v>
      </c>
      <c r="R58" s="1354">
        <v>1.4364194213215331</v>
      </c>
      <c r="S58" s="1354">
        <v>3.7336797516315468</v>
      </c>
      <c r="T58" s="1354">
        <v>2.2829690675224779</v>
      </c>
      <c r="U58" s="1354">
        <v>5.1292131375946015</v>
      </c>
      <c r="V58" s="1354">
        <v>5.360452776348712</v>
      </c>
      <c r="W58" s="1354">
        <v>1.0678392511964896</v>
      </c>
      <c r="X58" s="1354">
        <v>3.8573587480845495</v>
      </c>
      <c r="Y58" s="1354">
        <v>3.2746018634866259</v>
      </c>
    </row>
    <row r="59" spans="1:25">
      <c r="A59" s="1334" t="s">
        <v>53</v>
      </c>
      <c r="B59" s="1309" t="str">
        <f>IFERROR((('T48, T49'!B59/'T48, T49'!A59)-1)*100,"-")</f>
        <v>-</v>
      </c>
      <c r="C59" s="1353">
        <f>IFERROR((('T48, T49'!C59/'T48, T49'!B59)-1)*100,"-")</f>
        <v>3.2205281732627045</v>
      </c>
      <c r="D59" s="1353">
        <f>IFERROR((('T48, T49'!D59/'T48, T49'!C59)-1)*100,"-")</f>
        <v>1.6725302727058189</v>
      </c>
      <c r="E59" s="1353">
        <f>IFERROR((('T48, T49'!E59/'T48, T49'!D59)-1)*100,"-")</f>
        <v>3.0132529987131562</v>
      </c>
      <c r="F59" s="1353">
        <f>IFERROR((('T48, T49'!F59/'T48, T49'!E59)-1)*100,"-")</f>
        <v>5.4113572868455417</v>
      </c>
      <c r="G59" s="1353">
        <f>IFERROR((('T48, T49'!G59/'T48, T49'!F59)-1)*100,"-")</f>
        <v>4.7777235995334566</v>
      </c>
      <c r="H59" s="1353">
        <f>IFERROR((('T48, T49'!H59/'T48, T49'!G59)-1)*100,"-")</f>
        <v>4.6569355509407107</v>
      </c>
      <c r="I59" s="1353">
        <f>IFERROR((('T48, T49'!I59/'T48, T49'!H59)-1)*100,"-")</f>
        <v>3.5286394651774966</v>
      </c>
      <c r="J59" s="1353">
        <f>IFERROR((('T48, T49'!J59/'T48, T49'!I59)-1)*100,"-")</f>
        <v>4.8809215975868181</v>
      </c>
      <c r="K59" s="1353">
        <f>IFERROR((('T48, T49'!K59/'T48, T49'!J59)-1)*100,"-")</f>
        <v>4.841192517067805</v>
      </c>
      <c r="L59" s="1353">
        <f>IFERROR((('T48, T49'!L59/'T48, T49'!K59)-1)*100,"-")</f>
        <v>5.278516227613772</v>
      </c>
      <c r="N59" s="1334" t="s">
        <v>53</v>
      </c>
      <c r="O59" s="1309" t="s">
        <v>1</v>
      </c>
      <c r="P59" s="1353">
        <v>3.2205281732627045</v>
      </c>
      <c r="Q59" s="1353">
        <v>-2.262768543720628</v>
      </c>
      <c r="R59" s="1353">
        <v>2.5657386484310374</v>
      </c>
      <c r="S59" s="1353">
        <v>5.4113572868455417</v>
      </c>
      <c r="T59" s="1353">
        <v>3.6365782702781679</v>
      </c>
      <c r="U59" s="1353">
        <v>4.5813974656208956</v>
      </c>
      <c r="V59" s="1353">
        <v>3.5326535219060373</v>
      </c>
      <c r="W59" s="1353">
        <v>4.7153893812150294</v>
      </c>
      <c r="X59" s="1353">
        <v>4.8659443062505803</v>
      </c>
      <c r="Y59" s="1353">
        <v>5.3042516697052511</v>
      </c>
    </row>
    <row r="60" spans="1:25">
      <c r="A60" s="1334" t="s">
        <v>54</v>
      </c>
      <c r="B60" s="1309" t="str">
        <f>IFERROR((('T48, T49'!B60/'T48, T49'!A60)-1)*100,"-")</f>
        <v>-</v>
      </c>
      <c r="C60" s="1353">
        <f>IFERROR((('T48, T49'!C60/'T48, T49'!B60)-1)*100,"-")</f>
        <v>-1.1298928440678702</v>
      </c>
      <c r="D60" s="1353">
        <f>IFERROR((('T48, T49'!D60/'T48, T49'!C60)-1)*100,"-")</f>
        <v>3.6518156191050366</v>
      </c>
      <c r="E60" s="1353">
        <f>IFERROR((('T48, T49'!E60/'T48, T49'!D60)-1)*100,"-")</f>
        <v>0.57899989253649142</v>
      </c>
      <c r="F60" s="1353">
        <f>IFERROR((('T48, T49'!F60/'T48, T49'!E60)-1)*100,"-")</f>
        <v>1.2504191892710903</v>
      </c>
      <c r="G60" s="1353">
        <f>IFERROR((('T48, T49'!G60/'T48, T49'!F60)-1)*100,"-")</f>
        <v>2.8611734627083107</v>
      </c>
      <c r="H60" s="1353">
        <f>IFERROR((('T48, T49'!H60/'T48, T49'!G60)-1)*100,"-")</f>
        <v>6.0964925285642568</v>
      </c>
      <c r="I60" s="1353">
        <f>IFERROR((('T48, T49'!I60/'T48, T49'!H60)-1)*100,"-")</f>
        <v>6.6888275271720143</v>
      </c>
      <c r="J60" s="1353">
        <f>IFERROR((('T48, T49'!J60/'T48, T49'!I60)-1)*100,"-")</f>
        <v>-3.9422807218813527</v>
      </c>
      <c r="K60" s="1353">
        <f>IFERROR((('T48, T49'!K60/'T48, T49'!J60)-1)*100,"-")</f>
        <v>2.1709457295546297</v>
      </c>
      <c r="L60" s="1353">
        <f>IFERROR((('T48, T49'!L60/'T48, T49'!K60)-1)*100,"-")</f>
        <v>-0.11760004057222995</v>
      </c>
      <c r="N60" s="1334" t="s">
        <v>54</v>
      </c>
      <c r="O60" s="1309" t="s">
        <v>1</v>
      </c>
      <c r="P60" s="1353">
        <v>-1.1298928440678702</v>
      </c>
      <c r="Q60" s="1353">
        <v>-1.5981984717211795</v>
      </c>
      <c r="R60" s="1353">
        <v>-0.34234856538890579</v>
      </c>
      <c r="S60" s="1353">
        <v>1.2504191892710903</v>
      </c>
      <c r="T60" s="1353">
        <v>0.56940776319744923</v>
      </c>
      <c r="U60" s="1353">
        <v>6.0224202859351594</v>
      </c>
      <c r="V60" s="1353">
        <v>8.7037807348680154</v>
      </c>
      <c r="W60" s="1353">
        <v>-4.5583209046114126</v>
      </c>
      <c r="X60" s="1353">
        <v>2.2063988098848242</v>
      </c>
      <c r="Y60" s="1353">
        <v>-0.11947907351014253</v>
      </c>
    </row>
    <row r="61" spans="1:25">
      <c r="A61" s="1334" t="s">
        <v>55</v>
      </c>
      <c r="B61" s="1309" t="str">
        <f>IFERROR((('T48, T49'!B61/'T48, T49'!A61)-1)*100,"-")</f>
        <v>-</v>
      </c>
      <c r="C61" s="1353">
        <f>IFERROR((('T48, T49'!C61/'T48, T49'!B61)-1)*100,"-")</f>
        <v>38.115052387248546</v>
      </c>
      <c r="D61" s="1353">
        <f>IFERROR((('T48, T49'!D61/'T48, T49'!C61)-1)*100,"-")</f>
        <v>14.201874634876877</v>
      </c>
      <c r="E61" s="1353">
        <f>IFERROR((('T48, T49'!E61/'T48, T49'!D61)-1)*100,"-")</f>
        <v>14.534072710450353</v>
      </c>
      <c r="F61" s="1353">
        <f>IFERROR((('T48, T49'!F61/'T48, T49'!E61)-1)*100,"-")</f>
        <v>3.784412823578398</v>
      </c>
      <c r="G61" s="1353">
        <f>IFERROR((('T48, T49'!G61/'T48, T49'!F61)-1)*100,"-")</f>
        <v>-15.274706154399521</v>
      </c>
      <c r="H61" s="1353">
        <f>IFERROR((('T48, T49'!H61/'T48, T49'!G61)-1)*100,"-")</f>
        <v>3.7431990659335668</v>
      </c>
      <c r="I61" s="1353">
        <f>IFERROR((('T48, T49'!I61/'T48, T49'!H61)-1)*100,"-")</f>
        <v>-38.076292113810837</v>
      </c>
      <c r="J61" s="1353">
        <f>IFERROR((('T48, T49'!J61/'T48, T49'!I61)-1)*100,"-")</f>
        <v>12.788029269839839</v>
      </c>
      <c r="K61" s="1353">
        <f>IFERROR((('T48, T49'!K61/'T48, T49'!J61)-1)*100,"-")</f>
        <v>1.979509644564259</v>
      </c>
      <c r="L61" s="1353">
        <f>IFERROR((('T48, T49'!L61/'T48, T49'!K61)-1)*100,"-")</f>
        <v>-1.9008680459058125</v>
      </c>
      <c r="N61" s="1334" t="s">
        <v>55</v>
      </c>
      <c r="O61" s="1309" t="s">
        <v>1</v>
      </c>
      <c r="P61" s="1353">
        <v>38.115052387248546</v>
      </c>
      <c r="Q61" s="1353">
        <v>14.201874634876877</v>
      </c>
      <c r="R61" s="1353">
        <v>9.8246782633798269</v>
      </c>
      <c r="S61" s="1353">
        <v>3.784412823578398</v>
      </c>
      <c r="T61" s="1353">
        <v>-15.836572702918861</v>
      </c>
      <c r="U61" s="1353">
        <v>3.1371597676856267</v>
      </c>
      <c r="V61" s="1353">
        <v>-25.853168328208309</v>
      </c>
      <c r="W61" s="1353">
        <v>12.788029269839839</v>
      </c>
      <c r="X61" s="1353">
        <v>1.979509644564259</v>
      </c>
      <c r="Y61" s="1353">
        <v>-1.9008680459058125</v>
      </c>
    </row>
    <row r="62" spans="1:25">
      <c r="A62" s="1326" t="s">
        <v>1272</v>
      </c>
      <c r="B62" s="1323" t="str">
        <f>IFERROR((('T48, T49'!B62/'T48, T49'!A62)-1)*100,"-")</f>
        <v>-</v>
      </c>
      <c r="C62" s="1354">
        <f>IFERROR((('T48, T49'!C62/'T48, T49'!B62)-1)*100,"-")</f>
        <v>6.4909582208868999</v>
      </c>
      <c r="D62" s="1354">
        <f>IFERROR((('T48, T49'!D62/'T48, T49'!C62)-1)*100,"-")</f>
        <v>2.5699206349327097</v>
      </c>
      <c r="E62" s="1354">
        <f>IFERROR((('T48, T49'!E62/'T48, T49'!D62)-1)*100,"-")</f>
        <v>2.9240744158404164</v>
      </c>
      <c r="F62" s="1354">
        <f>IFERROR((('T48, T49'!F62/'T48, T49'!E62)-1)*100,"-")</f>
        <v>2.6391822486119487</v>
      </c>
      <c r="G62" s="1354">
        <f>IFERROR((('T48, T49'!G62/'T48, T49'!F62)-1)*100,"-")</f>
        <v>4.361481863040817</v>
      </c>
      <c r="H62" s="1354">
        <f>IFERROR((('T48, T49'!H62/'T48, T49'!G62)-1)*100,"-")</f>
        <v>1.7244786057504013</v>
      </c>
      <c r="I62" s="1354">
        <f>IFERROR((('T48, T49'!I62/'T48, T49'!H62)-1)*100,"-")</f>
        <v>2.6849417548839849</v>
      </c>
      <c r="J62" s="1354">
        <f>IFERROR((('T48, T49'!J62/'T48, T49'!I62)-1)*100,"-")</f>
        <v>2.9623039780089844</v>
      </c>
      <c r="K62" s="1354">
        <f>IFERROR((('T48, T49'!K62/'T48, T49'!J62)-1)*100,"-")</f>
        <v>2.1006273897458572</v>
      </c>
      <c r="L62" s="1354">
        <f>IFERROR((('T48, T49'!L62/'T48, T49'!K62)-1)*100,"-")</f>
        <v>2.6863743528110939</v>
      </c>
      <c r="N62" s="1326" t="s">
        <v>1272</v>
      </c>
      <c r="O62" s="1323" t="s">
        <v>1</v>
      </c>
      <c r="P62" s="1354">
        <v>6.4909582208868999</v>
      </c>
      <c r="Q62" s="1354">
        <v>2.5699206349327097</v>
      </c>
      <c r="R62" s="1354">
        <v>2.9240744158404164</v>
      </c>
      <c r="S62" s="1354">
        <v>2.6391822486119487</v>
      </c>
      <c r="T62" s="1354">
        <v>4.361481863040817</v>
      </c>
      <c r="U62" s="1354">
        <v>1.7244786057504013</v>
      </c>
      <c r="V62" s="1354">
        <v>2.6849417548839849</v>
      </c>
      <c r="W62" s="1354">
        <v>2.9623039780089844</v>
      </c>
      <c r="X62" s="1354">
        <v>2.1006273897458572</v>
      </c>
      <c r="Y62" s="1354">
        <v>2.6863743528110939</v>
      </c>
    </row>
    <row r="63" spans="1:25">
      <c r="A63" s="988" t="s">
        <v>908</v>
      </c>
      <c r="B63" s="1309" t="str">
        <f>IFERROR((('T48, T49'!B63/'T48, T49'!A63)-1)*100,"-")</f>
        <v>-</v>
      </c>
      <c r="C63" s="1353">
        <f>IFERROR((('T48, T49'!C63/'T48, T49'!B63)-1)*100,"-")</f>
        <v>6.7204309330775258</v>
      </c>
      <c r="D63" s="1353">
        <f>IFERROR((('T48, T49'!D63/'T48, T49'!C63)-1)*100,"-")</f>
        <v>2.60335727165113</v>
      </c>
      <c r="E63" s="1353">
        <f>IFERROR((('T48, T49'!E63/'T48, T49'!D63)-1)*100,"-")</f>
        <v>3.2066580474958917</v>
      </c>
      <c r="F63" s="1353">
        <f>IFERROR((('T48, T49'!F63/'T48, T49'!E63)-1)*100,"-")</f>
        <v>2.9422557788382431</v>
      </c>
      <c r="G63" s="1353">
        <f>IFERROR((('T48, T49'!G63/'T48, T49'!F63)-1)*100,"-")</f>
        <v>3.9443476530027111</v>
      </c>
      <c r="H63" s="1353">
        <f>IFERROR((('T48, T49'!H63/'T48, T49'!G63)-1)*100,"-")</f>
        <v>1.5785481580937066</v>
      </c>
      <c r="I63" s="1353">
        <f>IFERROR((('T48, T49'!I63/'T48, T49'!H63)-1)*100,"-")</f>
        <v>2.582420229246174</v>
      </c>
      <c r="J63" s="1353">
        <f>IFERROR((('T48, T49'!J63/'T48, T49'!I63)-1)*100,"-")</f>
        <v>3.295533225942826</v>
      </c>
      <c r="K63" s="1353">
        <f>IFERROR((('T48, T49'!K63/'T48, T49'!J63)-1)*100,"-")</f>
        <v>2.0907002730737201</v>
      </c>
      <c r="L63" s="1353">
        <f>IFERROR((('T48, T49'!L63/'T48, T49'!K63)-1)*100,"-")</f>
        <v>2.667116677844894</v>
      </c>
      <c r="N63" s="988" t="s">
        <v>908</v>
      </c>
      <c r="O63" s="1309" t="s">
        <v>1</v>
      </c>
      <c r="P63" s="1353">
        <v>6.7204309330775258</v>
      </c>
      <c r="Q63" s="1353">
        <v>2.60335727165113</v>
      </c>
      <c r="R63" s="1353">
        <v>3.2066580474958917</v>
      </c>
      <c r="S63" s="1353">
        <v>2.9422557788382431</v>
      </c>
      <c r="T63" s="1353">
        <v>3.9443476530027111</v>
      </c>
      <c r="U63" s="1353">
        <v>1.5785481580937066</v>
      </c>
      <c r="V63" s="1353">
        <v>2.582420229246174</v>
      </c>
      <c r="W63" s="1353">
        <v>3.295533225942826</v>
      </c>
      <c r="X63" s="1353">
        <v>2.0907002730737201</v>
      </c>
      <c r="Y63" s="1353">
        <v>2.667116677844894</v>
      </c>
    </row>
    <row r="64" spans="1:25">
      <c r="A64" s="1333" t="s">
        <v>1271</v>
      </c>
      <c r="B64" s="1309" t="str">
        <f>IFERROR((('T48, T49'!B64/'T48, T49'!A64)-1)*100,"-")</f>
        <v>-</v>
      </c>
      <c r="C64" s="1353">
        <f>IFERROR((('T48, T49'!C64/'T48, T49'!B64)-1)*100,"-")</f>
        <v>138.53403477881253</v>
      </c>
      <c r="D64" s="1353">
        <f>IFERROR((('T48, T49'!D64/'T48, T49'!C64)-1)*100,"-")</f>
        <v>-36.23517628977082</v>
      </c>
      <c r="E64" s="1353">
        <f>IFERROR((('T48, T49'!E64/'T48, T49'!D64)-1)*100,"-")</f>
        <v>-28.437212671751531</v>
      </c>
      <c r="F64" s="1353">
        <f>IFERROR((('T48, T49'!F64/'T48, T49'!E64)-1)*100,"-")</f>
        <v>-45.463150001280454</v>
      </c>
      <c r="G64" s="1353">
        <f>IFERROR((('T48, T49'!G64/'T48, T49'!F64)-1)*100,"-")</f>
        <v>65.633886582199068</v>
      </c>
      <c r="H64" s="1353">
        <f>IFERROR((('T48, T49'!H64/'T48, T49'!G64)-1)*100,"-")</f>
        <v>-39.528441283436841</v>
      </c>
      <c r="I64" s="1353">
        <f>IFERROR((('T48, T49'!I64/'T48, T49'!H64)-1)*100,"-")</f>
        <v>119.96553029553083</v>
      </c>
      <c r="J64" s="1353">
        <f>IFERROR((('T48, T49'!J64/'T48, T49'!I64)-1)*100,"-")</f>
        <v>-42.957526969265217</v>
      </c>
      <c r="K64" s="1353">
        <f>IFERROR((('T48, T49'!K64/'T48, T49'!J64)-1)*100,"-")</f>
        <v>-15.204528162334686</v>
      </c>
      <c r="L64" s="1353">
        <f>IFERROR((('T48, T49'!L64/'T48, T49'!K64)-1)*100,"-")</f>
        <v>-4.6385940895315114</v>
      </c>
      <c r="N64" s="1333" t="s">
        <v>1271</v>
      </c>
      <c r="O64" s="1309" t="s">
        <v>1</v>
      </c>
      <c r="P64" s="1353">
        <v>138.53403477881253</v>
      </c>
      <c r="Q64" s="1353">
        <v>-36.23517628977082</v>
      </c>
      <c r="R64" s="1353">
        <v>-28.437212671751531</v>
      </c>
      <c r="S64" s="1353">
        <v>-45.463150001280454</v>
      </c>
      <c r="T64" s="1353">
        <v>65.633886582199068</v>
      </c>
      <c r="U64" s="1353">
        <v>-39.528441283436841</v>
      </c>
      <c r="V64" s="1353">
        <v>119.96553029553083</v>
      </c>
      <c r="W64" s="1353">
        <v>-42.957526969265217</v>
      </c>
      <c r="X64" s="1353">
        <v>-15.204528162334686</v>
      </c>
      <c r="Y64" s="1353">
        <v>-4.6385940895315114</v>
      </c>
    </row>
    <row r="65" spans="1:25">
      <c r="A65" s="1333" t="s">
        <v>1270</v>
      </c>
      <c r="B65" s="1309" t="str">
        <f>IFERROR((('T48, T49'!B65/'T48, T49'!A65)-1)*100,"-")</f>
        <v>-</v>
      </c>
      <c r="C65" s="1353">
        <f>IFERROR((('T48, T49'!C65/'T48, T49'!B65)-1)*100,"-")</f>
        <v>6.8813849310986663</v>
      </c>
      <c r="D65" s="1353">
        <f>IFERROR((('T48, T49'!D65/'T48, T49'!C65)-1)*100,"-")</f>
        <v>12.696836385213528</v>
      </c>
      <c r="E65" s="1353">
        <f>IFERROR((('T48, T49'!E65/'T48, T49'!D65)-1)*100,"-")</f>
        <v>12.249560457247433</v>
      </c>
      <c r="F65" s="1353">
        <f>IFERROR((('T48, T49'!F65/'T48, T49'!E65)-1)*100,"-")</f>
        <v>-6.7090990953133307</v>
      </c>
      <c r="G65" s="1353">
        <f>IFERROR((('T48, T49'!G65/'T48, T49'!F65)-1)*100,"-")</f>
        <v>-4.6622071802923992</v>
      </c>
      <c r="H65" s="1353">
        <f>IFERROR((('T48, T49'!H65/'T48, T49'!G65)-1)*100,"-")</f>
        <v>9.0003667965198773</v>
      </c>
      <c r="I65" s="1353">
        <f>IFERROR((('T48, T49'!I65/'T48, T49'!H65)-1)*100,"-")</f>
        <v>12.088222663771431</v>
      </c>
      <c r="J65" s="1353">
        <f>IFERROR((('T48, T49'!J65/'T48, T49'!I65)-1)*100,"-")</f>
        <v>9.4404670046833736</v>
      </c>
      <c r="K65" s="1353">
        <f>IFERROR((('T48, T49'!K65/'T48, T49'!J65)-1)*100,"-")</f>
        <v>6.621156119767635</v>
      </c>
      <c r="L65" s="1353">
        <f>IFERROR((('T48, T49'!L65/'T48, T49'!K65)-1)*100,"-")</f>
        <v>6.4116780254190431</v>
      </c>
      <c r="N65" s="1333" t="s">
        <v>1270</v>
      </c>
      <c r="O65" s="1309" t="s">
        <v>1</v>
      </c>
      <c r="P65" s="1353">
        <v>6.8813849310986663</v>
      </c>
      <c r="Q65" s="1353">
        <v>12.696836385213528</v>
      </c>
      <c r="R65" s="1353">
        <v>12.249560457247433</v>
      </c>
      <c r="S65" s="1353">
        <v>-6.7090990953133307</v>
      </c>
      <c r="T65" s="1353">
        <v>-4.6622071802923992</v>
      </c>
      <c r="U65" s="1353">
        <v>9.0003667965198773</v>
      </c>
      <c r="V65" s="1353">
        <v>12.088222663771431</v>
      </c>
      <c r="W65" s="1353">
        <v>9.4404670046833736</v>
      </c>
      <c r="X65" s="1353">
        <v>6.621156119767635</v>
      </c>
      <c r="Y65" s="1353">
        <v>6.4116780254190431</v>
      </c>
    </row>
    <row r="66" spans="1:25">
      <c r="A66" s="1333" t="s">
        <v>1269</v>
      </c>
      <c r="B66" s="1309" t="str">
        <f>IFERROR((('T48, T49'!B66/'T48, T49'!A66)-1)*100,"-")</f>
        <v>-</v>
      </c>
      <c r="C66" s="1353">
        <f>IFERROR((('T48, T49'!C66/'T48, T49'!B66)-1)*100,"-")</f>
        <v>4.1665278019016982</v>
      </c>
      <c r="D66" s="1353">
        <f>IFERROR((('T48, T49'!D66/'T48, T49'!C66)-1)*100,"-")</f>
        <v>2.7883711454229632</v>
      </c>
      <c r="E66" s="1353">
        <f>IFERROR((('T48, T49'!E66/'T48, T49'!D66)-1)*100,"-")</f>
        <v>4.6145133382901271</v>
      </c>
      <c r="F66" s="1353">
        <f>IFERROR((('T48, T49'!F66/'T48, T49'!E66)-1)*100,"-")</f>
        <v>4.5096135392122649</v>
      </c>
      <c r="G66" s="1353">
        <f>IFERROR((('T48, T49'!G66/'T48, T49'!F66)-1)*100,"-")</f>
        <v>5.8881796025953337</v>
      </c>
      <c r="H66" s="1353">
        <f>IFERROR((('T48, T49'!H66/'T48, T49'!G66)-1)*100,"-")</f>
        <v>1.8649038839355647</v>
      </c>
      <c r="I66" s="1353">
        <f>IFERROR((('T48, T49'!I66/'T48, T49'!H66)-1)*100,"-")</f>
        <v>2.3325704998985897</v>
      </c>
      <c r="J66" s="1353">
        <f>IFERROR((('T48, T49'!J66/'T48, T49'!I66)-1)*100,"-")</f>
        <v>4.2134127170171176</v>
      </c>
      <c r="K66" s="1353">
        <f>IFERROR((('T48, T49'!K66/'T48, T49'!J66)-1)*100,"-")</f>
        <v>2.3976794500136567</v>
      </c>
      <c r="L66" s="1353">
        <f>IFERROR((('T48, T49'!L66/'T48, T49'!K66)-1)*100,"-")</f>
        <v>3.0977060951727919</v>
      </c>
      <c r="N66" s="1333" t="s">
        <v>1269</v>
      </c>
      <c r="O66" s="1309" t="s">
        <v>1</v>
      </c>
      <c r="P66" s="1353">
        <v>4.1665278019016982</v>
      </c>
      <c r="Q66" s="1353">
        <v>2.7883711454229632</v>
      </c>
      <c r="R66" s="1353">
        <v>4.6145133382901271</v>
      </c>
      <c r="S66" s="1353">
        <v>4.5096135392122649</v>
      </c>
      <c r="T66" s="1353">
        <v>5.8881796025953337</v>
      </c>
      <c r="U66" s="1353">
        <v>1.8649038839355647</v>
      </c>
      <c r="V66" s="1353">
        <v>2.3325704998985897</v>
      </c>
      <c r="W66" s="1353">
        <v>4.2134127170171176</v>
      </c>
      <c r="X66" s="1353">
        <v>2.3976794500136567</v>
      </c>
      <c r="Y66" s="1353">
        <v>3.0977060951727919</v>
      </c>
    </row>
    <row r="67" spans="1:25">
      <c r="A67" s="1333" t="s">
        <v>1268</v>
      </c>
      <c r="B67" s="1356" t="str">
        <f>IFERROR((('T48, T49'!B67/'T48, T49'!A67)-1)*100,"-")</f>
        <v>-</v>
      </c>
      <c r="C67" s="1353">
        <f>IFERROR((('T48, T49'!C67/'T48, T49'!B67)-1)*100,"-")</f>
        <v>-12.811367789026063</v>
      </c>
      <c r="D67" s="1353">
        <f>IFERROR((('T48, T49'!D67/'T48, T49'!C67)-1)*100,"-")</f>
        <v>8.6436793011405619</v>
      </c>
      <c r="E67" s="1353">
        <f>IFERROR((('T48, T49'!E67/'T48, T49'!D67)-1)*100,"-")</f>
        <v>7.6158811750751454</v>
      </c>
      <c r="F67" s="1353">
        <f>IFERROR((('T48, T49'!F67/'T48, T49'!E67)-1)*100,"-")</f>
        <v>-0.8338127234890802</v>
      </c>
      <c r="G67" s="1353">
        <f>IFERROR((('T48, T49'!G67/'T48, T49'!F67)-1)*100,"-")</f>
        <v>-11.236654968620263</v>
      </c>
      <c r="H67" s="1353">
        <f>IFERROR((('T48, T49'!H67/'T48, T49'!G67)-1)*100,"-")</f>
        <v>2.5227592379746921</v>
      </c>
      <c r="I67" s="1353">
        <f>IFERROR((('T48, T49'!I67/'T48, T49'!H67)-1)*100,"-")</f>
        <v>0.80410075772203715</v>
      </c>
      <c r="J67" s="1353">
        <f>IFERROR((('T48, T49'!J67/'T48, T49'!I67)-1)*100,"-")</f>
        <v>-4.2526579111945022</v>
      </c>
      <c r="K67" s="1353">
        <f>IFERROR((('T48, T49'!K67/'T48, T49'!J67)-1)*100,"-")</f>
        <v>-10.189418680600914</v>
      </c>
      <c r="L67" s="1353">
        <f>IFERROR((('T48, T49'!L67/'T48, T49'!K67)-1)*100,"-")</f>
        <v>-10.18181818181818</v>
      </c>
      <c r="N67" s="1333" t="s">
        <v>1268</v>
      </c>
      <c r="O67" s="1356" t="s">
        <v>1</v>
      </c>
      <c r="P67" s="1353">
        <v>-12.811367789026063</v>
      </c>
      <c r="Q67" s="1353">
        <v>8.6436793011405619</v>
      </c>
      <c r="R67" s="1353">
        <v>7.6158811750751454</v>
      </c>
      <c r="S67" s="1353">
        <v>-0.8338127234890802</v>
      </c>
      <c r="T67" s="1353">
        <v>-11.236654968620263</v>
      </c>
      <c r="U67" s="1353">
        <v>2.5227592379746921</v>
      </c>
      <c r="V67" s="1353">
        <v>0.80410075772203715</v>
      </c>
      <c r="W67" s="1353">
        <v>-4.2526579111945022</v>
      </c>
      <c r="X67" s="1353">
        <v>-10.189418680600914</v>
      </c>
      <c r="Y67" s="1353">
        <v>-10.18181818181818</v>
      </c>
    </row>
    <row r="68" spans="1:25">
      <c r="A68" s="1333" t="s">
        <v>1267</v>
      </c>
      <c r="B68" s="1309" t="str">
        <f>IFERROR((('T48, T49'!B68/'T48, T49'!A68)-1)*100,"-")</f>
        <v>-</v>
      </c>
      <c r="C68" s="1353">
        <f>IFERROR((('T48, T49'!C68/'T48, T49'!B68)-1)*100,"-")</f>
        <v>12.714651610326055</v>
      </c>
      <c r="D68" s="1353">
        <f>IFERROR((('T48, T49'!D68/'T48, T49'!C68)-1)*100,"-")</f>
        <v>0.82771438744366765</v>
      </c>
      <c r="E68" s="1353">
        <f>IFERROR((('T48, T49'!E68/'T48, T49'!D68)-1)*100,"-")</f>
        <v>0.36755282802696243</v>
      </c>
      <c r="F68" s="1353">
        <f>IFERROR((('T48, T49'!F68/'T48, T49'!E68)-1)*100,"-")</f>
        <v>-0.50773421703902422</v>
      </c>
      <c r="G68" s="1353">
        <f>IFERROR((('T48, T49'!G68/'T48, T49'!F68)-1)*100,"-")</f>
        <v>-0.86759028613511147</v>
      </c>
      <c r="H68" s="1353">
        <f>IFERROR((('T48, T49'!H68/'T48, T49'!G68)-1)*100,"-")</f>
        <v>-1.8011681384958678</v>
      </c>
      <c r="I68" s="1353">
        <f>IFERROR((('T48, T49'!I68/'T48, T49'!H68)-1)*100,"-")</f>
        <v>-1.9510215870233161E-2</v>
      </c>
      <c r="J68" s="1353">
        <f>IFERROR((('T48, T49'!J68/'T48, T49'!I68)-1)*100,"-")</f>
        <v>0.4320192767549802</v>
      </c>
      <c r="K68" s="1353">
        <f>IFERROR((('T48, T49'!K68/'T48, T49'!J68)-1)*100,"-")</f>
        <v>1.3664745096559461</v>
      </c>
      <c r="L68" s="1353">
        <f>IFERROR((('T48, T49'!L68/'T48, T49'!K68)-1)*100,"-")</f>
        <v>1.3249689302700984</v>
      </c>
      <c r="N68" s="1333" t="s">
        <v>1267</v>
      </c>
      <c r="O68" s="1309" t="s">
        <v>1</v>
      </c>
      <c r="P68" s="1353">
        <v>12.714651610326055</v>
      </c>
      <c r="Q68" s="1353">
        <v>0.82771438744366765</v>
      </c>
      <c r="R68" s="1353">
        <v>0.36755282802696243</v>
      </c>
      <c r="S68" s="1353">
        <v>-0.50773421703902422</v>
      </c>
      <c r="T68" s="1353">
        <v>-0.86759028613511147</v>
      </c>
      <c r="U68" s="1353">
        <v>-1.8011681384958678</v>
      </c>
      <c r="V68" s="1353">
        <v>-1.9510215870233161E-2</v>
      </c>
      <c r="W68" s="1353">
        <v>0.4320192767549802</v>
      </c>
      <c r="X68" s="1353">
        <v>1.3664745096559461</v>
      </c>
      <c r="Y68" s="1353">
        <v>1.3249689302700984</v>
      </c>
    </row>
    <row r="69" spans="1:25">
      <c r="A69" s="1332" t="s">
        <v>1266</v>
      </c>
      <c r="B69" s="1309" t="str">
        <f>IFERROR((('T48, T49'!B69/'T48, T49'!A69)-1)*100,"-")</f>
        <v>-</v>
      </c>
      <c r="C69" s="1353">
        <f>IFERROR((('T48, T49'!C69/'T48, T49'!B69)-1)*100,"-")</f>
        <v>12.8282270527869</v>
      </c>
      <c r="D69" s="1353">
        <f>IFERROR((('T48, T49'!D69/'T48, T49'!C69)-1)*100,"-")</f>
        <v>2.1636283960358771</v>
      </c>
      <c r="E69" s="1355">
        <f>IFERROR((('T48, T49'!E69/'T48, T49'!D69)-1)*100,"-")</f>
        <v>-0.87762732278834354</v>
      </c>
      <c r="F69" s="1353">
        <f>IFERROR((('T48, T49'!F69/'T48, T49'!E69)-1)*100,"-")</f>
        <v>1.3469058986175675</v>
      </c>
      <c r="G69" s="1353">
        <f>IFERROR((('T48, T49'!G69/'T48, T49'!F69)-1)*100,"-")</f>
        <v>0.61967768239301613</v>
      </c>
      <c r="H69" s="1353">
        <f>IFERROR((('T48, T49'!H69/'T48, T49'!G69)-1)*100,"-")</f>
        <v>-0.72472011399752345</v>
      </c>
      <c r="I69" s="1353">
        <f>IFERROR((('T48, T49'!I69/'T48, T49'!H69)-1)*100,"-")</f>
        <v>0.41355247736374334</v>
      </c>
      <c r="J69" s="1353">
        <f>IFERROR((('T48, T49'!J69/'T48, T49'!I69)-1)*100,"-")</f>
        <v>-0.43094666320743213</v>
      </c>
      <c r="K69" s="1353">
        <f>IFERROR((('T48, T49'!K69/'T48, T49'!J69)-1)*100,"-")</f>
        <v>1.2368742227539586</v>
      </c>
      <c r="L69" s="1353">
        <f>IFERROR((('T48, T49'!L69/'T48, T49'!K69)-1)*100,"-")</f>
        <v>0.94107342313760611</v>
      </c>
      <c r="N69" s="1332" t="s">
        <v>1266</v>
      </c>
      <c r="O69" s="1309" t="s">
        <v>1</v>
      </c>
      <c r="P69" s="1353">
        <v>12.8282270527869</v>
      </c>
      <c r="Q69" s="1353">
        <v>2.1636283960358771</v>
      </c>
      <c r="R69" s="1355">
        <v>-0.87762732278834354</v>
      </c>
      <c r="S69" s="1353">
        <v>1.3469058986175675</v>
      </c>
      <c r="T69" s="1353">
        <v>0.61967768239301613</v>
      </c>
      <c r="U69" s="1353">
        <v>-0.72472011399752345</v>
      </c>
      <c r="V69" s="1353">
        <v>0.41355247736374334</v>
      </c>
      <c r="W69" s="1353">
        <v>-0.43094666320743213</v>
      </c>
      <c r="X69" s="1353">
        <v>1.2368742227539586</v>
      </c>
      <c r="Y69" s="1353">
        <v>0.94107342313760611</v>
      </c>
    </row>
    <row r="70" spans="1:25">
      <c r="A70" s="1330" t="s">
        <v>1265</v>
      </c>
      <c r="B70" s="1309" t="str">
        <f>IFERROR((('T48, T49'!B70/'T48, T49'!A70)-1)*100,"-")</f>
        <v>-</v>
      </c>
      <c r="C70" s="1353">
        <f>IFERROR((('T48, T49'!C70/'T48, T49'!B70)-1)*100,"-")</f>
        <v>17.153617587319726</v>
      </c>
      <c r="D70" s="1353">
        <f>IFERROR((('T48, T49'!D70/'T48, T49'!C70)-1)*100,"-")</f>
        <v>-3.0049113347406342</v>
      </c>
      <c r="E70" s="1355">
        <f>IFERROR((('T48, T49'!E70/'T48, T49'!D70)-1)*100,"-")</f>
        <v>-1.3365648987025525</v>
      </c>
      <c r="F70" s="1353">
        <f>IFERROR((('T48, T49'!F70/'T48, T49'!E70)-1)*100,"-")</f>
        <v>-11.438918296225697</v>
      </c>
      <c r="G70" s="1353">
        <f>IFERROR((('T48, T49'!G70/'T48, T49'!F70)-1)*100,"-")</f>
        <v>-10.666079877715283</v>
      </c>
      <c r="H70" s="1353">
        <f>IFERROR((('T48, T49'!H70/'T48, T49'!G70)-1)*100,"-")</f>
        <v>-12.793956625029967</v>
      </c>
      <c r="I70" s="1353">
        <f>IFERROR((('T48, T49'!I70/'T48, T49'!H70)-1)*100,"-")</f>
        <v>-13.667769017373367</v>
      </c>
      <c r="J70" s="1353">
        <f>IFERROR((('T48, T49'!J70/'T48, T49'!I70)-1)*100,"-")</f>
        <v>-5.0279427745538952</v>
      </c>
      <c r="K70" s="1353">
        <f>IFERROR((('T48, T49'!K70/'T48, T49'!J70)-1)*100,"-")</f>
        <v>1.6110727105078659E-2</v>
      </c>
      <c r="L70" s="1353">
        <f>IFERROR((('T48, T49'!L70/'T48, T49'!K70)-1)*100,"-")</f>
        <v>-3.8045165383027157E-2</v>
      </c>
      <c r="N70" s="1330" t="s">
        <v>1265</v>
      </c>
      <c r="O70" s="1309" t="s">
        <v>1</v>
      </c>
      <c r="P70" s="1353">
        <v>17.153617587319726</v>
      </c>
      <c r="Q70" s="1353">
        <v>-3.0049113347406342</v>
      </c>
      <c r="R70" s="1355">
        <v>-1.3365648987025525</v>
      </c>
      <c r="S70" s="1353">
        <v>-11.438918296225697</v>
      </c>
      <c r="T70" s="1353">
        <v>-10.666079877715283</v>
      </c>
      <c r="U70" s="1353">
        <v>-12.793956625029967</v>
      </c>
      <c r="V70" s="1353">
        <v>-13.667769017373367</v>
      </c>
      <c r="W70" s="1353">
        <v>-5.0279427745538952</v>
      </c>
      <c r="X70" s="1353">
        <v>1.6110727105078659E-2</v>
      </c>
      <c r="Y70" s="1353">
        <v>-3.8045165383027157E-2</v>
      </c>
    </row>
    <row r="71" spans="1:25">
      <c r="A71" s="1330" t="s">
        <v>1264</v>
      </c>
      <c r="B71" s="1309" t="str">
        <f>IFERROR((('T48, T49'!B71/'T48, T49'!A71)-1)*100,"-")</f>
        <v>-</v>
      </c>
      <c r="C71" s="1353">
        <f>IFERROR((('T48, T49'!C71/'T48, T49'!B71)-1)*100,"-")</f>
        <v>12.175172574895887</v>
      </c>
      <c r="D71" s="1353">
        <f>IFERROR((('T48, T49'!D71/'T48, T49'!C71)-1)*100,"-")</f>
        <v>1.6924398164702259</v>
      </c>
      <c r="E71" s="1355">
        <f>IFERROR((('T48, T49'!E71/'T48, T49'!D71)-1)*100,"-")</f>
        <v>7.0854471701611299</v>
      </c>
      <c r="F71" s="1353">
        <f>IFERROR((('T48, T49'!F71/'T48, T49'!E71)-1)*100,"-")</f>
        <v>3.1193042514894742</v>
      </c>
      <c r="G71" s="1353">
        <f>IFERROR((('T48, T49'!G71/'T48, T49'!F71)-1)*100,"-")</f>
        <v>1.3990556382601271</v>
      </c>
      <c r="H71" s="1353">
        <f>IFERROR((('T48, T49'!H71/'T48, T49'!G71)-1)*100,"-")</f>
        <v>-1.7553628748351535</v>
      </c>
      <c r="I71" s="1353">
        <f>IFERROR((('T48, T49'!I71/'T48, T49'!H71)-1)*100,"-")</f>
        <v>-2.0096039523738618</v>
      </c>
      <c r="J71" s="1353">
        <f>IFERROR((('T48, T49'!J71/'T48, T49'!I71)-1)*100,"-")</f>
        <v>14.262091814256772</v>
      </c>
      <c r="K71" s="1353">
        <f>IFERROR((('T48, T49'!K71/'T48, T49'!J71)-1)*100,"-")</f>
        <v>3.5272238555573487</v>
      </c>
      <c r="L71" s="1353">
        <f>IFERROR((('T48, T49'!L71/'T48, T49'!K71)-1)*100,"-")</f>
        <v>3.8906059692173312</v>
      </c>
      <c r="N71" s="1330" t="s">
        <v>1264</v>
      </c>
      <c r="O71" s="1309" t="s">
        <v>1</v>
      </c>
      <c r="P71" s="1353">
        <v>12.175172574895887</v>
      </c>
      <c r="Q71" s="1353">
        <v>1.6924398164702259</v>
      </c>
      <c r="R71" s="1355">
        <v>7.0854471701611299</v>
      </c>
      <c r="S71" s="1353">
        <v>3.1193042514894742</v>
      </c>
      <c r="T71" s="1353">
        <v>1.3990556382601271</v>
      </c>
      <c r="U71" s="1353">
        <v>-1.7553628748351535</v>
      </c>
      <c r="V71" s="1353">
        <v>-2.0096039523738618</v>
      </c>
      <c r="W71" s="1353">
        <v>14.262091814256772</v>
      </c>
      <c r="X71" s="1353">
        <v>3.5272238555573487</v>
      </c>
      <c r="Y71" s="1353">
        <v>3.8906059692173312</v>
      </c>
    </row>
    <row r="72" spans="1:25">
      <c r="A72" s="1330" t="s">
        <v>1263</v>
      </c>
      <c r="B72" s="1309" t="str">
        <f>IFERROR((('T48, T49'!B72/'T48, T49'!A72)-1)*100,"-")</f>
        <v>-</v>
      </c>
      <c r="C72" s="1353">
        <f>IFERROR((('T48, T49'!C72/'T48, T49'!B72)-1)*100,"-")</f>
        <v>2.2017726316276631</v>
      </c>
      <c r="D72" s="1353">
        <f>IFERROR((('T48, T49'!D72/'T48, T49'!C72)-1)*100,"-")</f>
        <v>1.6896676774559749</v>
      </c>
      <c r="E72" s="1355">
        <f>IFERROR((('T48, T49'!E72/'T48, T49'!D72)-1)*100,"-")</f>
        <v>0.6344419175392968</v>
      </c>
      <c r="F72" s="1353">
        <f>IFERROR((('T48, T49'!F72/'T48, T49'!E72)-1)*100,"-")</f>
        <v>9.6839286663898747</v>
      </c>
      <c r="G72" s="1353">
        <f>IFERROR((('T48, T49'!G72/'T48, T49'!F72)-1)*100,"-")</f>
        <v>7.2502189017502383</v>
      </c>
      <c r="H72" s="1353">
        <f>IFERROR((('T48, T49'!H72/'T48, T49'!G72)-1)*100,"-")</f>
        <v>11.624232626619889</v>
      </c>
      <c r="I72" s="1353">
        <f>IFERROR((('T48, T49'!I72/'T48, T49'!H72)-1)*100,"-")</f>
        <v>19.515085659383669</v>
      </c>
      <c r="J72" s="1353">
        <f>IFERROR((('T48, T49'!J72/'T48, T49'!I72)-1)*100,"-")</f>
        <v>-7.5853943586913779</v>
      </c>
      <c r="K72" s="1353">
        <f>IFERROR((('T48, T49'!K72/'T48, T49'!J72)-1)*100,"-")</f>
        <v>3.8956652915045353E-2</v>
      </c>
      <c r="L72" s="1353">
        <f>IFERROR((('T48, T49'!L72/'T48, T49'!K72)-1)*100,"-")</f>
        <v>0.36993887149963101</v>
      </c>
      <c r="N72" s="1330" t="s">
        <v>1263</v>
      </c>
      <c r="O72" s="1309" t="s">
        <v>1</v>
      </c>
      <c r="P72" s="1353">
        <v>2.2017726316276631</v>
      </c>
      <c r="Q72" s="1353">
        <v>1.6896676774559749</v>
      </c>
      <c r="R72" s="1355">
        <v>0.6344419175392968</v>
      </c>
      <c r="S72" s="1353">
        <v>9.6839286663898747</v>
      </c>
      <c r="T72" s="1353">
        <v>7.2502189017502383</v>
      </c>
      <c r="U72" s="1353">
        <v>11.624232626619889</v>
      </c>
      <c r="V72" s="1353">
        <v>19.515085659383669</v>
      </c>
      <c r="W72" s="1353">
        <v>-7.5853943586913779</v>
      </c>
      <c r="X72" s="1353">
        <v>3.8956652915045353E-2</v>
      </c>
      <c r="Y72" s="1353">
        <v>0.36993887149963101</v>
      </c>
    </row>
    <row r="73" spans="1:25">
      <c r="A73" s="1328" t="s">
        <v>1262</v>
      </c>
      <c r="B73" s="1309" t="str">
        <f>IFERROR((('T48, T49'!B73/'T48, T49'!A73)-1)*100,"-")</f>
        <v>-</v>
      </c>
      <c r="C73" s="1353">
        <f>IFERROR((('T48, T49'!C73/'T48, T49'!B73)-1)*100,"-")</f>
        <v>12.596455671022921</v>
      </c>
      <c r="D73" s="1353">
        <f>IFERROR((('T48, T49'!D73/'T48, T49'!C73)-1)*100,"-")</f>
        <v>7.24998467835829</v>
      </c>
      <c r="E73" s="1353">
        <f>IFERROR((('T48, T49'!E73/'T48, T49'!D73)-1)*100,"-")</f>
        <v>-1.3103675544518523</v>
      </c>
      <c r="F73" s="1353">
        <f>IFERROR((('T48, T49'!F73/'T48, T49'!E73)-1)*100,"-")</f>
        <v>8.6700988671423609</v>
      </c>
      <c r="G73" s="1353">
        <f>IFERROR((('T48, T49'!G73/'T48, T49'!F73)-1)*100,"-")</f>
        <v>5.5038216262912609</v>
      </c>
      <c r="H73" s="1353">
        <f>IFERROR((('T48, T49'!H73/'T48, T49'!G73)-1)*100,"-")</f>
        <v>2.552478868489394</v>
      </c>
      <c r="I73" s="1353">
        <f>IFERROR((('T48, T49'!I73/'T48, T49'!H73)-1)*100,"-")</f>
        <v>6.738983232503104</v>
      </c>
      <c r="J73" s="1353">
        <f>IFERROR((('T48, T49'!J73/'T48, T49'!I73)-1)*100,"-")</f>
        <v>1.4080510248870581E-4</v>
      </c>
      <c r="K73" s="1353">
        <f>IFERROR((('T48, T49'!K73/'T48, T49'!J73)-1)*100,"-")</f>
        <v>1.1286013053490418</v>
      </c>
      <c r="L73" s="1353">
        <f>IFERROR((('T48, T49'!L73/'T48, T49'!K73)-1)*100,"-")</f>
        <v>1.1160060465400079</v>
      </c>
      <c r="N73" s="1328" t="s">
        <v>1262</v>
      </c>
      <c r="O73" s="1309" t="s">
        <v>1</v>
      </c>
      <c r="P73" s="1353">
        <v>12.596455671022921</v>
      </c>
      <c r="Q73" s="1353">
        <v>7.24998467835829</v>
      </c>
      <c r="R73" s="1353">
        <v>-1.3103675544518523</v>
      </c>
      <c r="S73" s="1353">
        <v>8.6700988671423609</v>
      </c>
      <c r="T73" s="1353">
        <v>5.5038216262912609</v>
      </c>
      <c r="U73" s="1353">
        <v>2.552478868489394</v>
      </c>
      <c r="V73" s="1353">
        <v>6.738983232503104</v>
      </c>
      <c r="W73" s="1353">
        <v>1.4080510248870581E-4</v>
      </c>
      <c r="X73" s="1353">
        <v>1.1286013053490418</v>
      </c>
      <c r="Y73" s="1353">
        <v>1.1160060465400079</v>
      </c>
    </row>
    <row r="74" spans="1:25">
      <c r="A74" s="1327" t="s">
        <v>1261</v>
      </c>
      <c r="B74" s="1309" t="str">
        <f>IFERROR((('T48, T49'!B74/'T48, T49'!A74)-1)*100,"-")</f>
        <v>-</v>
      </c>
      <c r="C74" s="1353">
        <f>IFERROR((('T48, T49'!C74/'T48, T49'!B74)-1)*100,"-")</f>
        <v>2.4999257631547422</v>
      </c>
      <c r="D74" s="1353">
        <f>IFERROR((('T48, T49'!D74/'T48, T49'!C74)-1)*100,"-")</f>
        <v>-2.0362638198324734</v>
      </c>
      <c r="E74" s="1353">
        <f>IFERROR((('T48, T49'!E74/'T48, T49'!D74)-1)*100,"-")</f>
        <v>-1.964734585243233</v>
      </c>
      <c r="F74" s="1353">
        <f>IFERROR((('T48, T49'!F74/'T48, T49'!E74)-1)*100,"-")</f>
        <v>-0.2941121019588544</v>
      </c>
      <c r="G74" s="1353">
        <f>IFERROR((('T48, T49'!G74/'T48, T49'!F74)-1)*100,"-")</f>
        <v>-0.54835964829346162</v>
      </c>
      <c r="H74" s="1353">
        <f>IFERROR((('T48, T49'!H74/'T48, T49'!G74)-1)*100,"-")</f>
        <v>-0.23994676300029827</v>
      </c>
      <c r="I74" s="1353">
        <f>IFERROR((('T48, T49'!I74/'T48, T49'!H74)-1)*100,"-")</f>
        <v>-4.3256182721922336</v>
      </c>
      <c r="J74" s="1353">
        <f>IFERROR((('T48, T49'!J74/'T48, T49'!I74)-1)*100,"-")</f>
        <v>0.45419050502797376</v>
      </c>
      <c r="K74" s="1353">
        <f>IFERROR((('T48, T49'!K74/'T48, T49'!J74)-1)*100,"-")</f>
        <v>1.2314782498334287</v>
      </c>
      <c r="L74" s="1353">
        <f>IFERROR((('T48, T49'!L74/'T48, T49'!K74)-1)*100,"-")</f>
        <v>1.7226856186897788</v>
      </c>
      <c r="N74" s="1327" t="s">
        <v>1261</v>
      </c>
      <c r="O74" s="1309" t="s">
        <v>1</v>
      </c>
      <c r="P74" s="1353">
        <v>2.4999257631547422</v>
      </c>
      <c r="Q74" s="1353">
        <v>-2.0362638198324734</v>
      </c>
      <c r="R74" s="1353">
        <v>-1.964734585243233</v>
      </c>
      <c r="S74" s="1353">
        <v>-0.2941121019588544</v>
      </c>
      <c r="T74" s="1353">
        <v>-0.54835964829346162</v>
      </c>
      <c r="U74" s="1353">
        <v>-0.23994676300029827</v>
      </c>
      <c r="V74" s="1353">
        <v>-4.3256182721922336</v>
      </c>
      <c r="W74" s="1353">
        <v>0.45419050502797376</v>
      </c>
      <c r="X74" s="1353">
        <v>1.2314782498334287</v>
      </c>
      <c r="Y74" s="1353">
        <v>1.7226856186897788</v>
      </c>
    </row>
    <row r="75" spans="1:25">
      <c r="A75" s="1327" t="s">
        <v>1260</v>
      </c>
      <c r="B75" s="1309" t="str">
        <f>IFERROR((('T48, T49'!B75/'T48, T49'!A75)-1)*100,"-")</f>
        <v>-</v>
      </c>
      <c r="C75" s="1353">
        <f>IFERROR((('T48, T49'!C75/'T48, T49'!B75)-1)*100,"-")</f>
        <v>44.886262801307033</v>
      </c>
      <c r="D75" s="1353">
        <f>IFERROR((('T48, T49'!D75/'T48, T49'!C75)-1)*100,"-")</f>
        <v>6.8788367870421085</v>
      </c>
      <c r="E75" s="1353">
        <f>IFERROR((('T48, T49'!E75/'T48, T49'!D75)-1)*100,"-")</f>
        <v>-19.035965888023764</v>
      </c>
      <c r="F75" s="1353">
        <f>IFERROR((('T48, T49'!F75/'T48, T49'!E75)-1)*100,"-")</f>
        <v>18.479908075071627</v>
      </c>
      <c r="G75" s="1353">
        <f>IFERROR((('T48, T49'!G75/'T48, T49'!F75)-1)*100,"-")</f>
        <v>7.7804795772086877</v>
      </c>
      <c r="H75" s="1353">
        <f>IFERROR((('T48, T49'!H75/'T48, T49'!G75)-1)*100,"-")</f>
        <v>11.406271395316558</v>
      </c>
      <c r="I75" s="1353">
        <f>IFERROR((('T48, T49'!I75/'T48, T49'!H75)-1)*100,"-")</f>
        <v>-2.3838788219322948</v>
      </c>
      <c r="J75" s="1353">
        <f>IFERROR((('T48, T49'!J75/'T48, T49'!I75)-1)*100,"-")</f>
        <v>5.739194042558271</v>
      </c>
      <c r="K75" s="1353">
        <f>IFERROR((('T48, T49'!K75/'T48, T49'!J75)-1)*100,"-")</f>
        <v>-0.62430892234413005</v>
      </c>
      <c r="L75" s="1353">
        <f>IFERROR((('T48, T49'!L75/'T48, T49'!K75)-1)*100,"-")</f>
        <v>0.18658632613235415</v>
      </c>
      <c r="N75" s="1327" t="s">
        <v>1260</v>
      </c>
      <c r="O75" s="1309" t="s">
        <v>1</v>
      </c>
      <c r="P75" s="1353">
        <v>44.886262801307033</v>
      </c>
      <c r="Q75" s="1353">
        <v>6.8788367870421085</v>
      </c>
      <c r="R75" s="1353">
        <v>-19.035965888023764</v>
      </c>
      <c r="S75" s="1353">
        <v>18.479908075071627</v>
      </c>
      <c r="T75" s="1353">
        <v>7.7804795772086877</v>
      </c>
      <c r="U75" s="1353">
        <v>11.406271395316558</v>
      </c>
      <c r="V75" s="1353">
        <v>-2.3838788219322948</v>
      </c>
      <c r="W75" s="1353">
        <v>5.739194042558271</v>
      </c>
      <c r="X75" s="1353">
        <v>-0.62430892234413005</v>
      </c>
      <c r="Y75" s="1353">
        <v>0.18658632613235415</v>
      </c>
    </row>
    <row r="76" spans="1:25">
      <c r="A76" s="984" t="s">
        <v>1259</v>
      </c>
      <c r="B76" s="1309" t="str">
        <f>IFERROR((('T48, T49'!B76/'T48, T49'!A76)-1)*100,"-")</f>
        <v>-</v>
      </c>
      <c r="C76" s="1353">
        <f>IFERROR((('T48, T49'!C76/'T48, T49'!B76)-1)*100,"-")</f>
        <v>-19.998187749184481</v>
      </c>
      <c r="D76" s="1353">
        <f>IFERROR((('T48, T49'!D76/'T48, T49'!C76)-1)*100,"-")</f>
        <v>-4.9269452939177842</v>
      </c>
      <c r="E76" s="1353">
        <f>IFERROR((('T48, T49'!E76/'T48, T49'!D76)-1)*100,"-")</f>
        <v>6.4927329044555782</v>
      </c>
      <c r="F76" s="1353">
        <f>IFERROR((('T48, T49'!F76/'T48, T49'!E76)-1)*100,"-")</f>
        <v>4.5016221053809202</v>
      </c>
      <c r="G76" s="1353">
        <f>IFERROR((('T48, T49'!G76/'T48, T49'!F76)-1)*100,"-")</f>
        <v>11.771254844027656</v>
      </c>
      <c r="H76" s="1353">
        <f>IFERROR((('T48, T49'!H76/'T48, T49'!G76)-1)*100,"-")</f>
        <v>9.0891677042429073</v>
      </c>
      <c r="I76" s="1353">
        <f>IFERROR((('T48, T49'!I76/'T48, T49'!H76)-1)*100,"-")</f>
        <v>4.3564530289727843</v>
      </c>
      <c r="J76" s="1353">
        <f>IFERROR((('T48, T49'!J76/'T48, T49'!I76)-1)*100,"-")</f>
        <v>9.2140465413673045</v>
      </c>
      <c r="K76" s="1353">
        <f>IFERROR((('T48, T49'!K76/'T48, T49'!J76)-1)*100,"-")</f>
        <v>3.6313494692405968</v>
      </c>
      <c r="L76" s="1353">
        <f>IFERROR((('T48, T49'!L76/'T48, T49'!K76)-1)*100,"-")</f>
        <v>6.2440532825880135</v>
      </c>
      <c r="N76" s="984" t="s">
        <v>1259</v>
      </c>
      <c r="O76" s="1309" t="s">
        <v>1</v>
      </c>
      <c r="P76" s="1353">
        <v>-19.998187749184481</v>
      </c>
      <c r="Q76" s="1353">
        <v>-4.9269452939177842</v>
      </c>
      <c r="R76" s="1353">
        <v>6.4927329044555782</v>
      </c>
      <c r="S76" s="1353">
        <v>4.5016221053809202</v>
      </c>
      <c r="T76" s="1353">
        <v>11.771254844027656</v>
      </c>
      <c r="U76" s="1353">
        <v>9.0891677042429073</v>
      </c>
      <c r="V76" s="1353">
        <v>4.3564530289727843</v>
      </c>
      <c r="W76" s="1353">
        <v>9.2140465413673045</v>
      </c>
      <c r="X76" s="1353">
        <v>3.6313494692405968</v>
      </c>
      <c r="Y76" s="1353">
        <v>6.2440532825880135</v>
      </c>
    </row>
    <row r="77" spans="1:25">
      <c r="A77" s="1310" t="s">
        <v>1258</v>
      </c>
      <c r="B77" s="1309" t="str">
        <f>IFERROR((('T48, T49'!B77/'T48, T49'!A77)-1)*100,"-")</f>
        <v>-</v>
      </c>
      <c r="C77" s="1353">
        <f>IFERROR((('T48, T49'!C77/'T48, T49'!B77)-1)*100,"-")</f>
        <v>1.4173571740078383</v>
      </c>
      <c r="D77" s="1353">
        <f>IFERROR((('T48, T49'!D77/'T48, T49'!C77)-1)*100,"-")</f>
        <v>4.0206407224252949</v>
      </c>
      <c r="E77" s="1353">
        <f>IFERROR((('T48, T49'!E77/'T48, T49'!D77)-1)*100,"-")</f>
        <v>-47.395618023976851</v>
      </c>
      <c r="F77" s="1353">
        <f>IFERROR((('T48, T49'!F77/'T48, T49'!E77)-1)*100,"-")</f>
        <v>-100</v>
      </c>
      <c r="G77" s="1353" t="str">
        <f>IFERROR((('T48, T49'!G77/'T48, T49'!F77)-1)*100,"-")</f>
        <v>-</v>
      </c>
      <c r="H77" s="1353">
        <f>IFERROR((('T48, T49'!H77/'T48, T49'!G77)-1)*100,"-")</f>
        <v>-73.422922459067024</v>
      </c>
      <c r="I77" s="1353">
        <f>IFERROR((('T48, T49'!I77/'T48, T49'!H77)-1)*100,"-")</f>
        <v>-1.4297338137858828</v>
      </c>
      <c r="J77" s="1353">
        <f>IFERROR((('T48, T49'!J77/'T48, T49'!I77)-1)*100,"-")</f>
        <v>3.7735849056603765</v>
      </c>
      <c r="K77" s="1353">
        <f>IFERROR((('T48, T49'!K77/'T48, T49'!J77)-1)*100,"-")</f>
        <v>3.9431818181818068</v>
      </c>
      <c r="L77" s="1353">
        <f>IFERROR((('T48, T49'!L77/'T48, T49'!K77)-1)*100,"-")</f>
        <v>0</v>
      </c>
      <c r="N77" s="1310" t="s">
        <v>1258</v>
      </c>
      <c r="O77" s="1309" t="s">
        <v>1</v>
      </c>
      <c r="P77" s="1353">
        <v>1.4173571740078383</v>
      </c>
      <c r="Q77" s="1353">
        <v>4.0206407224252949</v>
      </c>
      <c r="R77" s="1353">
        <v>-47.395618023976851</v>
      </c>
      <c r="S77" s="1353">
        <v>-100</v>
      </c>
      <c r="T77" s="1353" t="s">
        <v>1</v>
      </c>
      <c r="U77" s="1353">
        <v>-73.422922459067024</v>
      </c>
      <c r="V77" s="1353">
        <v>-1.4297338137858828</v>
      </c>
      <c r="W77" s="1353">
        <v>3.7735849056603765</v>
      </c>
      <c r="X77" s="1353">
        <v>3.9431818181818068</v>
      </c>
      <c r="Y77" s="1353">
        <v>0</v>
      </c>
    </row>
    <row r="78" spans="1:25">
      <c r="A78" s="984" t="s">
        <v>1257</v>
      </c>
      <c r="B78" s="1309" t="str">
        <f>IFERROR((('T48, T49'!B78/'T48, T49'!A78)-1)*100,"-")</f>
        <v>-</v>
      </c>
      <c r="C78" s="1353" t="str">
        <f>IFERROR((('T48, T49'!C78/'T48, T49'!B78)-1)*100,"-")</f>
        <v>-</v>
      </c>
      <c r="D78" s="1353" t="str">
        <f>IFERROR((('T48, T49'!D78/'T48, T49'!C78)-1)*100,"-")</f>
        <v>-</v>
      </c>
      <c r="E78" s="1353" t="str">
        <f>IFERROR((('T48, T49'!E78/'T48, T49'!D78)-1)*100,"-")</f>
        <v>-</v>
      </c>
      <c r="F78" s="1353" t="str">
        <f>IFERROR((('T48, T49'!F78/'T48, T49'!E78)-1)*100,"-")</f>
        <v>-</v>
      </c>
      <c r="G78" s="1353" t="str">
        <f>IFERROR((('T48, T49'!G78/'T48, T49'!F78)-1)*100,"-")</f>
        <v>-</v>
      </c>
      <c r="H78" s="1353" t="str">
        <f>IFERROR((('T48, T49'!H78/'T48, T49'!G78)-1)*100,"-")</f>
        <v>-</v>
      </c>
      <c r="I78" s="1353">
        <f>IFERROR((('T48, T49'!I78/'T48, T49'!H78)-1)*100,"-")</f>
        <v>28.648164726947179</v>
      </c>
      <c r="J78" s="1353">
        <f>IFERROR((('T48, T49'!J78/'T48, T49'!I78)-1)*100,"-")</f>
        <v>-77.731384829505913</v>
      </c>
      <c r="K78" s="1353">
        <f>IFERROR((('T48, T49'!K78/'T48, T49'!J78)-1)*100,"-")</f>
        <v>0</v>
      </c>
      <c r="L78" s="1353">
        <f>IFERROR((('T48, T49'!L78/'T48, T49'!K78)-1)*100,"-")</f>
        <v>0</v>
      </c>
      <c r="N78" s="984" t="s">
        <v>1257</v>
      </c>
      <c r="O78" s="1309" t="s">
        <v>1</v>
      </c>
      <c r="P78" s="1353" t="s">
        <v>1</v>
      </c>
      <c r="Q78" s="1353" t="s">
        <v>1</v>
      </c>
      <c r="R78" s="1353" t="s">
        <v>1</v>
      </c>
      <c r="S78" s="1353" t="s">
        <v>1</v>
      </c>
      <c r="T78" s="1353" t="s">
        <v>1</v>
      </c>
      <c r="U78" s="1353" t="s">
        <v>1</v>
      </c>
      <c r="V78" s="1353">
        <v>28.648164726947179</v>
      </c>
      <c r="W78" s="1353">
        <v>-77.731384829505913</v>
      </c>
      <c r="X78" s="1353">
        <v>0</v>
      </c>
      <c r="Y78" s="1353">
        <v>0</v>
      </c>
    </row>
    <row r="79" spans="1:25">
      <c r="A79" s="1326" t="s">
        <v>1256</v>
      </c>
      <c r="B79" s="1323" t="str">
        <f>IFERROR((('T48, T49'!B79/'T48, T49'!A79)-1)*100,"-")</f>
        <v>-</v>
      </c>
      <c r="C79" s="1354">
        <f>IFERROR((('T48, T49'!C79/'T48, T49'!B79)-1)*100,"-")</f>
        <v>8.702888056661461</v>
      </c>
      <c r="D79" s="1354">
        <f>IFERROR((('T48, T49'!D79/'T48, T49'!C79)-1)*100,"-")</f>
        <v>-8.0892535462803608</v>
      </c>
      <c r="E79" s="1354">
        <f>IFERROR((('T48, T49'!E79/'T48, T49'!D79)-1)*100,"-")</f>
        <v>5.7961612321038247</v>
      </c>
      <c r="F79" s="1354">
        <f>IFERROR((('T48, T49'!F79/'T48, T49'!E79)-1)*100,"-")</f>
        <v>6.8781401924543184</v>
      </c>
      <c r="G79" s="1354">
        <f>IFERROR((('T48, T49'!G79/'T48, T49'!F79)-1)*100,"-")</f>
        <v>3.3427124088289961</v>
      </c>
      <c r="H79" s="1354">
        <f>IFERROR((('T48, T49'!H79/'T48, T49'!G79)-1)*100,"-")</f>
        <v>8.5596390376078588</v>
      </c>
      <c r="I79" s="1354">
        <f>IFERROR((('T48, T49'!I79/'T48, T49'!H79)-1)*100,"-")</f>
        <v>1.3767232224973336</v>
      </c>
      <c r="J79" s="1354">
        <f>IFERROR((('T48, T49'!J79/'T48, T49'!I79)-1)*100,"-")</f>
        <v>2.7027595517236325</v>
      </c>
      <c r="K79" s="1354">
        <f>IFERROR((('T48, T49'!K79/'T48, T49'!J79)-1)*100,"-")</f>
        <v>3.1279686930670625</v>
      </c>
      <c r="L79" s="1354">
        <f>IFERROR((('T48, T49'!L79/'T48, T49'!K79)-1)*100,"-")</f>
        <v>2.9967829332755214</v>
      </c>
      <c r="N79" s="1326" t="s">
        <v>1256</v>
      </c>
      <c r="O79" s="1323" t="s">
        <v>1</v>
      </c>
      <c r="P79" s="1354">
        <v>8.702888056661461</v>
      </c>
      <c r="Q79" s="1354">
        <v>1.370623340822319</v>
      </c>
      <c r="R79" s="1354">
        <v>5.7446095785956608</v>
      </c>
      <c r="S79" s="1354">
        <v>6.8781401924543184</v>
      </c>
      <c r="T79" s="1354">
        <v>4.7283594051094724</v>
      </c>
      <c r="U79" s="1354">
        <v>8.6481388718360854</v>
      </c>
      <c r="V79" s="1354">
        <v>1.1896260124418134</v>
      </c>
      <c r="W79" s="1354">
        <v>2.7102054482719851</v>
      </c>
      <c r="X79" s="1354">
        <v>3.1363586240225949</v>
      </c>
      <c r="Y79" s="1354">
        <v>3.0045765578553985</v>
      </c>
    </row>
    <row r="80" spans="1:25">
      <c r="A80" s="1310" t="s">
        <v>56</v>
      </c>
      <c r="B80" s="1309" t="str">
        <f>IFERROR((('T48, T49'!B80/'T48, T49'!A80)-1)*100,"-")</f>
        <v>-</v>
      </c>
      <c r="C80" s="1353">
        <f>IFERROR((('T48, T49'!C80/'T48, T49'!B80)-1)*100,"-")</f>
        <v>30.383979015859385</v>
      </c>
      <c r="D80" s="1353">
        <f>IFERROR((('T48, T49'!D80/'T48, T49'!C80)-1)*100,"-")</f>
        <v>-24.255656323287468</v>
      </c>
      <c r="E80" s="1353">
        <f>IFERROR((('T48, T49'!E80/'T48, T49'!D80)-1)*100,"-")</f>
        <v>5.0210691735710578</v>
      </c>
      <c r="F80" s="1353">
        <f>IFERROR((('T48, T49'!F80/'T48, T49'!E80)-1)*100,"-")</f>
        <v>28.342915856448126</v>
      </c>
      <c r="G80" s="1353">
        <f>IFERROR((('T48, T49'!G80/'T48, T49'!F80)-1)*100,"-")</f>
        <v>-12.157180840581916</v>
      </c>
      <c r="H80" s="1353">
        <f>IFERROR((('T48, T49'!H80/'T48, T49'!G80)-1)*100,"-")</f>
        <v>-4.6672373630625374</v>
      </c>
      <c r="I80" s="1353">
        <f>IFERROR((('T48, T49'!I80/'T48, T49'!H80)-1)*100,"-")</f>
        <v>-31.495447761110562</v>
      </c>
      <c r="J80" s="1353">
        <f>IFERROR((('T48, T49'!J80/'T48, T49'!I80)-1)*100,"-")</f>
        <v>13.55344710453128</v>
      </c>
      <c r="K80" s="1353">
        <f>IFERROR((('T48, T49'!K80/'T48, T49'!J80)-1)*100,"-")</f>
        <v>-4.6805691345288114</v>
      </c>
      <c r="L80" s="1353">
        <f>IFERROR((('T48, T49'!L80/'T48, T49'!K80)-1)*100,"-")</f>
        <v>-0.50183533417847981</v>
      </c>
      <c r="N80" s="1310" t="s">
        <v>56</v>
      </c>
      <c r="O80" s="1309" t="s">
        <v>1</v>
      </c>
      <c r="P80" s="1353">
        <v>30.383979015859385</v>
      </c>
      <c r="Q80" s="1353">
        <v>31.267563160636147</v>
      </c>
      <c r="R80" s="1353">
        <v>5.0210691735710578</v>
      </c>
      <c r="S80" s="1353">
        <v>28.342915856448126</v>
      </c>
      <c r="T80" s="1353">
        <v>-12.157180840581916</v>
      </c>
      <c r="U80" s="1353">
        <v>-3.6229244368750302</v>
      </c>
      <c r="V80" s="1353">
        <v>-31.495447761110562</v>
      </c>
      <c r="W80" s="1353">
        <v>13.55344710453128</v>
      </c>
      <c r="X80" s="1353">
        <v>-4.6805691345288114</v>
      </c>
      <c r="Y80" s="1353">
        <v>-0.50183533417847981</v>
      </c>
    </row>
    <row r="81" spans="1:25">
      <c r="A81" s="1325" t="s">
        <v>1255</v>
      </c>
      <c r="B81" s="1309" t="str">
        <f>IFERROR((('T48, T49'!B81/'T48, T49'!A81)-1)*100,"-")</f>
        <v>-</v>
      </c>
      <c r="C81" s="1353">
        <f>IFERROR((('T48, T49'!C81/'T48, T49'!B81)-1)*100,"-")</f>
        <v>78.705523214840483</v>
      </c>
      <c r="D81" s="1353">
        <f>IFERROR((('T48, T49'!D81/'T48, T49'!C81)-1)*100,"-")</f>
        <v>-51.522772649472202</v>
      </c>
      <c r="E81" s="1353">
        <f>IFERROR((('T48, T49'!E81/'T48, T49'!D81)-1)*100,"-")</f>
        <v>-11.95624949118368</v>
      </c>
      <c r="F81" s="1353">
        <f>IFERROR((('T48, T49'!F81/'T48, T49'!E81)-1)*100,"-")</f>
        <v>157.09934786109008</v>
      </c>
      <c r="G81" s="1353">
        <f>IFERROR((('T48, T49'!G81/'T48, T49'!F81)-1)*100,"-")</f>
        <v>-84.425393870450137</v>
      </c>
      <c r="H81" s="1353">
        <f>IFERROR((('T48, T49'!H81/'T48, T49'!G81)-1)*100,"-")</f>
        <v>250.67596173407591</v>
      </c>
      <c r="I81" s="1353">
        <f>IFERROR((('T48, T49'!I81/'T48, T49'!H81)-1)*100,"-")</f>
        <v>-85.527752680616203</v>
      </c>
      <c r="J81" s="1353">
        <f>IFERROR((('T48, T49'!J81/'T48, T49'!I81)-1)*100,"-")</f>
        <v>505.08163383545764</v>
      </c>
      <c r="K81" s="1353">
        <f>IFERROR((('T48, T49'!K81/'T48, T49'!J81)-1)*100,"-")</f>
        <v>-24.336542378446836</v>
      </c>
      <c r="L81" s="1353">
        <f>IFERROR((('T48, T49'!L81/'T48, T49'!K81)-1)*100,"-")</f>
        <v>0</v>
      </c>
      <c r="N81" s="1325" t="s">
        <v>1255</v>
      </c>
      <c r="O81" s="1309" t="s">
        <v>1</v>
      </c>
      <c r="P81" s="1353">
        <v>78.705523214840483</v>
      </c>
      <c r="Q81" s="1353">
        <v>-51.522772649472202</v>
      </c>
      <c r="R81" s="1353">
        <v>-11.95624949118368</v>
      </c>
      <c r="S81" s="1353">
        <v>157.09934786109008</v>
      </c>
      <c r="T81" s="1353">
        <v>-84.425393870450137</v>
      </c>
      <c r="U81" s="1353">
        <v>250.67596173407591</v>
      </c>
      <c r="V81" s="1353">
        <v>-85.527752680616203</v>
      </c>
      <c r="W81" s="1353">
        <v>505.08163383545764</v>
      </c>
      <c r="X81" s="1353">
        <v>-24.336542378446836</v>
      </c>
      <c r="Y81" s="1353">
        <v>0</v>
      </c>
    </row>
    <row r="82" spans="1:25">
      <c r="A82" s="1325" t="s">
        <v>1254</v>
      </c>
      <c r="B82" s="1309" t="str">
        <f>IFERROR((('T48, T49'!B82/'T48, T49'!A82)-1)*100,"-")</f>
        <v>-</v>
      </c>
      <c r="C82" s="1353">
        <f>IFERROR((('T48, T49'!C82/'T48, T49'!B82)-1)*100,"-")</f>
        <v>32.769227247200725</v>
      </c>
      <c r="D82" s="1353">
        <f>IFERROR((('T48, T49'!D82/'T48, T49'!C82)-1)*100,"-")</f>
        <v>-10.542037492827127</v>
      </c>
      <c r="E82" s="1353">
        <f>IFERROR((('T48, T49'!E82/'T48, T49'!D82)-1)*100,"-")</f>
        <v>-11.635260981762796</v>
      </c>
      <c r="F82" s="1353">
        <f>IFERROR((('T48, T49'!F82/'T48, T49'!E82)-1)*100,"-")</f>
        <v>28.51463952373021</v>
      </c>
      <c r="G82" s="1353">
        <f>IFERROR((('T48, T49'!G82/'T48, T49'!F82)-1)*100,"-")</f>
        <v>2.3439697381661739</v>
      </c>
      <c r="H82" s="1353">
        <f>IFERROR((('T48, T49'!H82/'T48, T49'!G82)-1)*100,"-")</f>
        <v>-18.856238260559287</v>
      </c>
      <c r="I82" s="1353">
        <f>IFERROR((('T48, T49'!I82/'T48, T49'!H82)-1)*100,"-")</f>
        <v>-46.66711362344347</v>
      </c>
      <c r="J82" s="1353">
        <f>IFERROR((('T48, T49'!J82/'T48, T49'!I82)-1)*100,"-")</f>
        <v>8.1970152250772763</v>
      </c>
      <c r="K82" s="1353">
        <f>IFERROR((('T48, T49'!K82/'T48, T49'!J82)-1)*100,"-")</f>
        <v>0.46397253282604023</v>
      </c>
      <c r="L82" s="1353">
        <f>IFERROR((('T48, T49'!L82/'T48, T49'!K82)-1)*100,"-")</f>
        <v>-1.0754036062307404</v>
      </c>
      <c r="N82" s="1325" t="s">
        <v>1254</v>
      </c>
      <c r="O82" s="1309" t="s">
        <v>1</v>
      </c>
      <c r="P82" s="1353">
        <v>32.769227247200725</v>
      </c>
      <c r="Q82" s="1353">
        <v>75.909852457386336</v>
      </c>
      <c r="R82" s="1353">
        <v>-11.635260981762796</v>
      </c>
      <c r="S82" s="1353">
        <v>28.51463952373021</v>
      </c>
      <c r="T82" s="1353">
        <v>2.3439697381661739</v>
      </c>
      <c r="U82" s="1353">
        <v>-17.453675021639292</v>
      </c>
      <c r="V82" s="1353">
        <v>-46.66711362344347</v>
      </c>
      <c r="W82" s="1353">
        <v>8.1970152250772763</v>
      </c>
      <c r="X82" s="1353">
        <v>0.46397253282604023</v>
      </c>
      <c r="Y82" s="1353">
        <v>-1.0754036062307404</v>
      </c>
    </row>
    <row r="83" spans="1:25">
      <c r="A83" s="1325" t="s">
        <v>1253</v>
      </c>
      <c r="B83" s="1309" t="str">
        <f>IFERROR((('T48, T49'!B83/'T48, T49'!A83)-1)*100,"-")</f>
        <v>-</v>
      </c>
      <c r="C83" s="1353">
        <f>IFERROR((('T48, T49'!C83/'T48, T49'!B83)-1)*100,"-")</f>
        <v>35.10705114911832</v>
      </c>
      <c r="D83" s="1353">
        <f>IFERROR((('T48, T49'!D83/'T48, T49'!C83)-1)*100,"-")</f>
        <v>-5.3977552584418937</v>
      </c>
      <c r="E83" s="1353">
        <f>IFERROR((('T48, T49'!E83/'T48, T49'!D83)-1)*100,"-")</f>
        <v>-42.727195719131053</v>
      </c>
      <c r="F83" s="1353">
        <f>IFERROR((('T48, T49'!F83/'T48, T49'!E83)-1)*100,"-")</f>
        <v>123.2778888650127</v>
      </c>
      <c r="G83" s="1353">
        <f>IFERROR((('T48, T49'!G83/'T48, T49'!F83)-1)*100,"-")</f>
        <v>-7.9516957056939619</v>
      </c>
      <c r="H83" s="1353">
        <f>IFERROR((('T48, T49'!H83/'T48, T49'!G83)-1)*100,"-")</f>
        <v>8.7518803039585702</v>
      </c>
      <c r="I83" s="1353">
        <f>IFERROR((('T48, T49'!I83/'T48, T49'!H83)-1)*100,"-")</f>
        <v>9.9817176708658408</v>
      </c>
      <c r="J83" s="1353">
        <f>IFERROR((('T48, T49'!J83/'T48, T49'!I83)-1)*100,"-")</f>
        <v>5.8974145525017674</v>
      </c>
      <c r="K83" s="1353">
        <f>IFERROR((('T48, T49'!K83/'T48, T49'!J83)-1)*100,"-")</f>
        <v>-2.3614712709881469</v>
      </c>
      <c r="L83" s="1353">
        <f>IFERROR((('T48, T49'!L83/'T48, T49'!K83)-1)*100,"-")</f>
        <v>-1.4039507965468934</v>
      </c>
      <c r="N83" s="1325" t="s">
        <v>1253</v>
      </c>
      <c r="O83" s="1309" t="s">
        <v>1</v>
      </c>
      <c r="P83" s="1353">
        <v>35.10705114911832</v>
      </c>
      <c r="Q83" s="1353">
        <v>-5.3977552584418937</v>
      </c>
      <c r="R83" s="1353">
        <v>-42.727195719131053</v>
      </c>
      <c r="S83" s="1353">
        <v>123.2778888650127</v>
      </c>
      <c r="T83" s="1353">
        <v>-7.9516957056939619</v>
      </c>
      <c r="U83" s="1353">
        <v>8.7518803039585702</v>
      </c>
      <c r="V83" s="1353">
        <v>9.9817176708658408</v>
      </c>
      <c r="W83" s="1353">
        <v>5.8974145525017674</v>
      </c>
      <c r="X83" s="1353">
        <v>-2.3614712709881469</v>
      </c>
      <c r="Y83" s="1353">
        <v>-1.4039507965468934</v>
      </c>
    </row>
    <row r="84" spans="1:25">
      <c r="A84" s="1325" t="s">
        <v>247</v>
      </c>
      <c r="B84" s="1309" t="str">
        <f>IFERROR((('T48, T49'!B84/'T48, T49'!A84)-1)*100,"-")</f>
        <v>-</v>
      </c>
      <c r="C84" s="1353">
        <f>IFERROR((('T48, T49'!C84/'T48, T49'!B84)-1)*100,"-")</f>
        <v>-5.5378221394426719</v>
      </c>
      <c r="D84" s="1353">
        <f>IFERROR((('T48, T49'!D84/'T48, T49'!C84)-1)*100,"-")</f>
        <v>-82.297688875868445</v>
      </c>
      <c r="E84" s="1353">
        <f>IFERROR((('T48, T49'!E84/'T48, T49'!D84)-1)*100,"-")</f>
        <v>683.27570715624177</v>
      </c>
      <c r="F84" s="1353">
        <f>IFERROR((('T48, T49'!F84/'T48, T49'!E84)-1)*100,"-")</f>
        <v>-41.141132623256382</v>
      </c>
      <c r="G84" s="1353">
        <f>IFERROR((('T48, T49'!G84/'T48, T49'!F84)-1)*100,"-")</f>
        <v>-13.9686796090292</v>
      </c>
      <c r="H84" s="1353">
        <f>IFERROR((('T48, T49'!H84/'T48, T49'!G84)-1)*100,"-")</f>
        <v>23.048906926319312</v>
      </c>
      <c r="I84" s="1353">
        <f>IFERROR((('T48, T49'!I84/'T48, T49'!H84)-1)*100,"-")</f>
        <v>30.904835974105072</v>
      </c>
      <c r="J84" s="1353">
        <f>IFERROR((('T48, T49'!J84/'T48, T49'!I84)-1)*100,"-")</f>
        <v>-4.7165047293333373</v>
      </c>
      <c r="K84" s="1353">
        <f>IFERROR((('T48, T49'!K84/'T48, T49'!J84)-1)*100,"-")</f>
        <v>-9.6003339392326303</v>
      </c>
      <c r="L84" s="1353">
        <f>IFERROR((('T48, T49'!L84/'T48, T49'!K84)-1)*100,"-")</f>
        <v>1.8002340882441237</v>
      </c>
      <c r="N84" s="1325" t="s">
        <v>247</v>
      </c>
      <c r="O84" s="1309" t="s">
        <v>1</v>
      </c>
      <c r="P84" s="1353">
        <v>-5.5378221394426719</v>
      </c>
      <c r="Q84" s="1353">
        <v>-82.297688875868445</v>
      </c>
      <c r="R84" s="1353">
        <v>683.27570715624177</v>
      </c>
      <c r="S84" s="1353">
        <v>-41.141132623256382</v>
      </c>
      <c r="T84" s="1353">
        <v>-13.9686796090292</v>
      </c>
      <c r="U84" s="1353">
        <v>23.048906926319312</v>
      </c>
      <c r="V84" s="1353">
        <v>30.904835974105072</v>
      </c>
      <c r="W84" s="1353">
        <v>-4.7165047293333373</v>
      </c>
      <c r="X84" s="1353">
        <v>-9.6003339392326303</v>
      </c>
      <c r="Y84" s="1353">
        <v>1.8002340882441237</v>
      </c>
    </row>
    <row r="85" spans="1:25">
      <c r="A85" s="1310" t="s">
        <v>1252</v>
      </c>
      <c r="B85" s="1309" t="str">
        <f>IFERROR((('T48, T49'!B85/'T48, T49'!A85)-1)*100,"-")</f>
        <v>-</v>
      </c>
      <c r="C85" s="1353">
        <f>IFERROR((('T48, T49'!C85/'T48, T49'!B85)-1)*100,"-")</f>
        <v>20.524966834104141</v>
      </c>
      <c r="D85" s="1353">
        <f>IFERROR((('T48, T49'!D85/'T48, T49'!C85)-1)*100,"-")</f>
        <v>-8.3026701064397361</v>
      </c>
      <c r="E85" s="1353">
        <f>IFERROR((('T48, T49'!E85/'T48, T49'!D85)-1)*100,"-")</f>
        <v>19.931644712118015</v>
      </c>
      <c r="F85" s="1353">
        <f>IFERROR((('T48, T49'!F85/'T48, T49'!E85)-1)*100,"-")</f>
        <v>-12.912018686527727</v>
      </c>
      <c r="G85" s="1353">
        <f>IFERROR((('T48, T49'!G85/'T48, T49'!F85)-1)*100,"-")</f>
        <v>-2.1224687310201773</v>
      </c>
      <c r="H85" s="1353">
        <f>IFERROR((('T48, T49'!H85/'T48, T49'!G85)-1)*100,"-")</f>
        <v>6.3123592962903041</v>
      </c>
      <c r="I85" s="1353">
        <f>IFERROR((('T48, T49'!I85/'T48, T49'!H85)-1)*100,"-")</f>
        <v>11.785223138470791</v>
      </c>
      <c r="J85" s="1353">
        <f>IFERROR((('T48, T49'!J85/'T48, T49'!I85)-1)*100,"-")</f>
        <v>-22.021493380886614</v>
      </c>
      <c r="K85" s="1353">
        <f>IFERROR((('T48, T49'!K85/'T48, T49'!J85)-1)*100,"-")</f>
        <v>1.969488435850697</v>
      </c>
      <c r="L85" s="1353">
        <f>IFERROR((('T48, T49'!L85/'T48, T49'!K85)-1)*100,"-")</f>
        <v>1.3838105145126844</v>
      </c>
      <c r="N85" s="1310" t="s">
        <v>1252</v>
      </c>
      <c r="O85" s="1309" t="s">
        <v>1</v>
      </c>
      <c r="P85" s="1353">
        <v>20.524966834104141</v>
      </c>
      <c r="Q85" s="1353">
        <v>-8.3026701064397361</v>
      </c>
      <c r="R85" s="1353">
        <v>19.931644712118015</v>
      </c>
      <c r="S85" s="1353">
        <v>-12.912018686527727</v>
      </c>
      <c r="T85" s="1353">
        <v>-2.1224687310201773</v>
      </c>
      <c r="U85" s="1353">
        <v>6.2970833170349794</v>
      </c>
      <c r="V85" s="1353">
        <v>12.020635111888067</v>
      </c>
      <c r="W85" s="1353">
        <v>-22.021493380886614</v>
      </c>
      <c r="X85" s="1353">
        <v>1.969488435850697</v>
      </c>
      <c r="Y85" s="1353">
        <v>1.3838105145126844</v>
      </c>
    </row>
    <row r="86" spans="1:25">
      <c r="A86" s="1310" t="s">
        <v>49</v>
      </c>
      <c r="B86" s="1309" t="str">
        <f>IFERROR((('T48, T49'!B86/'T48, T49'!A86)-1)*100,"-")</f>
        <v>-</v>
      </c>
      <c r="C86" s="1353">
        <f>IFERROR((('T48, T49'!C86/'T48, T49'!B86)-1)*100,"-")</f>
        <v>3.9880190889063138</v>
      </c>
      <c r="D86" s="1353">
        <f>IFERROR((('T48, T49'!D86/'T48, T49'!C86)-1)*100,"-")</f>
        <v>-34.069719440489379</v>
      </c>
      <c r="E86" s="1353">
        <f>IFERROR((('T48, T49'!E86/'T48, T49'!D86)-1)*100,"-")</f>
        <v>23.896269727645205</v>
      </c>
      <c r="F86" s="1353">
        <f>IFERROR((('T48, T49'!F86/'T48, T49'!E86)-1)*100,"-")</f>
        <v>23.660627882061291</v>
      </c>
      <c r="G86" s="1353">
        <f>IFERROR((('T48, T49'!G86/'T48, T49'!F86)-1)*100,"-")</f>
        <v>14.371036810717829</v>
      </c>
      <c r="H86" s="1353">
        <f>IFERROR((('T48, T49'!H86/'T48, T49'!G86)-1)*100,"-")</f>
        <v>53.631025302722634</v>
      </c>
      <c r="I86" s="1353">
        <f>IFERROR((('T48, T49'!I86/'T48, T49'!H86)-1)*100,"-")</f>
        <v>-6.7355040386010927</v>
      </c>
      <c r="J86" s="1353">
        <f>IFERROR((('T48, T49'!J86/'T48, T49'!I86)-1)*100,"-")</f>
        <v>3.4603115725100997</v>
      </c>
      <c r="K86" s="1353">
        <f>IFERROR((('T48, T49'!K86/'T48, T49'!J86)-1)*100,"-")</f>
        <v>5.3018463265030347</v>
      </c>
      <c r="L86" s="1353">
        <f>IFERROR((('T48, T49'!L86/'T48, T49'!K86)-1)*100,"-")</f>
        <v>2.3660849210586754</v>
      </c>
      <c r="N86" s="1310" t="s">
        <v>49</v>
      </c>
      <c r="O86" s="1309" t="s">
        <v>1</v>
      </c>
      <c r="P86" s="1353">
        <v>3.9880190889063138</v>
      </c>
      <c r="Q86" s="1353">
        <v>6.2095787320317841</v>
      </c>
      <c r="R86" s="1353">
        <v>23.126331184263861</v>
      </c>
      <c r="S86" s="1353">
        <v>23.660627882061291</v>
      </c>
      <c r="T86" s="1353">
        <v>29.644417815802669</v>
      </c>
      <c r="U86" s="1353">
        <v>53.629201646130589</v>
      </c>
      <c r="V86" s="1353">
        <v>-8.185204166444537</v>
      </c>
      <c r="W86" s="1353">
        <v>3.5345985382979839</v>
      </c>
      <c r="X86" s="1353">
        <v>5.4117821026179902</v>
      </c>
      <c r="Y86" s="1353">
        <v>2.4126277828520504</v>
      </c>
    </row>
    <row r="87" spans="1:25">
      <c r="A87" s="1324" t="s">
        <v>1251</v>
      </c>
      <c r="B87" s="1309" t="str">
        <f>IFERROR((('T48, T49'!B87/'T48, T49'!A87)-1)*100,"-")</f>
        <v>-</v>
      </c>
      <c r="C87" s="1353">
        <f>IFERROR((('T48, T49'!C87/'T48, T49'!B87)-1)*100,"-")</f>
        <v>5.9794098722309119</v>
      </c>
      <c r="D87" s="1353">
        <f>IFERROR((('T48, T49'!D87/'T48, T49'!C87)-1)*100,"-")</f>
        <v>-2.5571891740996167</v>
      </c>
      <c r="E87" s="1353">
        <f>IFERROR((('T48, T49'!E87/'T48, T49'!D87)-1)*100,"-")</f>
        <v>3.2020089187030587</v>
      </c>
      <c r="F87" s="1353">
        <f>IFERROR((('T48, T49'!F87/'T48, T49'!E87)-1)*100,"-")</f>
        <v>4.6535066299967731</v>
      </c>
      <c r="G87" s="1353">
        <f>IFERROR((('T48, T49'!G87/'T48, T49'!F87)-1)*100,"-")</f>
        <v>4.5169906668198534</v>
      </c>
      <c r="H87" s="1353">
        <f>IFERROR((('T48, T49'!H87/'T48, T49'!G87)-1)*100,"-")</f>
        <v>4.2529770421537938</v>
      </c>
      <c r="I87" s="1353">
        <f>IFERROR((('T48, T49'!I87/'T48, T49'!H87)-1)*100,"-")</f>
        <v>5.5835610729541463</v>
      </c>
      <c r="J87" s="1353">
        <f>IFERROR((('T48, T49'!J87/'T48, T49'!I87)-1)*100,"-")</f>
        <v>3.7852482540718047</v>
      </c>
      <c r="K87" s="1353">
        <f>IFERROR((('T48, T49'!K87/'T48, T49'!J87)-1)*100,"-")</f>
        <v>3.3957066248296863</v>
      </c>
      <c r="L87" s="1353">
        <f>IFERROR((('T48, T49'!L87/'T48, T49'!K87)-1)*100,"-")</f>
        <v>3.437448635948992</v>
      </c>
      <c r="N87" s="1324" t="s">
        <v>1251</v>
      </c>
      <c r="O87" s="1309" t="s">
        <v>1</v>
      </c>
      <c r="P87" s="1353">
        <v>5.9794098722309119</v>
      </c>
      <c r="Q87" s="1353">
        <v>-2.5571891740996167</v>
      </c>
      <c r="R87" s="1353">
        <v>3.2020089187030587</v>
      </c>
      <c r="S87" s="1353">
        <v>4.6535066299967731</v>
      </c>
      <c r="T87" s="1353">
        <v>4.5169906668198534</v>
      </c>
      <c r="U87" s="1353">
        <v>4.2529770421537938</v>
      </c>
      <c r="V87" s="1353">
        <v>5.5835610729541463</v>
      </c>
      <c r="W87" s="1353">
        <v>3.7852482540718047</v>
      </c>
      <c r="X87" s="1353">
        <v>3.3957066248296863</v>
      </c>
      <c r="Y87" s="1353">
        <v>3.437448635948992</v>
      </c>
    </row>
    <row r="88" spans="1:25">
      <c r="A88" s="1322" t="s">
        <v>65</v>
      </c>
      <c r="B88" s="1323" t="str">
        <f>IFERROR((('T48, T49'!B88/'T48, T49'!A88)-1)*100,"-")</f>
        <v>-</v>
      </c>
      <c r="C88" s="1354">
        <f>IFERROR((('T48, T49'!C88/'T48, T49'!B88)-1)*100,"-")</f>
        <v>-30.908195842096188</v>
      </c>
      <c r="D88" s="1354">
        <f>IFERROR((('T48, T49'!D88/'T48, T49'!C88)-1)*100,"-")</f>
        <v>1.2004107455429347</v>
      </c>
      <c r="E88" s="1354">
        <f>IFERROR((('T48, T49'!E88/'T48, T49'!D88)-1)*100,"-")</f>
        <v>-10.778232772477647</v>
      </c>
      <c r="F88" s="1354">
        <f>IFERROR((('T48, T49'!F88/'T48, T49'!E88)-1)*100,"-")</f>
        <v>-5.7522850066719755</v>
      </c>
      <c r="G88" s="1354">
        <f>IFERROR((('T48, T49'!G88/'T48, T49'!F88)-1)*100,"-")</f>
        <v>19.268558134377912</v>
      </c>
      <c r="H88" s="1354">
        <f>IFERROR((('T48, T49'!H88/'T48, T49'!G88)-1)*100,"-")</f>
        <v>33.569634720313111</v>
      </c>
      <c r="I88" s="1354">
        <f>IFERROR((('T48, T49'!I88/'T48, T49'!H88)-1)*100,"-")</f>
        <v>2.3283089586787709</v>
      </c>
      <c r="J88" s="1354">
        <f>IFERROR((('T48, T49'!J88/'T48, T49'!I88)-1)*100,"-")</f>
        <v>-1.3795739811867103</v>
      </c>
      <c r="K88" s="1354">
        <f>IFERROR((('T48, T49'!K88/'T48, T49'!J88)-1)*100,"-")</f>
        <v>-6.7493102000898979</v>
      </c>
      <c r="L88" s="1354">
        <f>IFERROR((('T48, T49'!L88/'T48, T49'!K88)-1)*100,"-")</f>
        <v>-2.9750521209285341</v>
      </c>
      <c r="N88" s="1322" t="s">
        <v>65</v>
      </c>
      <c r="O88" s="1323" t="s">
        <v>1</v>
      </c>
      <c r="P88" s="1354">
        <v>-30.908195842096188</v>
      </c>
      <c r="Q88" s="1354">
        <v>-0.99599144830825326</v>
      </c>
      <c r="R88" s="1354">
        <v>-13.879797639817582</v>
      </c>
      <c r="S88" s="1354">
        <v>-5.7522850066719755</v>
      </c>
      <c r="T88" s="1354">
        <v>17.504290124944745</v>
      </c>
      <c r="U88" s="1354">
        <v>27.608612574344505</v>
      </c>
      <c r="V88" s="1354">
        <v>7.6637502635300114</v>
      </c>
      <c r="W88" s="1354">
        <v>-1.4846819367678843</v>
      </c>
      <c r="X88" s="1354">
        <v>-7.0433872509410023</v>
      </c>
      <c r="Y88" s="1354">
        <v>-3.1145013231831387</v>
      </c>
    </row>
    <row r="89" spans="1:25">
      <c r="A89" s="1320" t="s">
        <v>66</v>
      </c>
      <c r="B89" s="1309" t="str">
        <f>IFERROR((('T48, T49'!B89/'T48, T49'!A89)-1)*100,"-")</f>
        <v>-</v>
      </c>
      <c r="C89" s="1353">
        <f>IFERROR((('T48, T49'!C89/'T48, T49'!B89)-1)*100,"-")</f>
        <v>-24.396723872976146</v>
      </c>
      <c r="D89" s="1353">
        <f>IFERROR((('T48, T49'!D89/'T48, T49'!C89)-1)*100,"-")</f>
        <v>11.767135597860467</v>
      </c>
      <c r="E89" s="1353">
        <f>IFERROR((('T48, T49'!E89/'T48, T49'!D89)-1)*100,"-")</f>
        <v>-13.864399779841662</v>
      </c>
      <c r="F89" s="1353">
        <f>IFERROR((('T48, T49'!F89/'T48, T49'!E89)-1)*100,"-")</f>
        <v>-10.271910497566294</v>
      </c>
      <c r="G89" s="1353">
        <f>IFERROR((('T48, T49'!G89/'T48, T49'!F89)-1)*100,"-")</f>
        <v>44.885742356143311</v>
      </c>
      <c r="H89" s="1353">
        <f>IFERROR((('T48, T49'!H89/'T48, T49'!G89)-1)*100,"-")</f>
        <v>10.738895770125456</v>
      </c>
      <c r="I89" s="1353">
        <f>IFERROR((('T48, T49'!I89/'T48, T49'!H89)-1)*100,"-")</f>
        <v>4.2107615403532916</v>
      </c>
      <c r="J89" s="1353">
        <f>IFERROR((('T48, T49'!J89/'T48, T49'!I89)-1)*100,"-")</f>
        <v>5.6301817188646686</v>
      </c>
      <c r="K89" s="1353">
        <f>IFERROR((('T48, T49'!K89/'T48, T49'!J89)-1)*100,"-")</f>
        <v>-3.9599699555343704</v>
      </c>
      <c r="L89" s="1353">
        <f>IFERROR((('T48, T49'!L89/'T48, T49'!K89)-1)*100,"-")</f>
        <v>-1.3032607494928516</v>
      </c>
      <c r="N89" s="1320" t="s">
        <v>66</v>
      </c>
      <c r="O89" s="1309" t="s">
        <v>1</v>
      </c>
      <c r="P89" s="1353">
        <v>-24.396723872976146</v>
      </c>
      <c r="Q89" s="1353">
        <v>3.6773021489087787</v>
      </c>
      <c r="R89" s="1353">
        <v>-17.634154108245703</v>
      </c>
      <c r="S89" s="1353">
        <v>-10.271910497566294</v>
      </c>
      <c r="T89" s="1353">
        <v>42.212442829204555</v>
      </c>
      <c r="U89" s="1353">
        <v>10.724299276019146</v>
      </c>
      <c r="V89" s="1353">
        <v>4.7885594317261804</v>
      </c>
      <c r="W89" s="1353">
        <v>5.8815150028361796</v>
      </c>
      <c r="X89" s="1353">
        <v>-4.1695499704450745</v>
      </c>
      <c r="Y89" s="1353">
        <v>-1.3752364274152273</v>
      </c>
    </row>
    <row r="90" spans="1:25">
      <c r="A90" s="1317" t="s">
        <v>1250</v>
      </c>
      <c r="B90" s="1318" t="str">
        <f>IFERROR((('T48, T49'!B90/'T48, T49'!A90)-1)*100,"-")</f>
        <v>-</v>
      </c>
      <c r="C90" s="1352">
        <f>IFERROR((('T48, T49'!C90/'T48, T49'!B90)-1)*100,"-")</f>
        <v>-44.791454842571085</v>
      </c>
      <c r="D90" s="1352">
        <f>IFERROR((('T48, T49'!D90/'T48, T49'!C90)-1)*100,"-")</f>
        <v>-29.651847772821359</v>
      </c>
      <c r="E90" s="1352">
        <f>IFERROR((('T48, T49'!E90/'T48, T49'!D90)-1)*100,"-")</f>
        <v>3.5379558931358579</v>
      </c>
      <c r="F90" s="1352">
        <f>IFERROR((('T48, T49'!F90/'T48, T49'!E90)-1)*100,"-")</f>
        <v>11.68960470815259</v>
      </c>
      <c r="G90" s="1352">
        <f>IFERROR((('T48, T49'!G90/'T48, T49'!F90)-1)*100,"-")</f>
        <v>-60.152952826002789</v>
      </c>
      <c r="H90" s="1352">
        <f>IFERROR((('T48, T49'!H90/'T48, T49'!G90)-1)*100,"-")</f>
        <v>290.93863068354881</v>
      </c>
      <c r="I90" s="1352">
        <f>IFERROR((('T48, T49'!I90/'T48, T49'!H90)-1)*100,"-")</f>
        <v>-3.6827627166587384</v>
      </c>
      <c r="J90" s="1352">
        <f>IFERROR((('T48, T49'!J90/'T48, T49'!I90)-1)*100,"-")</f>
        <v>-25.597630937714342</v>
      </c>
      <c r="K90" s="1352">
        <f>IFERROR((('T48, T49'!K90/'T48, T49'!J90)-1)*100,"-")</f>
        <v>-20.43098203535315</v>
      </c>
      <c r="L90" s="1352">
        <f>IFERROR((('T48, T49'!L90/'T48, T49'!K90)-1)*100,"-")</f>
        <v>-12.87260988493043</v>
      </c>
      <c r="N90" s="1317" t="s">
        <v>1250</v>
      </c>
      <c r="O90" s="1318" t="s">
        <v>1</v>
      </c>
      <c r="P90" s="1352">
        <v>-44.791454842571085</v>
      </c>
      <c r="Q90" s="1352">
        <v>-14.64086857046909</v>
      </c>
      <c r="R90" s="1352">
        <v>3.53600500201392</v>
      </c>
      <c r="S90" s="1352">
        <v>11.68960470815259</v>
      </c>
      <c r="T90" s="1352">
        <v>-59.098930737433705</v>
      </c>
      <c r="U90" s="1352">
        <v>217.94405334127549</v>
      </c>
      <c r="V90" s="1352">
        <v>18.288059797283516</v>
      </c>
      <c r="W90" s="1352">
        <v>-25.597630937714342</v>
      </c>
      <c r="X90" s="1352">
        <v>-20.43098203535315</v>
      </c>
      <c r="Y90" s="1352">
        <v>-12.87260988493043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8"/>
  <sheetViews>
    <sheetView showGridLines="0" workbookViewId="0"/>
  </sheetViews>
  <sheetFormatPr defaultRowHeight="12.75"/>
  <cols>
    <col min="1" max="1" width="29.85546875" style="556" customWidth="1"/>
    <col min="2" max="16384" width="9.140625" style="556"/>
  </cols>
  <sheetData>
    <row r="1" spans="1:14" ht="18.75" customHeight="1">
      <c r="A1" s="555" t="s">
        <v>301</v>
      </c>
      <c r="B1" s="555"/>
      <c r="C1" s="555"/>
      <c r="D1" s="555"/>
      <c r="E1" s="555"/>
      <c r="F1" s="555"/>
      <c r="G1" s="555"/>
      <c r="H1" s="555"/>
      <c r="I1" s="555"/>
      <c r="J1" s="555"/>
    </row>
    <row r="2" spans="1:14">
      <c r="A2" s="557" t="s">
        <v>565</v>
      </c>
      <c r="B2" s="558" t="s">
        <v>566</v>
      </c>
      <c r="C2" s="1687" t="s">
        <v>567</v>
      </c>
      <c r="D2" s="1688"/>
      <c r="E2" s="1688"/>
      <c r="F2" s="1689"/>
      <c r="G2" s="1690" t="s">
        <v>568</v>
      </c>
      <c r="H2" s="1690"/>
      <c r="I2" s="1690"/>
      <c r="J2" s="1691"/>
      <c r="L2" s="109"/>
      <c r="M2" s="109"/>
      <c r="N2" s="109"/>
    </row>
    <row r="3" spans="1:14" ht="13.5" thickBot="1">
      <c r="A3" s="559" t="s">
        <v>569</v>
      </c>
      <c r="B3" s="560">
        <v>2015</v>
      </c>
      <c r="C3" s="561">
        <v>2016</v>
      </c>
      <c r="D3" s="562">
        <v>2017</v>
      </c>
      <c r="E3" s="562">
        <v>2018</v>
      </c>
      <c r="F3" s="563">
        <v>2019</v>
      </c>
      <c r="G3" s="564">
        <v>2016</v>
      </c>
      <c r="H3" s="564">
        <v>2017</v>
      </c>
      <c r="I3" s="564">
        <v>2018</v>
      </c>
      <c r="J3" s="565">
        <v>2019</v>
      </c>
      <c r="L3" s="109"/>
      <c r="M3" s="109"/>
      <c r="N3" s="109"/>
    </row>
    <row r="4" spans="1:14">
      <c r="A4" s="566" t="s">
        <v>570</v>
      </c>
      <c r="B4" s="567" t="s">
        <v>571</v>
      </c>
      <c r="C4" s="568" t="s">
        <v>572</v>
      </c>
      <c r="D4" s="569" t="s">
        <v>573</v>
      </c>
      <c r="E4" s="569" t="s">
        <v>574</v>
      </c>
      <c r="F4" s="570" t="s">
        <v>575</v>
      </c>
      <c r="G4" s="571" t="s">
        <v>576</v>
      </c>
      <c r="H4" s="572" t="s">
        <v>577</v>
      </c>
      <c r="I4" s="572" t="s">
        <v>578</v>
      </c>
      <c r="J4" s="573" t="s">
        <v>579</v>
      </c>
      <c r="L4" s="109"/>
      <c r="M4" s="109"/>
      <c r="N4" s="109"/>
    </row>
    <row r="5" spans="1:14">
      <c r="A5" s="566" t="s">
        <v>580</v>
      </c>
      <c r="B5" s="574" t="s">
        <v>571</v>
      </c>
      <c r="C5" s="575" t="s">
        <v>581</v>
      </c>
      <c r="D5" s="576" t="s">
        <v>582</v>
      </c>
      <c r="E5" s="576" t="s">
        <v>583</v>
      </c>
      <c r="F5" s="577" t="s">
        <v>571</v>
      </c>
      <c r="G5" s="578" t="s">
        <v>584</v>
      </c>
      <c r="H5" s="579" t="s">
        <v>585</v>
      </c>
      <c r="I5" s="579" t="s">
        <v>586</v>
      </c>
      <c r="J5" s="580" t="s">
        <v>587</v>
      </c>
    </row>
    <row r="6" spans="1:14">
      <c r="A6" s="566" t="s">
        <v>588</v>
      </c>
      <c r="B6" s="574" t="s">
        <v>571</v>
      </c>
      <c r="C6" s="575" t="s">
        <v>581</v>
      </c>
      <c r="D6" s="581" t="s">
        <v>589</v>
      </c>
      <c r="E6" s="581" t="s">
        <v>571</v>
      </c>
      <c r="F6" s="577" t="s">
        <v>590</v>
      </c>
      <c r="G6" s="578" t="s">
        <v>591</v>
      </c>
      <c r="H6" s="579" t="s">
        <v>592</v>
      </c>
      <c r="I6" s="582" t="s">
        <v>590</v>
      </c>
      <c r="J6" s="583" t="s">
        <v>590</v>
      </c>
    </row>
    <row r="7" spans="1:14">
      <c r="A7" s="584" t="s">
        <v>593</v>
      </c>
      <c r="B7" s="585" t="s">
        <v>571</v>
      </c>
      <c r="C7" s="586" t="s">
        <v>594</v>
      </c>
      <c r="D7" s="587" t="s">
        <v>595</v>
      </c>
      <c r="E7" s="587" t="s">
        <v>596</v>
      </c>
      <c r="F7" s="588" t="s">
        <v>590</v>
      </c>
      <c r="G7" s="589" t="s">
        <v>597</v>
      </c>
      <c r="H7" s="590" t="s">
        <v>597</v>
      </c>
      <c r="I7" s="590" t="s">
        <v>590</v>
      </c>
      <c r="J7" s="591" t="s">
        <v>590</v>
      </c>
    </row>
    <row r="8" spans="1:14">
      <c r="A8" s="592" t="s">
        <v>598</v>
      </c>
      <c r="B8" s="593"/>
      <c r="C8" s="1692" t="s">
        <v>599</v>
      </c>
      <c r="D8" s="1692"/>
      <c r="E8" s="1692"/>
      <c r="F8" s="1692"/>
      <c r="G8" s="1692"/>
      <c r="H8" s="1692"/>
      <c r="I8" s="1692"/>
      <c r="J8" s="1692"/>
    </row>
  </sheetData>
  <mergeCells count="3">
    <mergeCell ref="C2:F2"/>
    <mergeCell ref="G2:J2"/>
    <mergeCell ref="C8:J8"/>
  </mergeCells>
  <pageMargins left="0.25" right="0.25" top="0.75" bottom="0.75" header="0.3" footer="0.3"/>
  <pageSetup scale="92" fitToHeight="0" orientation="portrait" horizontalDpi="4294967294" verticalDpi="0" r:id="rId1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97"/>
  <sheetViews>
    <sheetView showGridLines="0" workbookViewId="0"/>
  </sheetViews>
  <sheetFormatPr defaultRowHeight="12.75"/>
  <cols>
    <col min="1" max="1" width="50.28515625" style="109" customWidth="1"/>
    <col min="2" max="2" width="10.7109375" style="109" customWidth="1"/>
    <col min="3" max="3" width="8.28515625" style="109" customWidth="1"/>
    <col min="4" max="4" width="7.42578125" style="109" customWidth="1"/>
    <col min="5" max="5" width="9.140625" style="109"/>
    <col min="6" max="6" width="8.140625" style="109" customWidth="1"/>
    <col min="7" max="8" width="9.140625" style="109"/>
    <col min="9" max="9" width="26.42578125" style="109" customWidth="1"/>
    <col min="10" max="16384" width="9.140625" style="109"/>
  </cols>
  <sheetData>
    <row r="1" spans="1:17" ht="15">
      <c r="A1" s="20"/>
      <c r="B1" s="33">
        <v>2015</v>
      </c>
      <c r="C1" s="33" t="s">
        <v>114</v>
      </c>
      <c r="D1" s="33" t="s">
        <v>221</v>
      </c>
      <c r="E1" s="33" t="s">
        <v>222</v>
      </c>
      <c r="F1" s="33" t="s">
        <v>223</v>
      </c>
      <c r="I1" s="1684" t="s">
        <v>183</v>
      </c>
      <c r="J1" s="1684"/>
      <c r="K1" s="1684"/>
      <c r="L1" s="1684"/>
      <c r="M1" s="1684"/>
      <c r="N1" s="234"/>
      <c r="O1" s="182"/>
      <c r="P1" s="3"/>
      <c r="Q1" s="3"/>
    </row>
    <row r="2" spans="1:17">
      <c r="A2" s="21" t="s">
        <v>131</v>
      </c>
      <c r="B2" s="127">
        <v>-2.4900000000000002</v>
      </c>
      <c r="C2" s="127">
        <v>-1.9300012643870841</v>
      </c>
      <c r="D2" s="127">
        <v>-0.42</v>
      </c>
      <c r="E2" s="127">
        <v>0</v>
      </c>
      <c r="F2" s="6"/>
      <c r="J2" s="183"/>
      <c r="K2" s="55"/>
      <c r="L2" s="55"/>
      <c r="M2" s="55"/>
      <c r="N2" s="55"/>
      <c r="O2" s="55"/>
      <c r="P2" s="3"/>
      <c r="Q2" s="3"/>
    </row>
    <row r="3" spans="1:17" ht="15">
      <c r="A3" s="21" t="s">
        <v>132</v>
      </c>
      <c r="B3" s="127">
        <v>-2.97</v>
      </c>
      <c r="C3" s="127">
        <v>-2.13</v>
      </c>
      <c r="D3" s="127">
        <v>-1.29</v>
      </c>
      <c r="E3" s="127">
        <v>-0.44</v>
      </c>
      <c r="F3" s="127">
        <v>0.15512676216840304</v>
      </c>
      <c r="I3" s="21"/>
      <c r="J3" s="59"/>
      <c r="K3" s="83"/>
      <c r="L3" s="83"/>
      <c r="M3" s="83"/>
      <c r="N3" s="83"/>
      <c r="O3" s="182"/>
      <c r="P3" s="3"/>
      <c r="Q3" s="3"/>
    </row>
    <row r="4" spans="1:17">
      <c r="A4" s="143" t="s">
        <v>133</v>
      </c>
      <c r="B4" s="174">
        <v>-2.7286855588400063</v>
      </c>
      <c r="C4" s="174">
        <v>-1.970000324279477</v>
      </c>
      <c r="D4" s="174">
        <v>-1.2900001435861632</v>
      </c>
      <c r="E4" s="174">
        <v>-0.44000038092532345</v>
      </c>
      <c r="F4" s="174">
        <v>0.15999958902343381</v>
      </c>
      <c r="H4" s="93"/>
      <c r="I4" s="21"/>
      <c r="J4" s="59"/>
      <c r="K4" s="83"/>
      <c r="L4" s="83"/>
      <c r="M4" s="83"/>
      <c r="N4" s="83"/>
      <c r="O4" s="83"/>
      <c r="P4" s="3"/>
      <c r="Q4" s="3"/>
    </row>
    <row r="5" spans="1:17">
      <c r="H5" s="93"/>
      <c r="I5" s="143"/>
      <c r="J5" s="61"/>
      <c r="K5" s="81"/>
      <c r="L5" s="81"/>
      <c r="M5" s="81"/>
      <c r="N5" s="81"/>
      <c r="O5" s="81"/>
      <c r="P5" s="3"/>
      <c r="Q5" s="3"/>
    </row>
    <row r="6" spans="1:17" ht="15">
      <c r="A6" s="157"/>
      <c r="B6" s="180"/>
      <c r="C6" s="180"/>
      <c r="D6" s="180"/>
      <c r="E6" s="180"/>
      <c r="F6" s="180"/>
      <c r="H6" s="93"/>
      <c r="I6" s="93"/>
      <c r="J6" s="235"/>
      <c r="K6" s="184"/>
      <c r="L6" s="184"/>
      <c r="M6" s="184"/>
      <c r="N6" s="184"/>
      <c r="O6" s="185"/>
      <c r="P6" s="3"/>
      <c r="Q6" s="3"/>
    </row>
    <row r="7" spans="1:17">
      <c r="A7" s="157"/>
      <c r="B7" s="180"/>
      <c r="C7" s="180"/>
      <c r="D7" s="180"/>
      <c r="E7" s="180"/>
      <c r="F7" s="180"/>
      <c r="J7" s="235"/>
      <c r="K7" s="184"/>
      <c r="L7" s="184"/>
      <c r="M7" s="184"/>
      <c r="N7" s="184"/>
      <c r="O7" s="184"/>
      <c r="P7" s="3"/>
      <c r="Q7" s="3"/>
    </row>
    <row r="8" spans="1:17" ht="12.75" customHeight="1">
      <c r="A8" s="21"/>
      <c r="B8" s="145"/>
      <c r="C8" s="145"/>
      <c r="D8" s="145"/>
      <c r="E8" s="145"/>
      <c r="F8" s="99"/>
      <c r="J8" s="183"/>
      <c r="K8" s="80"/>
      <c r="L8" s="80"/>
      <c r="M8" s="80"/>
      <c r="N8" s="80"/>
      <c r="O8" s="80"/>
      <c r="P8" s="3"/>
      <c r="Q8" s="3"/>
    </row>
    <row r="9" spans="1:17" ht="15">
      <c r="A9" s="21"/>
      <c r="B9" s="145"/>
      <c r="C9" s="145"/>
      <c r="D9" s="145"/>
      <c r="E9" s="145"/>
      <c r="F9" s="145"/>
      <c r="J9" s="59"/>
      <c r="K9" s="83"/>
      <c r="L9" s="83"/>
      <c r="M9" s="83"/>
      <c r="N9" s="83"/>
      <c r="O9" s="182"/>
      <c r="P9" s="3"/>
      <c r="Q9" s="3"/>
    </row>
    <row r="10" spans="1:17">
      <c r="A10" s="143"/>
      <c r="B10" s="178"/>
      <c r="C10" s="178"/>
      <c r="D10" s="178"/>
      <c r="E10" s="178"/>
      <c r="F10" s="178"/>
      <c r="J10" s="59"/>
      <c r="K10" s="83"/>
      <c r="L10" s="83"/>
      <c r="M10" s="83"/>
      <c r="N10" s="83"/>
      <c r="O10" s="83"/>
      <c r="P10" s="3"/>
      <c r="Q10" s="3"/>
    </row>
    <row r="11" spans="1:17">
      <c r="A11" s="235"/>
      <c r="B11" s="181"/>
      <c r="C11" s="181"/>
      <c r="D11" s="181"/>
      <c r="E11" s="181"/>
      <c r="F11" s="181"/>
      <c r="G11" s="3"/>
      <c r="H11" s="3"/>
      <c r="J11" s="61"/>
      <c r="K11" s="81"/>
      <c r="L11" s="81"/>
      <c r="M11" s="81"/>
      <c r="N11" s="81"/>
      <c r="O11" s="81"/>
      <c r="P11" s="3"/>
      <c r="Q11" s="3"/>
    </row>
    <row r="12" spans="1:17" ht="15">
      <c r="A12" s="235"/>
      <c r="B12" s="181"/>
      <c r="C12" s="181"/>
      <c r="D12" s="181"/>
      <c r="E12" s="181"/>
      <c r="F12" s="181"/>
      <c r="G12" s="3"/>
      <c r="H12" s="3"/>
      <c r="J12" s="235"/>
      <c r="K12" s="184"/>
      <c r="L12" s="184"/>
      <c r="M12" s="184"/>
      <c r="N12" s="184"/>
      <c r="O12" s="185"/>
      <c r="P12" s="3"/>
      <c r="Q12" s="3"/>
    </row>
    <row r="13" spans="1:17" ht="36" customHeight="1">
      <c r="A13" s="1778"/>
      <c r="B13" s="1778"/>
      <c r="C13" s="1778"/>
      <c r="D13" s="1778"/>
      <c r="E13" s="1778"/>
      <c r="F13" s="240"/>
      <c r="G13" s="3"/>
      <c r="H13" s="3"/>
      <c r="J13" s="235"/>
      <c r="K13" s="184"/>
      <c r="L13" s="184"/>
      <c r="M13" s="184"/>
      <c r="N13" s="184"/>
      <c r="O13" s="184"/>
      <c r="P13" s="3"/>
      <c r="Q13" s="3"/>
    </row>
    <row r="14" spans="1:17">
      <c r="A14" s="3"/>
      <c r="B14" s="3"/>
      <c r="C14" s="3"/>
      <c r="D14" s="3"/>
      <c r="E14" s="3"/>
      <c r="F14" s="3"/>
      <c r="G14" s="3"/>
      <c r="H14" s="3"/>
      <c r="J14" s="1779"/>
      <c r="K14" s="1779"/>
      <c r="L14" s="1779"/>
      <c r="M14" s="1779"/>
      <c r="N14" s="1779"/>
      <c r="O14" s="236"/>
      <c r="P14" s="3"/>
      <c r="Q14" s="3"/>
    </row>
    <row r="15" spans="1:17">
      <c r="A15" s="1780"/>
      <c r="B15" s="1780"/>
      <c r="C15" s="1780"/>
      <c r="D15" s="1780"/>
      <c r="E15" s="1780"/>
      <c r="F15" s="3"/>
      <c r="G15" s="3"/>
      <c r="H15" s="3"/>
    </row>
    <row r="16" spans="1:17">
      <c r="A16" s="183"/>
      <c r="B16" s="55"/>
      <c r="C16" s="55"/>
      <c r="D16" s="55"/>
      <c r="E16" s="55"/>
      <c r="F16" s="55"/>
      <c r="G16" s="3"/>
      <c r="H16" s="3"/>
    </row>
    <row r="17" spans="1:9">
      <c r="A17" s="59"/>
      <c r="B17" s="79"/>
      <c r="C17" s="79"/>
      <c r="D17" s="79"/>
      <c r="E17" s="79"/>
      <c r="F17" s="3"/>
      <c r="G17" s="3"/>
      <c r="H17" s="3"/>
    </row>
    <row r="18" spans="1:9" ht="13.5" customHeight="1">
      <c r="A18" s="59"/>
      <c r="B18" s="79"/>
      <c r="C18" s="79"/>
      <c r="D18" s="79"/>
      <c r="E18" s="79"/>
      <c r="F18" s="79"/>
      <c r="G18" s="3"/>
      <c r="H18" s="241"/>
      <c r="I18" s="93"/>
    </row>
    <row r="19" spans="1:9" ht="13.5" customHeight="1">
      <c r="A19" s="61"/>
      <c r="B19" s="131"/>
      <c r="C19" s="131"/>
      <c r="D19" s="131"/>
      <c r="E19" s="131"/>
      <c r="F19" s="131"/>
      <c r="G19" s="3"/>
      <c r="H19" s="241"/>
      <c r="I19" s="93"/>
    </row>
    <row r="20" spans="1:9" ht="15" customHeight="1">
      <c r="A20" s="59"/>
      <c r="B20" s="79"/>
      <c r="C20" s="79"/>
      <c r="D20" s="79"/>
      <c r="E20" s="79"/>
      <c r="F20" s="79"/>
      <c r="G20" s="3"/>
      <c r="H20" s="3"/>
    </row>
    <row r="21" spans="1:9">
      <c r="A21" s="61"/>
      <c r="B21" s="131"/>
      <c r="C21" s="131"/>
      <c r="D21" s="131"/>
      <c r="E21" s="131"/>
      <c r="F21" s="131"/>
      <c r="G21" s="3"/>
      <c r="H21" s="3"/>
    </row>
    <row r="22" spans="1:9">
      <c r="A22" s="59"/>
      <c r="B22" s="134"/>
      <c r="C22" s="134"/>
      <c r="D22" s="134"/>
      <c r="E22" s="134"/>
      <c r="F22" s="134"/>
      <c r="G22" s="3"/>
      <c r="H22" s="3"/>
    </row>
    <row r="23" spans="1:9">
      <c r="A23" s="59"/>
      <c r="B23" s="238"/>
      <c r="C23" s="238"/>
      <c r="D23" s="79"/>
      <c r="E23" s="79"/>
      <c r="F23" s="79"/>
      <c r="G23" s="3"/>
      <c r="H23" s="3"/>
    </row>
    <row r="24" spans="1:9">
      <c r="A24" s="59"/>
      <c r="B24" s="3"/>
      <c r="C24" s="3"/>
      <c r="D24" s="134"/>
      <c r="E24" s="134"/>
      <c r="F24" s="134"/>
      <c r="G24" s="3"/>
      <c r="H24" s="3"/>
    </row>
    <row r="25" spans="1:9">
      <c r="A25" s="58"/>
      <c r="B25" s="242"/>
      <c r="C25" s="242"/>
      <c r="D25" s="175"/>
      <c r="E25" s="175"/>
      <c r="F25" s="175"/>
      <c r="G25" s="3"/>
      <c r="H25" s="3"/>
    </row>
    <row r="26" spans="1:9">
      <c r="A26" s="144"/>
      <c r="B26" s="3"/>
      <c r="C26" s="3"/>
      <c r="D26" s="134"/>
      <c r="E26" s="134"/>
      <c r="F26" s="134"/>
      <c r="G26" s="3"/>
      <c r="H26" s="3"/>
    </row>
    <row r="27" spans="1:9" ht="12.75" customHeight="1">
      <c r="A27" s="144"/>
      <c r="B27" s="3"/>
      <c r="C27" s="3"/>
      <c r="D27" s="3"/>
      <c r="E27" s="3"/>
      <c r="F27" s="243"/>
      <c r="G27" s="3"/>
      <c r="H27" s="3"/>
    </row>
    <row r="28" spans="1:9" ht="12.75" customHeight="1">
      <c r="A28" s="144"/>
      <c r="B28" s="147"/>
      <c r="C28" s="147"/>
      <c r="D28" s="147"/>
      <c r="E28" s="147"/>
      <c r="F28" s="147"/>
      <c r="G28" s="3"/>
      <c r="H28" s="3"/>
    </row>
    <row r="29" spans="1:9">
      <c r="A29" s="144"/>
      <c r="B29" s="147"/>
      <c r="C29" s="147"/>
      <c r="D29" s="147"/>
      <c r="E29" s="147"/>
      <c r="F29" s="147"/>
      <c r="G29" s="3"/>
      <c r="H29" s="3"/>
    </row>
    <row r="30" spans="1:9">
      <c r="A30" s="3"/>
      <c r="B30" s="3"/>
      <c r="C30" s="3"/>
      <c r="D30" s="3"/>
      <c r="E30" s="3"/>
      <c r="F30" s="3"/>
      <c r="G30" s="3"/>
      <c r="H30" s="3"/>
    </row>
    <row r="31" spans="1:9">
      <c r="A31" s="59"/>
      <c r="B31" s="86"/>
      <c r="C31" s="86"/>
      <c r="D31" s="86"/>
      <c r="E31" s="86"/>
      <c r="F31" s="86"/>
      <c r="G31" s="3"/>
      <c r="H31" s="3"/>
    </row>
    <row r="32" spans="1:9">
      <c r="A32" s="3"/>
      <c r="B32" s="3"/>
      <c r="C32" s="3"/>
      <c r="D32" s="3"/>
      <c r="E32" s="3"/>
      <c r="F32" s="3"/>
      <c r="G32" s="3"/>
      <c r="H32" s="3"/>
    </row>
    <row r="33" spans="1:8">
      <c r="A33" s="1780"/>
      <c r="B33" s="1780"/>
      <c r="C33" s="1780"/>
      <c r="D33" s="1780"/>
      <c r="E33" s="1780"/>
      <c r="F33" s="3"/>
      <c r="G33" s="3"/>
      <c r="H33" s="3"/>
    </row>
    <row r="34" spans="1:8">
      <c r="A34" s="183"/>
      <c r="B34" s="55"/>
      <c r="C34" s="55"/>
      <c r="D34" s="55"/>
      <c r="E34" s="55"/>
      <c r="F34" s="55"/>
      <c r="G34" s="3"/>
      <c r="H34" s="3"/>
    </row>
    <row r="35" spans="1:8">
      <c r="A35" s="59"/>
      <c r="B35" s="79"/>
      <c r="C35" s="79"/>
      <c r="D35" s="79"/>
      <c r="E35" s="79"/>
      <c r="F35" s="79"/>
      <c r="G35" s="3"/>
      <c r="H35" s="3"/>
    </row>
    <row r="36" spans="1:8">
      <c r="A36" s="61"/>
      <c r="B36" s="79"/>
      <c r="C36" s="79"/>
      <c r="D36" s="79"/>
      <c r="E36" s="79"/>
      <c r="F36" s="79"/>
      <c r="G36" s="3"/>
      <c r="H36" s="3"/>
    </row>
    <row r="37" spans="1:8">
      <c r="A37" s="59"/>
      <c r="B37" s="79"/>
      <c r="C37" s="79"/>
      <c r="D37" s="79"/>
      <c r="E37" s="79"/>
      <c r="F37" s="79"/>
      <c r="G37" s="3"/>
      <c r="H37" s="3"/>
    </row>
    <row r="38" spans="1:8">
      <c r="A38" s="61"/>
      <c r="B38" s="79"/>
      <c r="C38" s="79"/>
      <c r="D38" s="79"/>
      <c r="E38" s="79"/>
      <c r="F38" s="79"/>
      <c r="G38" s="3"/>
      <c r="H38" s="3"/>
    </row>
    <row r="39" spans="1:8">
      <c r="A39" s="59"/>
      <c r="B39" s="79"/>
      <c r="C39" s="79"/>
      <c r="D39" s="79"/>
      <c r="E39" s="79"/>
      <c r="F39" s="79"/>
      <c r="G39" s="134"/>
      <c r="H39" s="3"/>
    </row>
    <row r="40" spans="1:8">
      <c r="A40" s="59"/>
      <c r="B40" s="79"/>
      <c r="C40" s="79"/>
      <c r="D40" s="79"/>
      <c r="E40" s="79"/>
      <c r="F40" s="79"/>
      <c r="G40" s="134"/>
      <c r="H40" s="3"/>
    </row>
    <row r="41" spans="1:8">
      <c r="A41" s="59"/>
      <c r="B41" s="79"/>
      <c r="C41" s="79"/>
      <c r="D41" s="79"/>
      <c r="E41" s="79"/>
      <c r="F41" s="79"/>
      <c r="G41" s="134"/>
      <c r="H41" s="3"/>
    </row>
    <row r="42" spans="1:8">
      <c r="A42" s="58"/>
      <c r="B42" s="79"/>
      <c r="C42" s="79"/>
      <c r="D42" s="79"/>
      <c r="E42" s="79"/>
      <c r="F42" s="79"/>
      <c r="G42" s="3"/>
      <c r="H42" s="3"/>
    </row>
    <row r="43" spans="1:8">
      <c r="A43" s="144"/>
      <c r="B43" s="79"/>
      <c r="C43" s="79"/>
      <c r="D43" s="79"/>
      <c r="E43" s="79"/>
      <c r="F43" s="79"/>
      <c r="G43" s="3"/>
      <c r="H43" s="3"/>
    </row>
    <row r="44" spans="1:8">
      <c r="A44" s="144"/>
      <c r="B44" s="3"/>
      <c r="C44" s="3"/>
      <c r="D44" s="3"/>
      <c r="E44" s="3"/>
      <c r="F44" s="243"/>
      <c r="G44" s="3"/>
      <c r="H44" s="3"/>
    </row>
    <row r="45" spans="1:8">
      <c r="A45" s="144"/>
      <c r="B45" s="239"/>
      <c r="C45" s="239"/>
      <c r="D45" s="147"/>
      <c r="E45" s="147"/>
      <c r="F45" s="147"/>
      <c r="G45" s="3"/>
      <c r="H45" s="3"/>
    </row>
    <row r="46" spans="1:8">
      <c r="A46" s="3"/>
      <c r="B46" s="3"/>
      <c r="C46" s="3"/>
      <c r="D46" s="3"/>
      <c r="E46" s="3"/>
      <c r="F46" s="3"/>
      <c r="G46" s="3"/>
      <c r="H46" s="3"/>
    </row>
    <row r="47" spans="1:8">
      <c r="A47" s="59"/>
      <c r="B47" s="86"/>
      <c r="C47" s="86"/>
      <c r="D47" s="86"/>
      <c r="E47" s="86"/>
      <c r="F47" s="86"/>
      <c r="G47" s="3"/>
      <c r="H47" s="3"/>
    </row>
    <row r="48" spans="1:8">
      <c r="A48" s="3"/>
      <c r="B48" s="3"/>
      <c r="C48" s="3"/>
      <c r="D48" s="3"/>
      <c r="E48" s="3"/>
      <c r="F48" s="3"/>
      <c r="G48" s="3"/>
      <c r="H48" s="3"/>
    </row>
    <row r="49" spans="1:8" ht="16.5">
      <c r="A49" s="1781"/>
      <c r="B49" s="1781"/>
      <c r="C49" s="1781"/>
      <c r="D49" s="1781"/>
      <c r="E49" s="3"/>
      <c r="F49" s="3"/>
      <c r="G49" s="3"/>
      <c r="H49" s="3"/>
    </row>
    <row r="50" spans="1:8" ht="16.5">
      <c r="A50" s="206"/>
      <c r="B50" s="244"/>
      <c r="C50" s="244"/>
      <c r="D50" s="244"/>
      <c r="E50" s="3"/>
      <c r="F50" s="3"/>
      <c r="G50" s="3"/>
      <c r="H50" s="3"/>
    </row>
    <row r="51" spans="1:8" ht="16.5">
      <c r="A51" s="206"/>
      <c r="B51" s="245"/>
      <c r="C51" s="245"/>
      <c r="D51" s="245"/>
      <c r="E51" s="3"/>
      <c r="F51" s="3"/>
      <c r="G51" s="3"/>
      <c r="H51" s="3"/>
    </row>
    <row r="52" spans="1:8" ht="16.5">
      <c r="A52" s="206"/>
      <c r="B52" s="245"/>
      <c r="C52" s="245"/>
      <c r="D52" s="245"/>
      <c r="E52" s="3"/>
      <c r="F52" s="3"/>
      <c r="G52" s="3"/>
      <c r="H52" s="3"/>
    </row>
    <row r="53" spans="1:8" ht="16.5">
      <c r="A53" s="206"/>
      <c r="B53" s="245"/>
      <c r="C53" s="245"/>
      <c r="D53" s="245"/>
      <c r="E53" s="3"/>
      <c r="F53" s="3"/>
      <c r="G53" s="3"/>
      <c r="H53" s="3"/>
    </row>
    <row r="54" spans="1:8" ht="16.5">
      <c r="A54" s="205"/>
      <c r="B54" s="244"/>
      <c r="C54" s="246"/>
      <c r="D54" s="246"/>
      <c r="E54" s="3"/>
      <c r="F54" s="3"/>
      <c r="G54" s="3"/>
      <c r="H54" s="3"/>
    </row>
    <row r="55" spans="1:8" ht="13.5">
      <c r="A55" s="1782"/>
      <c r="B55" s="1782"/>
      <c r="C55" s="1782"/>
      <c r="D55" s="1782"/>
      <c r="E55" s="3"/>
      <c r="F55" s="3"/>
      <c r="G55" s="3"/>
      <c r="H55" s="3"/>
    </row>
    <row r="56" spans="1:8">
      <c r="A56" s="3"/>
      <c r="B56" s="3"/>
      <c r="C56" s="3"/>
      <c r="D56" s="3"/>
      <c r="E56" s="3"/>
      <c r="F56" s="3"/>
      <c r="G56" s="3"/>
      <c r="H56" s="3"/>
    </row>
    <row r="57" spans="1:8">
      <c r="A57" s="3"/>
      <c r="B57" s="3"/>
      <c r="C57" s="3"/>
      <c r="D57" s="3"/>
      <c r="E57" s="3"/>
      <c r="F57" s="3"/>
      <c r="G57" s="3"/>
      <c r="H57" s="3"/>
    </row>
    <row r="58" spans="1:8" ht="16.5">
      <c r="A58" s="1783"/>
      <c r="B58" s="1783"/>
      <c r="C58" s="1783"/>
      <c r="D58" s="1783"/>
      <c r="E58" s="1783"/>
      <c r="F58" s="1783"/>
      <c r="G58" s="1783"/>
      <c r="H58" s="3"/>
    </row>
    <row r="59" spans="1:8" ht="16.5">
      <c r="A59" s="247"/>
      <c r="B59" s="244"/>
      <c r="C59" s="244"/>
      <c r="D59" s="244"/>
      <c r="E59" s="244"/>
      <c r="F59" s="244"/>
      <c r="G59" s="244"/>
      <c r="H59" s="3"/>
    </row>
    <row r="60" spans="1:8" ht="16.5">
      <c r="A60" s="247"/>
      <c r="B60" s="247"/>
      <c r="C60" s="208"/>
      <c r="D60" s="208"/>
      <c r="E60" s="208"/>
      <c r="F60" s="208"/>
      <c r="G60" s="208"/>
      <c r="H60" s="3"/>
    </row>
    <row r="61" spans="1:8" ht="16.5">
      <c r="A61" s="205"/>
      <c r="B61" s="244"/>
      <c r="C61" s="205"/>
      <c r="D61" s="205"/>
      <c r="E61" s="205"/>
      <c r="F61" s="205"/>
      <c r="G61" s="205"/>
      <c r="H61" s="3"/>
    </row>
    <row r="62" spans="1:8" ht="16.5">
      <c r="A62" s="248"/>
      <c r="B62" s="249"/>
      <c r="C62" s="250"/>
      <c r="D62" s="250"/>
      <c r="E62" s="250"/>
      <c r="F62" s="250"/>
      <c r="G62" s="250"/>
      <c r="H62" s="3"/>
    </row>
    <row r="63" spans="1:8" ht="16.5">
      <c r="A63" s="248"/>
      <c r="B63" s="249"/>
      <c r="C63" s="250"/>
      <c r="D63" s="250"/>
      <c r="E63" s="250"/>
      <c r="F63" s="250"/>
      <c r="G63" s="250"/>
      <c r="H63" s="3"/>
    </row>
    <row r="64" spans="1:8" ht="16.5">
      <c r="A64" s="251"/>
      <c r="B64" s="249"/>
      <c r="C64" s="252"/>
      <c r="D64" s="252"/>
      <c r="E64" s="252"/>
      <c r="F64" s="252"/>
      <c r="G64" s="252"/>
      <c r="H64" s="3"/>
    </row>
    <row r="65" spans="1:8" ht="16.5">
      <c r="A65" s="205"/>
      <c r="B65" s="244"/>
      <c r="C65" s="206"/>
      <c r="D65" s="206"/>
      <c r="E65" s="206"/>
      <c r="F65" s="206"/>
      <c r="G65" s="206"/>
      <c r="H65" s="3"/>
    </row>
    <row r="66" spans="1:8" ht="16.5">
      <c r="A66" s="248"/>
      <c r="B66" s="249"/>
      <c r="C66" s="208"/>
      <c r="D66" s="207"/>
      <c r="E66" s="207"/>
      <c r="F66" s="207"/>
      <c r="G66" s="207"/>
      <c r="H66" s="3"/>
    </row>
    <row r="67" spans="1:8" ht="16.5">
      <c r="A67" s="248"/>
      <c r="B67" s="249"/>
      <c r="C67" s="208"/>
      <c r="D67" s="208"/>
      <c r="E67" s="245"/>
      <c r="F67" s="245"/>
      <c r="G67" s="245"/>
      <c r="H67" s="3"/>
    </row>
    <row r="68" spans="1:8" ht="16.5">
      <c r="A68" s="251"/>
      <c r="B68" s="205"/>
      <c r="C68" s="244"/>
      <c r="D68" s="244"/>
      <c r="E68" s="246"/>
      <c r="F68" s="246"/>
      <c r="G68" s="246"/>
      <c r="H68" s="3"/>
    </row>
    <row r="69" spans="1:8" ht="16.5">
      <c r="A69" s="249"/>
      <c r="B69" s="249"/>
      <c r="C69" s="1784"/>
      <c r="D69" s="1784"/>
      <c r="E69" s="249"/>
      <c r="F69" s="1782"/>
      <c r="G69" s="1782"/>
      <c r="H69" s="3"/>
    </row>
    <row r="70" spans="1:8">
      <c r="A70" s="3"/>
      <c r="B70" s="3"/>
      <c r="C70" s="3"/>
      <c r="D70" s="3"/>
      <c r="E70" s="3"/>
      <c r="F70" s="3"/>
      <c r="G70" s="3"/>
      <c r="H70" s="3"/>
    </row>
    <row r="71" spans="1:8">
      <c r="A71" s="3"/>
      <c r="B71" s="3"/>
      <c r="C71" s="3"/>
      <c r="D71" s="3"/>
      <c r="E71" s="3"/>
      <c r="F71" s="3"/>
      <c r="G71" s="3"/>
      <c r="H71" s="3"/>
    </row>
    <row r="72" spans="1:8">
      <c r="A72" s="3"/>
      <c r="B72" s="3"/>
      <c r="C72" s="3"/>
      <c r="D72" s="3"/>
      <c r="E72" s="3"/>
      <c r="F72" s="3"/>
      <c r="G72" s="3"/>
      <c r="H72" s="3"/>
    </row>
    <row r="73" spans="1:8">
      <c r="A73" s="3"/>
      <c r="B73" s="3"/>
      <c r="C73" s="3"/>
      <c r="D73" s="3"/>
      <c r="E73" s="3"/>
      <c r="F73" s="3"/>
      <c r="G73" s="3"/>
      <c r="H73" s="3"/>
    </row>
    <row r="74" spans="1:8">
      <c r="A74" s="3"/>
      <c r="B74" s="3"/>
      <c r="C74" s="3"/>
      <c r="D74" s="3"/>
      <c r="E74" s="3"/>
      <c r="F74" s="3"/>
      <c r="G74" s="3"/>
      <c r="H74" s="3"/>
    </row>
    <row r="75" spans="1:8">
      <c r="A75" s="3"/>
      <c r="B75" s="3"/>
      <c r="C75" s="3"/>
      <c r="D75" s="3"/>
      <c r="E75" s="3"/>
      <c r="F75" s="3"/>
      <c r="G75" s="3"/>
      <c r="H75" s="3"/>
    </row>
    <row r="76" spans="1:8">
      <c r="A76" s="3"/>
      <c r="B76" s="3"/>
      <c r="C76" s="3"/>
      <c r="D76" s="3"/>
      <c r="E76" s="3"/>
      <c r="F76" s="3"/>
      <c r="G76" s="3"/>
      <c r="H76" s="3"/>
    </row>
    <row r="77" spans="1:8">
      <c r="A77" s="3"/>
      <c r="B77" s="3"/>
      <c r="C77" s="3"/>
      <c r="D77" s="3"/>
      <c r="E77" s="3"/>
      <c r="F77" s="3"/>
      <c r="G77" s="3"/>
      <c r="H77" s="3"/>
    </row>
    <row r="78" spans="1:8">
      <c r="A78" s="3"/>
      <c r="B78" s="3"/>
      <c r="C78" s="3"/>
      <c r="D78" s="3"/>
      <c r="E78" s="3"/>
      <c r="F78" s="3"/>
      <c r="G78" s="3"/>
      <c r="H78" s="3"/>
    </row>
    <row r="79" spans="1:8">
      <c r="A79" s="3"/>
      <c r="B79" s="3"/>
      <c r="C79" s="3"/>
      <c r="D79" s="3"/>
      <c r="E79" s="3"/>
      <c r="F79" s="3"/>
      <c r="G79" s="3"/>
      <c r="H79" s="3"/>
    </row>
    <row r="80" spans="1:8">
      <c r="A80" s="3"/>
      <c r="B80" s="3"/>
      <c r="C80" s="3"/>
      <c r="D80" s="3"/>
      <c r="E80" s="3"/>
      <c r="F80" s="3"/>
      <c r="G80" s="3"/>
      <c r="H80" s="3"/>
    </row>
    <row r="81" spans="1:8">
      <c r="A81" s="3"/>
      <c r="B81" s="3"/>
      <c r="C81" s="3"/>
      <c r="D81" s="3"/>
      <c r="E81" s="3"/>
      <c r="F81" s="3"/>
      <c r="G81" s="3"/>
      <c r="H81" s="3"/>
    </row>
    <row r="82" spans="1:8">
      <c r="A82" s="3"/>
      <c r="B82" s="3"/>
      <c r="C82" s="3"/>
      <c r="D82" s="3"/>
      <c r="E82" s="3"/>
      <c r="F82" s="3"/>
      <c r="G82" s="3"/>
      <c r="H82" s="3"/>
    </row>
    <row r="83" spans="1:8">
      <c r="A83" s="3"/>
      <c r="B83" s="3"/>
      <c r="C83" s="3"/>
      <c r="D83" s="3"/>
      <c r="E83" s="3"/>
      <c r="F83" s="3"/>
      <c r="G83" s="3"/>
      <c r="H83" s="3"/>
    </row>
    <row r="84" spans="1:8">
      <c r="A84" s="3"/>
      <c r="B84" s="3"/>
      <c r="C84" s="3"/>
      <c r="D84" s="3"/>
      <c r="E84" s="3"/>
      <c r="F84" s="3"/>
      <c r="G84" s="3"/>
      <c r="H84" s="3"/>
    </row>
    <row r="85" spans="1:8">
      <c r="A85" s="3"/>
      <c r="B85" s="3"/>
      <c r="C85" s="3"/>
      <c r="D85" s="3"/>
      <c r="E85" s="3"/>
      <c r="F85" s="3"/>
      <c r="G85" s="3"/>
      <c r="H85" s="3"/>
    </row>
    <row r="86" spans="1:8">
      <c r="A86" s="3"/>
      <c r="B86" s="3"/>
      <c r="C86" s="3"/>
      <c r="D86" s="3"/>
      <c r="E86" s="3"/>
      <c r="F86" s="3"/>
      <c r="G86" s="3"/>
      <c r="H86" s="3"/>
    </row>
    <row r="87" spans="1:8">
      <c r="A87" s="3"/>
      <c r="B87" s="3"/>
      <c r="C87" s="3"/>
      <c r="D87" s="3"/>
      <c r="E87" s="3"/>
      <c r="F87" s="3"/>
      <c r="G87" s="3"/>
      <c r="H87" s="3"/>
    </row>
    <row r="88" spans="1:8">
      <c r="A88" s="3"/>
      <c r="B88" s="3"/>
      <c r="C88" s="3"/>
      <c r="D88" s="3"/>
      <c r="E88" s="3"/>
      <c r="F88" s="3"/>
      <c r="G88" s="3"/>
      <c r="H88" s="3"/>
    </row>
    <row r="89" spans="1:8">
      <c r="A89" s="3"/>
      <c r="B89" s="3"/>
      <c r="C89" s="3"/>
      <c r="D89" s="3"/>
      <c r="E89" s="3"/>
      <c r="F89" s="3"/>
      <c r="G89" s="3"/>
      <c r="H89" s="3"/>
    </row>
    <row r="90" spans="1:8">
      <c r="A90" s="3"/>
      <c r="B90" s="3"/>
      <c r="C90" s="3"/>
      <c r="D90" s="3"/>
      <c r="E90" s="3"/>
      <c r="F90" s="3"/>
      <c r="G90" s="3"/>
      <c r="H90" s="3"/>
    </row>
    <row r="91" spans="1:8">
      <c r="A91" s="3"/>
      <c r="B91" s="3"/>
      <c r="C91" s="3"/>
      <c r="D91" s="3"/>
      <c r="E91" s="3"/>
      <c r="F91" s="3"/>
      <c r="G91" s="3"/>
      <c r="H91" s="3"/>
    </row>
    <row r="92" spans="1:8">
      <c r="A92" s="3"/>
      <c r="B92" s="3"/>
      <c r="C92" s="3"/>
      <c r="D92" s="3"/>
      <c r="E92" s="3"/>
      <c r="F92" s="3"/>
      <c r="G92" s="3"/>
      <c r="H92" s="3"/>
    </row>
    <row r="93" spans="1:8">
      <c r="A93" s="3"/>
      <c r="B93" s="3"/>
      <c r="C93" s="3"/>
      <c r="D93" s="3"/>
      <c r="E93" s="3"/>
      <c r="F93" s="3"/>
      <c r="G93" s="3"/>
      <c r="H93" s="3"/>
    </row>
    <row r="94" spans="1:8">
      <c r="A94" s="3"/>
      <c r="B94" s="3"/>
      <c r="C94" s="3"/>
      <c r="D94" s="3"/>
      <c r="E94" s="3"/>
      <c r="F94" s="3"/>
      <c r="G94" s="3"/>
      <c r="H94" s="3"/>
    </row>
    <row r="95" spans="1:8">
      <c r="A95" s="3"/>
      <c r="B95" s="3"/>
      <c r="C95" s="3"/>
      <c r="D95" s="3"/>
      <c r="E95" s="3"/>
      <c r="F95" s="3"/>
      <c r="G95" s="3"/>
      <c r="H95" s="3"/>
    </row>
    <row r="96" spans="1:8">
      <c r="A96" s="3"/>
      <c r="B96" s="3"/>
      <c r="C96" s="3"/>
      <c r="D96" s="3"/>
      <c r="E96" s="3"/>
      <c r="F96" s="3"/>
      <c r="G96" s="3"/>
      <c r="H96" s="3"/>
    </row>
    <row r="97" spans="1:8">
      <c r="A97" s="3"/>
      <c r="B97" s="3"/>
      <c r="C97" s="3"/>
      <c r="D97" s="3"/>
      <c r="E97" s="3"/>
      <c r="F97" s="3"/>
      <c r="G97" s="3"/>
      <c r="H97" s="3"/>
    </row>
    <row r="98" spans="1:8">
      <c r="A98" s="3"/>
      <c r="B98" s="3"/>
      <c r="C98" s="3"/>
      <c r="D98" s="3"/>
      <c r="E98" s="3"/>
      <c r="F98" s="3"/>
      <c r="G98" s="3"/>
      <c r="H98" s="3"/>
    </row>
    <row r="99" spans="1:8">
      <c r="A99" s="3"/>
      <c r="B99" s="3"/>
      <c r="C99" s="3"/>
      <c r="D99" s="3"/>
      <c r="E99" s="3"/>
      <c r="F99" s="3"/>
      <c r="G99" s="3"/>
      <c r="H99" s="3"/>
    </row>
    <row r="100" spans="1:8">
      <c r="A100" s="3"/>
      <c r="B100" s="3"/>
      <c r="C100" s="3"/>
      <c r="D100" s="3"/>
      <c r="E100" s="3"/>
      <c r="F100" s="3"/>
      <c r="G100" s="3"/>
      <c r="H100" s="3"/>
    </row>
    <row r="101" spans="1:8">
      <c r="A101" s="3"/>
      <c r="B101" s="3"/>
      <c r="C101" s="3"/>
      <c r="D101" s="3"/>
      <c r="E101" s="3"/>
      <c r="F101" s="3"/>
      <c r="G101" s="3"/>
      <c r="H101" s="3"/>
    </row>
    <row r="102" spans="1:8">
      <c r="A102" s="3"/>
      <c r="B102" s="3"/>
      <c r="C102" s="3"/>
      <c r="D102" s="3"/>
      <c r="E102" s="3"/>
      <c r="F102" s="3"/>
      <c r="G102" s="3"/>
      <c r="H102" s="3"/>
    </row>
    <row r="103" spans="1:8">
      <c r="A103" s="3"/>
      <c r="B103" s="3"/>
      <c r="C103" s="3"/>
      <c r="D103" s="3"/>
      <c r="E103" s="3"/>
      <c r="F103" s="3"/>
      <c r="G103" s="3"/>
      <c r="H103" s="3"/>
    </row>
    <row r="104" spans="1:8">
      <c r="A104" s="3"/>
      <c r="B104" s="3"/>
      <c r="C104" s="3"/>
      <c r="D104" s="3"/>
      <c r="E104" s="3"/>
      <c r="F104" s="3"/>
      <c r="G104" s="3"/>
      <c r="H104" s="3"/>
    </row>
    <row r="105" spans="1:8">
      <c r="A105" s="3"/>
      <c r="B105" s="3"/>
      <c r="C105" s="3"/>
      <c r="D105" s="3"/>
      <c r="E105" s="3"/>
      <c r="F105" s="3"/>
      <c r="G105" s="3"/>
      <c r="H105" s="3"/>
    </row>
    <row r="106" spans="1:8">
      <c r="A106" s="3"/>
      <c r="B106" s="3"/>
      <c r="C106" s="3"/>
      <c r="D106" s="3"/>
      <c r="E106" s="3"/>
      <c r="F106" s="3"/>
      <c r="G106" s="3"/>
      <c r="H106" s="3"/>
    </row>
    <row r="107" spans="1:8">
      <c r="A107" s="3"/>
      <c r="B107" s="3"/>
      <c r="C107" s="3"/>
      <c r="D107" s="3"/>
      <c r="E107" s="3"/>
      <c r="F107" s="3"/>
      <c r="G107" s="3"/>
      <c r="H107" s="3"/>
    </row>
    <row r="108" spans="1:8">
      <c r="A108" s="3"/>
      <c r="B108" s="3"/>
      <c r="C108" s="3"/>
      <c r="D108" s="3"/>
      <c r="E108" s="3"/>
      <c r="F108" s="3"/>
      <c r="G108" s="3"/>
      <c r="H108" s="3"/>
    </row>
    <row r="109" spans="1:8">
      <c r="A109" s="3"/>
      <c r="B109" s="3"/>
      <c r="C109" s="3"/>
      <c r="D109" s="3"/>
      <c r="E109" s="3"/>
      <c r="F109" s="3"/>
      <c r="G109" s="3"/>
      <c r="H109" s="3"/>
    </row>
    <row r="110" spans="1:8">
      <c r="A110" s="3"/>
      <c r="B110" s="3"/>
      <c r="C110" s="3"/>
      <c r="D110" s="3"/>
      <c r="E110" s="3"/>
      <c r="F110" s="3"/>
      <c r="G110" s="3"/>
      <c r="H110" s="3"/>
    </row>
    <row r="111" spans="1:8">
      <c r="A111" s="3"/>
      <c r="B111" s="3"/>
      <c r="C111" s="3"/>
      <c r="D111" s="3"/>
      <c r="E111" s="3"/>
      <c r="F111" s="3"/>
      <c r="G111" s="3"/>
      <c r="H111" s="3"/>
    </row>
    <row r="112" spans="1:8">
      <c r="A112" s="3"/>
      <c r="B112" s="3"/>
      <c r="C112" s="3"/>
      <c r="D112" s="3"/>
      <c r="E112" s="3"/>
      <c r="F112" s="3"/>
      <c r="G112" s="3"/>
      <c r="H112" s="3"/>
    </row>
    <row r="113" spans="1:8">
      <c r="A113" s="3"/>
      <c r="B113" s="3"/>
      <c r="C113" s="3"/>
      <c r="D113" s="3"/>
      <c r="E113" s="3"/>
      <c r="F113" s="3"/>
      <c r="G113" s="3"/>
      <c r="H113" s="3"/>
    </row>
    <row r="114" spans="1:8">
      <c r="A114" s="3"/>
      <c r="B114" s="3"/>
      <c r="C114" s="3"/>
      <c r="D114" s="3"/>
      <c r="E114" s="3"/>
      <c r="F114" s="3"/>
      <c r="G114" s="3"/>
      <c r="H114" s="3"/>
    </row>
    <row r="115" spans="1:8">
      <c r="A115" s="3"/>
      <c r="B115" s="3"/>
      <c r="C115" s="3"/>
      <c r="D115" s="3"/>
      <c r="E115" s="3"/>
      <c r="F115" s="3"/>
      <c r="G115" s="3"/>
      <c r="H115" s="3"/>
    </row>
    <row r="116" spans="1:8">
      <c r="A116" s="3"/>
      <c r="B116" s="3"/>
      <c r="C116" s="3"/>
      <c r="D116" s="3"/>
      <c r="E116" s="3"/>
      <c r="F116" s="3"/>
      <c r="G116" s="3"/>
      <c r="H116" s="3"/>
    </row>
    <row r="117" spans="1:8">
      <c r="A117" s="3"/>
      <c r="B117" s="3"/>
      <c r="C117" s="3"/>
      <c r="D117" s="3"/>
      <c r="E117" s="3"/>
      <c r="F117" s="3"/>
      <c r="G117" s="3"/>
      <c r="H117" s="3"/>
    </row>
    <row r="118" spans="1:8">
      <c r="A118" s="3"/>
      <c r="B118" s="3"/>
      <c r="C118" s="3"/>
      <c r="D118" s="3"/>
      <c r="E118" s="3"/>
      <c r="F118" s="3"/>
      <c r="G118" s="3"/>
      <c r="H118" s="3"/>
    </row>
    <row r="119" spans="1:8">
      <c r="A119" s="3"/>
      <c r="B119" s="3"/>
      <c r="C119" s="3"/>
      <c r="D119" s="3"/>
      <c r="E119" s="3"/>
      <c r="F119" s="3"/>
      <c r="G119" s="3"/>
      <c r="H119" s="3"/>
    </row>
    <row r="120" spans="1:8">
      <c r="A120" s="3"/>
      <c r="B120" s="3"/>
      <c r="C120" s="3"/>
      <c r="D120" s="3"/>
      <c r="E120" s="3"/>
      <c r="F120" s="3"/>
      <c r="G120" s="3"/>
      <c r="H120" s="3"/>
    </row>
    <row r="121" spans="1:8">
      <c r="A121" s="3"/>
      <c r="B121" s="3"/>
      <c r="C121" s="3"/>
      <c r="D121" s="3"/>
      <c r="E121" s="3"/>
      <c r="F121" s="3"/>
      <c r="G121" s="3"/>
      <c r="H121" s="3"/>
    </row>
    <row r="122" spans="1:8">
      <c r="A122" s="3"/>
      <c r="B122" s="3"/>
      <c r="C122" s="3"/>
      <c r="D122" s="3"/>
      <c r="E122" s="3"/>
      <c r="F122" s="3"/>
      <c r="G122" s="3"/>
      <c r="H122" s="3"/>
    </row>
    <row r="123" spans="1:8">
      <c r="A123" s="3"/>
      <c r="B123" s="3"/>
      <c r="C123" s="3"/>
      <c r="D123" s="3"/>
      <c r="E123" s="3"/>
      <c r="F123" s="3"/>
      <c r="G123" s="3"/>
      <c r="H123" s="3"/>
    </row>
    <row r="124" spans="1:8">
      <c r="A124" s="3"/>
      <c r="B124" s="3"/>
      <c r="C124" s="3"/>
      <c r="D124" s="3"/>
      <c r="E124" s="3"/>
      <c r="F124" s="3"/>
      <c r="G124" s="3"/>
      <c r="H124" s="3"/>
    </row>
    <row r="125" spans="1:8">
      <c r="A125" s="3"/>
      <c r="B125" s="3"/>
      <c r="C125" s="3"/>
      <c r="D125" s="3"/>
      <c r="E125" s="3"/>
      <c r="F125" s="3"/>
      <c r="G125" s="3"/>
      <c r="H125" s="3"/>
    </row>
    <row r="126" spans="1:8">
      <c r="A126" s="3"/>
      <c r="B126" s="3"/>
      <c r="C126" s="3"/>
      <c r="D126" s="3"/>
      <c r="E126" s="3"/>
      <c r="F126" s="3"/>
      <c r="G126" s="3"/>
      <c r="H126" s="3"/>
    </row>
    <row r="127" spans="1:8">
      <c r="A127" s="3"/>
      <c r="B127" s="3"/>
      <c r="C127" s="3"/>
      <c r="D127" s="3"/>
      <c r="E127" s="3"/>
      <c r="F127" s="3"/>
      <c r="G127" s="3"/>
      <c r="H127" s="3"/>
    </row>
    <row r="128" spans="1:8">
      <c r="A128" s="3"/>
      <c r="B128" s="3"/>
      <c r="C128" s="3"/>
      <c r="D128" s="3"/>
      <c r="E128" s="3"/>
      <c r="F128" s="3"/>
      <c r="G128" s="3"/>
      <c r="H128" s="3"/>
    </row>
    <row r="129" spans="1:8">
      <c r="A129" s="3"/>
      <c r="B129" s="3"/>
      <c r="C129" s="3"/>
      <c r="D129" s="3"/>
      <c r="E129" s="3"/>
      <c r="F129" s="3"/>
      <c r="G129" s="3"/>
      <c r="H129" s="3"/>
    </row>
    <row r="130" spans="1:8">
      <c r="A130" s="3"/>
      <c r="B130" s="3"/>
      <c r="C130" s="3"/>
      <c r="D130" s="3"/>
      <c r="E130" s="3"/>
      <c r="F130" s="3"/>
      <c r="G130" s="3"/>
      <c r="H130" s="3"/>
    </row>
    <row r="131" spans="1:8">
      <c r="A131" s="3"/>
      <c r="B131" s="3"/>
      <c r="C131" s="3"/>
      <c r="D131" s="3"/>
      <c r="E131" s="3"/>
      <c r="F131" s="3"/>
      <c r="G131" s="3"/>
      <c r="H131" s="3"/>
    </row>
    <row r="132" spans="1:8">
      <c r="A132" s="3"/>
      <c r="B132" s="3"/>
      <c r="C132" s="3"/>
      <c r="D132" s="3"/>
      <c r="E132" s="3"/>
      <c r="F132" s="3"/>
      <c r="G132" s="3"/>
      <c r="H132" s="3"/>
    </row>
    <row r="133" spans="1:8">
      <c r="A133" s="3"/>
      <c r="B133" s="3"/>
      <c r="C133" s="3"/>
      <c r="D133" s="3"/>
      <c r="E133" s="3"/>
      <c r="F133" s="3"/>
      <c r="G133" s="3"/>
      <c r="H133" s="3"/>
    </row>
    <row r="134" spans="1:8">
      <c r="A134" s="3"/>
      <c r="B134" s="3"/>
      <c r="C134" s="3"/>
      <c r="D134" s="3"/>
      <c r="E134" s="3"/>
      <c r="F134" s="3"/>
      <c r="G134" s="3"/>
      <c r="H134" s="3"/>
    </row>
    <row r="135" spans="1:8">
      <c r="A135" s="3"/>
      <c r="B135" s="3"/>
      <c r="C135" s="3"/>
      <c r="D135" s="3"/>
      <c r="E135" s="3"/>
      <c r="F135" s="3"/>
      <c r="G135" s="3"/>
      <c r="H135" s="3"/>
    </row>
    <row r="136" spans="1:8">
      <c r="A136" s="3"/>
      <c r="B136" s="3"/>
      <c r="C136" s="3"/>
      <c r="D136" s="3"/>
      <c r="E136" s="3"/>
      <c r="F136" s="3"/>
      <c r="G136" s="3"/>
      <c r="H136" s="3"/>
    </row>
    <row r="137" spans="1:8">
      <c r="A137" s="3"/>
      <c r="B137" s="3"/>
      <c r="C137" s="3"/>
      <c r="D137" s="3"/>
      <c r="E137" s="3"/>
      <c r="F137" s="3"/>
      <c r="G137" s="3"/>
      <c r="H137" s="3"/>
    </row>
    <row r="138" spans="1:8">
      <c r="A138" s="3"/>
      <c r="B138" s="3"/>
      <c r="C138" s="3"/>
      <c r="D138" s="3"/>
      <c r="E138" s="3"/>
      <c r="F138" s="3"/>
      <c r="G138" s="3"/>
      <c r="H138" s="3"/>
    </row>
    <row r="139" spans="1:8">
      <c r="A139" s="3"/>
      <c r="B139" s="3"/>
      <c r="C139" s="3"/>
      <c r="D139" s="3"/>
      <c r="E139" s="3"/>
      <c r="F139" s="3"/>
      <c r="G139" s="3"/>
      <c r="H139" s="3"/>
    </row>
    <row r="140" spans="1:8">
      <c r="A140" s="3"/>
      <c r="B140" s="3"/>
      <c r="C140" s="3"/>
      <c r="D140" s="3"/>
      <c r="E140" s="3"/>
      <c r="F140" s="3"/>
      <c r="G140" s="3"/>
      <c r="H140" s="3"/>
    </row>
    <row r="141" spans="1:8">
      <c r="A141" s="3"/>
      <c r="B141" s="3"/>
      <c r="C141" s="3"/>
      <c r="D141" s="3"/>
      <c r="E141" s="3"/>
      <c r="F141" s="3"/>
      <c r="G141" s="3"/>
      <c r="H141" s="3"/>
    </row>
    <row r="142" spans="1:8">
      <c r="A142" s="3"/>
      <c r="B142" s="3"/>
      <c r="C142" s="3"/>
      <c r="D142" s="3"/>
      <c r="E142" s="3"/>
      <c r="F142" s="3"/>
      <c r="G142" s="3"/>
      <c r="H142" s="3"/>
    </row>
    <row r="143" spans="1:8">
      <c r="A143" s="3"/>
      <c r="B143" s="3"/>
      <c r="C143" s="3"/>
      <c r="D143" s="3"/>
      <c r="E143" s="3"/>
      <c r="F143" s="3"/>
      <c r="G143" s="3"/>
      <c r="H143" s="3"/>
    </row>
    <row r="144" spans="1:8">
      <c r="A144" s="3"/>
      <c r="B144" s="3"/>
      <c r="C144" s="3"/>
      <c r="D144" s="3"/>
      <c r="E144" s="3"/>
      <c r="F144" s="3"/>
      <c r="G144" s="3"/>
      <c r="H144" s="3"/>
    </row>
    <row r="145" spans="1:8">
      <c r="A145" s="3"/>
      <c r="B145" s="3"/>
      <c r="C145" s="3"/>
      <c r="D145" s="3"/>
      <c r="E145" s="3"/>
      <c r="F145" s="3"/>
      <c r="G145" s="3"/>
      <c r="H145" s="3"/>
    </row>
    <row r="146" spans="1:8">
      <c r="A146" s="3"/>
      <c r="B146" s="3"/>
      <c r="C146" s="3"/>
      <c r="D146" s="3"/>
      <c r="E146" s="3"/>
      <c r="F146" s="3"/>
      <c r="G146" s="3"/>
      <c r="H146" s="3"/>
    </row>
    <row r="147" spans="1:8">
      <c r="A147" s="3"/>
      <c r="B147" s="3"/>
      <c r="C147" s="3"/>
      <c r="D147" s="3"/>
      <c r="E147" s="3"/>
      <c r="F147" s="3"/>
      <c r="G147" s="3"/>
      <c r="H147" s="3"/>
    </row>
    <row r="148" spans="1:8">
      <c r="A148" s="3"/>
      <c r="B148" s="3"/>
      <c r="C148" s="3"/>
      <c r="D148" s="3"/>
      <c r="E148" s="3"/>
      <c r="F148" s="3"/>
      <c r="G148" s="3"/>
      <c r="H148" s="3"/>
    </row>
    <row r="149" spans="1:8">
      <c r="A149" s="3"/>
      <c r="B149" s="3"/>
      <c r="C149" s="3"/>
      <c r="D149" s="3"/>
      <c r="E149" s="3"/>
      <c r="F149" s="3"/>
      <c r="G149" s="3"/>
      <c r="H149" s="3"/>
    </row>
    <row r="150" spans="1:8">
      <c r="A150" s="3"/>
      <c r="B150" s="3"/>
      <c r="C150" s="3"/>
      <c r="D150" s="3"/>
      <c r="E150" s="3"/>
      <c r="F150" s="3"/>
      <c r="G150" s="3"/>
      <c r="H150" s="3"/>
    </row>
    <row r="151" spans="1:8">
      <c r="A151" s="3"/>
      <c r="B151" s="3"/>
      <c r="C151" s="3"/>
      <c r="D151" s="3"/>
      <c r="E151" s="3"/>
      <c r="F151" s="3"/>
      <c r="G151" s="3"/>
      <c r="H151" s="3"/>
    </row>
    <row r="152" spans="1:8">
      <c r="A152" s="3"/>
      <c r="B152" s="3"/>
      <c r="C152" s="3"/>
      <c r="D152" s="3"/>
      <c r="E152" s="3"/>
      <c r="F152" s="3"/>
      <c r="G152" s="3"/>
      <c r="H152" s="3"/>
    </row>
    <row r="153" spans="1:8">
      <c r="A153" s="3"/>
      <c r="B153" s="3"/>
      <c r="C153" s="3"/>
      <c r="D153" s="3"/>
      <c r="E153" s="3"/>
      <c r="F153" s="3"/>
      <c r="G153" s="3"/>
      <c r="H153" s="3"/>
    </row>
    <row r="154" spans="1:8">
      <c r="A154" s="3"/>
      <c r="B154" s="3"/>
      <c r="C154" s="3"/>
      <c r="D154" s="3"/>
      <c r="E154" s="3"/>
      <c r="F154" s="3"/>
      <c r="G154" s="3"/>
      <c r="H154" s="3"/>
    </row>
    <row r="155" spans="1:8">
      <c r="A155" s="3"/>
      <c r="B155" s="3"/>
      <c r="C155" s="3"/>
      <c r="D155" s="3"/>
      <c r="E155" s="3"/>
      <c r="F155" s="3"/>
      <c r="G155" s="3"/>
      <c r="H155" s="3"/>
    </row>
    <row r="156" spans="1:8">
      <c r="A156" s="3"/>
      <c r="B156" s="3"/>
      <c r="C156" s="3"/>
      <c r="D156" s="3"/>
      <c r="E156" s="3"/>
      <c r="F156" s="3"/>
      <c r="G156" s="3"/>
      <c r="H156" s="3"/>
    </row>
    <row r="157" spans="1:8">
      <c r="A157" s="3"/>
      <c r="B157" s="3"/>
      <c r="C157" s="3"/>
      <c r="D157" s="3"/>
      <c r="E157" s="3"/>
      <c r="F157" s="3"/>
      <c r="G157" s="3"/>
      <c r="H157" s="3"/>
    </row>
    <row r="158" spans="1:8">
      <c r="A158" s="3"/>
      <c r="B158" s="3"/>
      <c r="C158" s="3"/>
      <c r="D158" s="3"/>
      <c r="E158" s="3"/>
      <c r="F158" s="3"/>
      <c r="G158" s="3"/>
      <c r="H158" s="3"/>
    </row>
    <row r="159" spans="1:8">
      <c r="A159" s="3"/>
      <c r="B159" s="3"/>
      <c r="C159" s="3"/>
      <c r="D159" s="3"/>
      <c r="E159" s="3"/>
      <c r="F159" s="3"/>
      <c r="G159" s="3"/>
      <c r="H159" s="3"/>
    </row>
    <row r="160" spans="1:8">
      <c r="A160" s="3"/>
      <c r="B160" s="3"/>
      <c r="C160" s="3"/>
      <c r="D160" s="3"/>
      <c r="E160" s="3"/>
      <c r="F160" s="3"/>
      <c r="G160" s="3"/>
      <c r="H160" s="3"/>
    </row>
    <row r="161" spans="1:8">
      <c r="A161" s="3"/>
      <c r="B161" s="3"/>
      <c r="C161" s="3"/>
      <c r="D161" s="3"/>
      <c r="E161" s="3"/>
      <c r="F161" s="3"/>
      <c r="G161" s="3"/>
      <c r="H161" s="3"/>
    </row>
    <row r="162" spans="1:8">
      <c r="A162" s="3"/>
      <c r="B162" s="3"/>
      <c r="C162" s="3"/>
      <c r="D162" s="3"/>
      <c r="E162" s="3"/>
      <c r="F162" s="3"/>
      <c r="G162" s="3"/>
      <c r="H162" s="3"/>
    </row>
    <row r="163" spans="1:8">
      <c r="A163" s="3"/>
      <c r="B163" s="3"/>
      <c r="C163" s="3"/>
      <c r="D163" s="3"/>
      <c r="E163" s="3"/>
      <c r="F163" s="3"/>
      <c r="G163" s="3"/>
      <c r="H163" s="3"/>
    </row>
    <row r="164" spans="1:8">
      <c r="A164" s="3"/>
      <c r="B164" s="3"/>
      <c r="C164" s="3"/>
      <c r="D164" s="3"/>
      <c r="E164" s="3"/>
      <c r="F164" s="3"/>
      <c r="G164" s="3"/>
      <c r="H164" s="3"/>
    </row>
    <row r="165" spans="1:8">
      <c r="A165" s="3"/>
      <c r="B165" s="3"/>
      <c r="C165" s="3"/>
      <c r="D165" s="3"/>
      <c r="E165" s="3"/>
      <c r="F165" s="3"/>
      <c r="G165" s="3"/>
      <c r="H165" s="3"/>
    </row>
    <row r="166" spans="1:8">
      <c r="A166" s="3"/>
      <c r="B166" s="3"/>
      <c r="C166" s="3"/>
      <c r="D166" s="3"/>
      <c r="E166" s="3"/>
      <c r="F166" s="3"/>
      <c r="G166" s="3"/>
      <c r="H166" s="3"/>
    </row>
    <row r="167" spans="1:8">
      <c r="A167" s="3"/>
      <c r="B167" s="3"/>
      <c r="C167" s="3"/>
      <c r="D167" s="3"/>
      <c r="E167" s="3"/>
      <c r="F167" s="3"/>
      <c r="G167" s="3"/>
      <c r="H167" s="3"/>
    </row>
    <row r="168" spans="1:8">
      <c r="A168" s="3"/>
      <c r="B168" s="3"/>
      <c r="C168" s="3"/>
      <c r="D168" s="3"/>
      <c r="E168" s="3"/>
      <c r="F168" s="3"/>
      <c r="G168" s="3"/>
      <c r="H168" s="3"/>
    </row>
    <row r="169" spans="1:8">
      <c r="A169" s="3"/>
      <c r="B169" s="3"/>
      <c r="C169" s="3"/>
      <c r="D169" s="3"/>
      <c r="E169" s="3"/>
      <c r="F169" s="3"/>
      <c r="G169" s="3"/>
      <c r="H169" s="3"/>
    </row>
    <row r="170" spans="1:8">
      <c r="A170" s="3"/>
      <c r="B170" s="3"/>
      <c r="C170" s="3"/>
      <c r="D170" s="3"/>
      <c r="E170" s="3"/>
      <c r="F170" s="3"/>
      <c r="G170" s="3"/>
      <c r="H170" s="3"/>
    </row>
    <row r="171" spans="1:8">
      <c r="A171" s="3"/>
      <c r="B171" s="3"/>
      <c r="C171" s="3"/>
      <c r="D171" s="3"/>
      <c r="E171" s="3"/>
      <c r="F171" s="3"/>
      <c r="G171" s="3"/>
      <c r="H171" s="3"/>
    </row>
    <row r="172" spans="1:8">
      <c r="A172" s="3"/>
      <c r="B172" s="3"/>
      <c r="C172" s="3"/>
      <c r="D172" s="3"/>
      <c r="E172" s="3"/>
      <c r="F172" s="3"/>
      <c r="G172" s="3"/>
      <c r="H172" s="3"/>
    </row>
    <row r="173" spans="1:8">
      <c r="A173" s="3"/>
      <c r="B173" s="3"/>
      <c r="C173" s="3"/>
      <c r="D173" s="3"/>
      <c r="E173" s="3"/>
      <c r="F173" s="3"/>
      <c r="G173" s="3"/>
      <c r="H173" s="3"/>
    </row>
    <row r="174" spans="1:8">
      <c r="A174" s="3"/>
      <c r="B174" s="3"/>
      <c r="C174" s="3"/>
      <c r="D174" s="3"/>
      <c r="E174" s="3"/>
      <c r="F174" s="3"/>
      <c r="G174" s="3"/>
      <c r="H174" s="3"/>
    </row>
    <row r="175" spans="1:8">
      <c r="A175" s="3"/>
      <c r="B175" s="3"/>
      <c r="C175" s="3"/>
      <c r="D175" s="3"/>
      <c r="E175" s="3"/>
      <c r="F175" s="3"/>
      <c r="G175" s="3"/>
      <c r="H175" s="3"/>
    </row>
    <row r="176" spans="1:8">
      <c r="A176" s="3"/>
      <c r="B176" s="3"/>
      <c r="C176" s="3"/>
      <c r="D176" s="3"/>
      <c r="E176" s="3"/>
      <c r="F176" s="3"/>
      <c r="G176" s="3"/>
      <c r="H176" s="3"/>
    </row>
    <row r="177" spans="1:8">
      <c r="A177" s="3"/>
      <c r="B177" s="3"/>
      <c r="C177" s="3"/>
      <c r="D177" s="3"/>
      <c r="E177" s="3"/>
      <c r="F177" s="3"/>
      <c r="G177" s="3"/>
      <c r="H177" s="3"/>
    </row>
    <row r="178" spans="1:8">
      <c r="A178" s="3"/>
      <c r="B178" s="3"/>
      <c r="C178" s="3"/>
      <c r="D178" s="3"/>
      <c r="E178" s="3"/>
      <c r="F178" s="3"/>
      <c r="G178" s="3"/>
      <c r="H178" s="3"/>
    </row>
    <row r="179" spans="1:8">
      <c r="A179" s="3"/>
      <c r="B179" s="3"/>
      <c r="C179" s="3"/>
      <c r="D179" s="3"/>
      <c r="E179" s="3"/>
      <c r="F179" s="3"/>
      <c r="G179" s="3"/>
      <c r="H179" s="3"/>
    </row>
    <row r="180" spans="1:8">
      <c r="A180" s="3"/>
      <c r="B180" s="3"/>
      <c r="C180" s="3"/>
      <c r="D180" s="3"/>
      <c r="E180" s="3"/>
      <c r="F180" s="3"/>
      <c r="G180" s="3"/>
      <c r="H180" s="3"/>
    </row>
    <row r="181" spans="1:8">
      <c r="A181" s="3"/>
      <c r="B181" s="3"/>
      <c r="C181" s="3"/>
      <c r="D181" s="3"/>
      <c r="E181" s="3"/>
      <c r="F181" s="3"/>
      <c r="G181" s="3"/>
      <c r="H181" s="3"/>
    </row>
    <row r="182" spans="1:8">
      <c r="A182" s="3"/>
      <c r="B182" s="3"/>
      <c r="C182" s="3"/>
      <c r="D182" s="3"/>
      <c r="E182" s="3"/>
      <c r="F182" s="3"/>
      <c r="G182" s="3"/>
      <c r="H182" s="3"/>
    </row>
    <row r="183" spans="1:8">
      <c r="A183" s="3"/>
      <c r="B183" s="3"/>
      <c r="C183" s="3"/>
      <c r="D183" s="3"/>
      <c r="E183" s="3"/>
      <c r="F183" s="3"/>
      <c r="G183" s="3"/>
      <c r="H183" s="3"/>
    </row>
    <row r="184" spans="1:8">
      <c r="A184" s="3"/>
      <c r="B184" s="3"/>
      <c r="C184" s="3"/>
      <c r="D184" s="3"/>
      <c r="E184" s="3"/>
      <c r="F184" s="3"/>
      <c r="G184" s="3"/>
      <c r="H184" s="3"/>
    </row>
    <row r="185" spans="1:8">
      <c r="A185" s="3"/>
      <c r="B185" s="3"/>
      <c r="C185" s="3"/>
      <c r="D185" s="3"/>
      <c r="E185" s="3"/>
      <c r="F185" s="3"/>
      <c r="G185" s="3"/>
      <c r="H185" s="3"/>
    </row>
    <row r="186" spans="1:8">
      <c r="A186" s="3"/>
      <c r="B186" s="3"/>
      <c r="C186" s="3"/>
      <c r="D186" s="3"/>
      <c r="E186" s="3"/>
      <c r="F186" s="3"/>
      <c r="G186" s="3"/>
      <c r="H186" s="3"/>
    </row>
    <row r="187" spans="1:8">
      <c r="A187" s="3"/>
      <c r="B187" s="3"/>
      <c r="C187" s="3"/>
      <c r="D187" s="3"/>
      <c r="E187" s="3"/>
      <c r="F187" s="3"/>
      <c r="G187" s="3"/>
      <c r="H187" s="3"/>
    </row>
    <row r="188" spans="1:8">
      <c r="A188" s="3"/>
      <c r="B188" s="3"/>
      <c r="C188" s="3"/>
      <c r="D188" s="3"/>
      <c r="E188" s="3"/>
      <c r="F188" s="3"/>
      <c r="G188" s="3"/>
      <c r="H188" s="3"/>
    </row>
    <row r="189" spans="1:8">
      <c r="A189" s="3"/>
      <c r="B189" s="3"/>
      <c r="C189" s="3"/>
      <c r="D189" s="3"/>
      <c r="E189" s="3"/>
      <c r="F189" s="3"/>
      <c r="G189" s="3"/>
      <c r="H189" s="3"/>
    </row>
    <row r="190" spans="1:8">
      <c r="A190" s="3"/>
      <c r="B190" s="3"/>
      <c r="C190" s="3"/>
      <c r="D190" s="3"/>
      <c r="E190" s="3"/>
      <c r="F190" s="3"/>
      <c r="G190" s="3"/>
      <c r="H190" s="3"/>
    </row>
    <row r="191" spans="1:8">
      <c r="A191" s="3"/>
      <c r="B191" s="3"/>
      <c r="C191" s="3"/>
      <c r="D191" s="3"/>
      <c r="E191" s="3"/>
      <c r="F191" s="3"/>
      <c r="G191" s="3"/>
      <c r="H191" s="3"/>
    </row>
    <row r="192" spans="1:8">
      <c r="A192" s="3"/>
      <c r="B192" s="3"/>
      <c r="C192" s="3"/>
      <c r="D192" s="3"/>
      <c r="E192" s="3"/>
      <c r="F192" s="3"/>
      <c r="G192" s="3"/>
      <c r="H192" s="3"/>
    </row>
    <row r="193" spans="1:8">
      <c r="A193" s="3"/>
      <c r="B193" s="3"/>
      <c r="C193" s="3"/>
      <c r="D193" s="3"/>
      <c r="E193" s="3"/>
      <c r="F193" s="3"/>
      <c r="G193" s="3"/>
      <c r="H193" s="3"/>
    </row>
    <row r="194" spans="1:8">
      <c r="A194" s="3"/>
      <c r="B194" s="3"/>
      <c r="C194" s="3"/>
      <c r="D194" s="3"/>
      <c r="E194" s="3"/>
      <c r="F194" s="3"/>
      <c r="G194" s="3"/>
      <c r="H194" s="3"/>
    </row>
    <row r="195" spans="1:8">
      <c r="A195" s="3"/>
      <c r="B195" s="3"/>
      <c r="C195" s="3"/>
      <c r="D195" s="3"/>
      <c r="E195" s="3"/>
      <c r="F195" s="3"/>
      <c r="G195" s="3"/>
      <c r="H195" s="3"/>
    </row>
    <row r="196" spans="1:8">
      <c r="A196" s="3"/>
      <c r="B196" s="3"/>
      <c r="C196" s="3"/>
      <c r="D196" s="3"/>
      <c r="E196" s="3"/>
      <c r="F196" s="3"/>
      <c r="G196" s="3"/>
      <c r="H196" s="3"/>
    </row>
    <row r="197" spans="1:8">
      <c r="A197" s="3"/>
      <c r="B197" s="3"/>
      <c r="C197" s="3"/>
      <c r="D197" s="3"/>
      <c r="E197" s="3"/>
      <c r="F197" s="3"/>
      <c r="G197" s="3"/>
      <c r="H197" s="3"/>
    </row>
  </sheetData>
  <mergeCells count="10">
    <mergeCell ref="A49:D49"/>
    <mergeCell ref="A55:D55"/>
    <mergeCell ref="A58:G58"/>
    <mergeCell ref="C69:D69"/>
    <mergeCell ref="F69:G69"/>
    <mergeCell ref="I1:M1"/>
    <mergeCell ref="A13:E13"/>
    <mergeCell ref="J14:N14"/>
    <mergeCell ref="A15:E15"/>
    <mergeCell ref="A33:E33"/>
  </mergeCells>
  <pageMargins left="0.7" right="0.7" top="0.75" bottom="0.75" header="0.3" footer="0.3"/>
  <pageSetup paperSize="9" orientation="portrait" verticalDpi="0" r:id="rId1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2"/>
  <sheetViews>
    <sheetView showGridLines="0" workbookViewId="0">
      <selection activeCell="I1" sqref="I1:O1"/>
    </sheetView>
  </sheetViews>
  <sheetFormatPr defaultRowHeight="15"/>
  <cols>
    <col min="1" max="1" width="48.28515625" style="758" customWidth="1"/>
    <col min="2" max="16384" width="9.140625" style="758"/>
  </cols>
  <sheetData>
    <row r="1" spans="1:15">
      <c r="A1" s="1699" t="s">
        <v>752</v>
      </c>
      <c r="B1" s="1699"/>
      <c r="C1" s="1699"/>
      <c r="D1" s="1699"/>
      <c r="E1" s="1699"/>
      <c r="F1" s="1699"/>
      <c r="G1" s="1699"/>
      <c r="I1" s="1699" t="s">
        <v>752</v>
      </c>
      <c r="J1" s="1699"/>
      <c r="K1" s="1699"/>
      <c r="L1" s="1699"/>
      <c r="M1" s="1699"/>
      <c r="N1" s="1699"/>
      <c r="O1" s="1699"/>
    </row>
    <row r="2" spans="1:15">
      <c r="A2" s="767"/>
      <c r="B2" s="766">
        <v>2014</v>
      </c>
      <c r="C2" s="766">
        <v>2015</v>
      </c>
      <c r="D2" s="766">
        <v>2016</v>
      </c>
      <c r="E2" s="766">
        <v>2017</v>
      </c>
      <c r="F2" s="766">
        <v>2018</v>
      </c>
      <c r="G2" s="766">
        <v>2019</v>
      </c>
    </row>
    <row r="3" spans="1:15">
      <c r="A3" s="764" t="s">
        <v>131</v>
      </c>
      <c r="B3" s="763">
        <v>53.575651898759425</v>
      </c>
      <c r="C3" s="763">
        <v>52.772981719922264</v>
      </c>
      <c r="D3" s="763">
        <v>52.109294983868125</v>
      </c>
      <c r="E3" s="763">
        <v>51.312991270223598</v>
      </c>
      <c r="F3" s="763">
        <v>48.940700344112564</v>
      </c>
      <c r="G3" s="765"/>
    </row>
    <row r="4" spans="1:15">
      <c r="A4" s="764" t="s">
        <v>133</v>
      </c>
      <c r="B4" s="763">
        <v>53.897262691251328</v>
      </c>
      <c r="C4" s="763">
        <v>52.891725362204191</v>
      </c>
      <c r="D4" s="763">
        <v>53.494940800548299</v>
      </c>
      <c r="E4" s="763">
        <v>52.72445468792283</v>
      </c>
      <c r="F4" s="763">
        <v>51.40232554356453</v>
      </c>
      <c r="G4" s="763">
        <v>49.061389249467879</v>
      </c>
    </row>
    <row r="5" spans="1:15">
      <c r="A5" s="762" t="s">
        <v>751</v>
      </c>
      <c r="B5" s="761">
        <v>53.897262691251328</v>
      </c>
      <c r="C5" s="760">
        <v>52.462449839071098</v>
      </c>
      <c r="D5" s="760">
        <v>51.502772575069301</v>
      </c>
      <c r="E5" s="760">
        <v>51.472033990364388</v>
      </c>
      <c r="F5" s="760">
        <v>49.760603251274027</v>
      </c>
      <c r="G5" s="760">
        <v>47.481873446842911</v>
      </c>
    </row>
    <row r="6" spans="1:15">
      <c r="A6" s="759"/>
      <c r="B6" s="759"/>
      <c r="C6" s="759"/>
      <c r="D6" s="759"/>
      <c r="E6" s="759"/>
      <c r="F6" s="759"/>
      <c r="G6" s="759"/>
    </row>
    <row r="7" spans="1:15">
      <c r="A7" s="759"/>
      <c r="B7" s="759"/>
      <c r="C7" s="759"/>
      <c r="D7" s="759"/>
      <c r="E7" s="759"/>
      <c r="F7" s="759"/>
      <c r="G7" s="759"/>
    </row>
    <row r="8" spans="1:15">
      <c r="A8" s="759"/>
      <c r="B8" s="759"/>
      <c r="C8" s="759"/>
      <c r="D8" s="759"/>
      <c r="E8" s="759"/>
      <c r="F8" s="759"/>
      <c r="G8" s="759"/>
    </row>
    <row r="9" spans="1:15">
      <c r="A9" s="759"/>
      <c r="B9" s="759"/>
      <c r="C9" s="759"/>
      <c r="D9" s="759"/>
      <c r="E9" s="759"/>
      <c r="F9" s="759"/>
      <c r="G9" s="759"/>
    </row>
    <row r="10" spans="1:15">
      <c r="A10" s="759"/>
      <c r="B10" s="759"/>
      <c r="C10" s="759"/>
      <c r="D10" s="759"/>
      <c r="E10" s="759"/>
      <c r="F10" s="759"/>
      <c r="G10" s="759"/>
    </row>
    <row r="11" spans="1:15">
      <c r="A11" s="759"/>
      <c r="B11" s="759"/>
      <c r="C11" s="759"/>
      <c r="D11" s="759"/>
      <c r="E11" s="759"/>
      <c r="F11" s="759"/>
      <c r="G11" s="759"/>
    </row>
    <row r="12" spans="1:15">
      <c r="A12" s="759"/>
      <c r="B12" s="759"/>
      <c r="C12" s="759"/>
      <c r="D12" s="759"/>
      <c r="E12" s="759"/>
      <c r="F12" s="759"/>
      <c r="G12" s="759"/>
    </row>
    <row r="13" spans="1:15">
      <c r="A13" s="759"/>
      <c r="B13" s="759"/>
      <c r="C13" s="759"/>
      <c r="D13" s="759"/>
      <c r="E13" s="759"/>
      <c r="F13" s="759"/>
      <c r="G13" s="759"/>
    </row>
    <row r="14" spans="1:15">
      <c r="A14" s="759"/>
      <c r="B14" s="759"/>
      <c r="C14" s="759"/>
      <c r="D14" s="759"/>
      <c r="E14" s="759"/>
      <c r="F14" s="759"/>
      <c r="G14" s="759"/>
    </row>
    <row r="15" spans="1:15">
      <c r="A15" s="759"/>
      <c r="B15" s="759"/>
      <c r="C15" s="759"/>
      <c r="D15" s="759"/>
      <c r="E15" s="759"/>
      <c r="F15" s="759"/>
      <c r="G15" s="759"/>
    </row>
    <row r="16" spans="1:15">
      <c r="A16" s="759"/>
      <c r="B16" s="759"/>
      <c r="C16" s="759"/>
      <c r="D16" s="759"/>
      <c r="E16" s="759"/>
      <c r="F16" s="759"/>
      <c r="G16" s="759"/>
    </row>
    <row r="17" spans="1:7">
      <c r="A17" s="759"/>
      <c r="B17" s="759"/>
      <c r="C17" s="759"/>
      <c r="D17" s="759"/>
      <c r="E17" s="759"/>
      <c r="F17" s="759"/>
      <c r="G17" s="759"/>
    </row>
    <row r="18" spans="1:7">
      <c r="A18" s="759"/>
      <c r="B18" s="759"/>
      <c r="C18" s="759"/>
      <c r="D18" s="759"/>
      <c r="E18" s="759"/>
      <c r="F18" s="759"/>
      <c r="G18" s="759"/>
    </row>
    <row r="19" spans="1:7">
      <c r="A19" s="759"/>
      <c r="B19" s="759"/>
      <c r="C19" s="759"/>
      <c r="D19" s="759"/>
      <c r="E19" s="759"/>
      <c r="F19" s="759"/>
      <c r="G19" s="759"/>
    </row>
    <row r="20" spans="1:7">
      <c r="A20" s="759"/>
      <c r="B20" s="759"/>
      <c r="C20" s="759"/>
      <c r="D20" s="759"/>
      <c r="E20" s="759"/>
      <c r="F20" s="759"/>
      <c r="G20" s="759"/>
    </row>
    <row r="21" spans="1:7">
      <c r="A21" s="759"/>
      <c r="B21" s="759"/>
      <c r="C21" s="759"/>
      <c r="D21" s="759"/>
      <c r="E21" s="759"/>
      <c r="F21" s="759"/>
      <c r="G21" s="759"/>
    </row>
    <row r="22" spans="1:7">
      <c r="A22" s="759"/>
      <c r="B22" s="759"/>
      <c r="C22" s="759"/>
      <c r="D22" s="759"/>
      <c r="E22" s="759"/>
      <c r="F22" s="759"/>
      <c r="G22" s="759"/>
    </row>
  </sheetData>
  <mergeCells count="2">
    <mergeCell ref="A1:G1"/>
    <mergeCell ref="I1:O1"/>
  </mergeCells>
  <pageMargins left="0.7" right="0.7" top="0.75" bottom="0.75" header="0.3" footer="0.3"/>
  <pageSetup paperSize="9" orientation="landscape" r:id="rId1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5"/>
  <sheetViews>
    <sheetView showGridLines="0" workbookViewId="0"/>
  </sheetViews>
  <sheetFormatPr defaultRowHeight="12.75"/>
  <cols>
    <col min="1" max="1" width="39.7109375" style="109" bestFit="1" customWidth="1"/>
    <col min="2" max="2" width="13.140625" style="109" bestFit="1" customWidth="1"/>
    <col min="3" max="3" width="9.140625" style="109"/>
    <col min="4" max="4" width="10.5703125" style="109" bestFit="1" customWidth="1"/>
    <col min="5" max="11" width="9.140625" style="109"/>
    <col min="12" max="12" width="24" style="109" customWidth="1"/>
    <col min="13" max="16384" width="9.140625" style="109"/>
  </cols>
  <sheetData>
    <row r="1" spans="1:16">
      <c r="A1" s="20"/>
      <c r="B1" s="33" t="s">
        <v>114</v>
      </c>
      <c r="C1" s="33" t="s">
        <v>221</v>
      </c>
      <c r="D1" s="33" t="s">
        <v>222</v>
      </c>
      <c r="E1" s="33" t="s">
        <v>223</v>
      </c>
      <c r="I1" s="52" t="s">
        <v>157</v>
      </c>
    </row>
    <row r="2" spans="1:16">
      <c r="A2" s="21" t="s">
        <v>133</v>
      </c>
      <c r="B2" s="127">
        <v>-1.970000324279477</v>
      </c>
      <c r="C2" s="127">
        <v>-1.2900001435861632</v>
      </c>
      <c r="D2" s="127">
        <v>-0.44000038092532345</v>
      </c>
      <c r="E2" s="127">
        <v>0.15999958902343381</v>
      </c>
    </row>
    <row r="3" spans="1:16">
      <c r="A3" s="21" t="s">
        <v>139</v>
      </c>
      <c r="B3" s="194">
        <v>-1.9546082202850104</v>
      </c>
      <c r="C3" s="194">
        <v>-1.2799210560078855</v>
      </c>
      <c r="D3" s="194">
        <v>-0.4365625486556905</v>
      </c>
      <c r="E3" s="194">
        <v>0.15874947199444031</v>
      </c>
    </row>
    <row r="4" spans="1:16">
      <c r="B4" s="194">
        <f>B3-B2</f>
        <v>1.5392103994466666E-2</v>
      </c>
      <c r="C4" s="194">
        <f>C3-C2</f>
        <v>1.007908757827769E-2</v>
      </c>
      <c r="D4" s="194">
        <f>D3-D2</f>
        <v>3.4378322696329566E-3</v>
      </c>
      <c r="E4" s="194">
        <f>E3-E2</f>
        <v>-1.2501170289934971E-3</v>
      </c>
    </row>
    <row r="5" spans="1:16">
      <c r="A5" s="270"/>
      <c r="B5" s="254"/>
      <c r="C5" s="254"/>
      <c r="D5" s="254"/>
      <c r="E5" s="254"/>
      <c r="F5" s="3"/>
      <c r="G5" s="3"/>
      <c r="H5" s="271"/>
      <c r="I5" s="3"/>
      <c r="J5" s="3"/>
      <c r="K5" s="3"/>
    </row>
    <row r="6" spans="1:16">
      <c r="A6" s="61"/>
      <c r="B6" s="255"/>
      <c r="C6" s="255"/>
      <c r="D6" s="255"/>
      <c r="E6" s="255"/>
      <c r="F6" s="3"/>
      <c r="G6" s="3"/>
      <c r="H6" s="3"/>
      <c r="I6" s="3"/>
      <c r="J6" s="3"/>
      <c r="K6" s="3"/>
    </row>
    <row r="7" spans="1:16">
      <c r="A7" s="59"/>
      <c r="B7" s="103"/>
      <c r="C7" s="103"/>
      <c r="D7" s="103"/>
      <c r="E7" s="103"/>
      <c r="F7" s="3"/>
      <c r="G7" s="3"/>
      <c r="H7" s="3"/>
      <c r="I7" s="3"/>
      <c r="J7" s="3"/>
      <c r="K7" s="3"/>
      <c r="L7" s="52"/>
    </row>
    <row r="8" spans="1:16">
      <c r="A8" s="59"/>
      <c r="B8" s="103"/>
      <c r="C8" s="103"/>
      <c r="D8" s="103"/>
      <c r="E8" s="103"/>
      <c r="F8" s="3"/>
      <c r="G8" s="3"/>
      <c r="H8" s="3"/>
      <c r="I8" s="3"/>
      <c r="J8" s="3"/>
      <c r="K8" s="3"/>
      <c r="L8" s="21"/>
      <c r="M8" s="192"/>
      <c r="N8" s="192"/>
      <c r="O8" s="192"/>
      <c r="P8" s="192"/>
    </row>
    <row r="9" spans="1:16">
      <c r="A9" s="270"/>
      <c r="B9" s="254"/>
      <c r="C9" s="254"/>
      <c r="D9" s="254"/>
      <c r="E9" s="254"/>
      <c r="F9" s="3"/>
      <c r="G9" s="3"/>
      <c r="H9" s="3"/>
      <c r="I9" s="3"/>
      <c r="J9" s="3"/>
      <c r="K9" s="3"/>
      <c r="L9" s="21"/>
      <c r="M9" s="192"/>
      <c r="N9" s="192"/>
      <c r="O9" s="192"/>
      <c r="P9" s="192"/>
    </row>
    <row r="10" spans="1:16">
      <c r="A10" s="3"/>
      <c r="B10" s="3"/>
      <c r="C10" s="3"/>
      <c r="D10" s="3"/>
      <c r="E10" s="107"/>
      <c r="F10" s="3"/>
      <c r="G10" s="3"/>
      <c r="H10" s="3"/>
      <c r="I10" s="3"/>
      <c r="J10" s="3"/>
      <c r="K10" s="3"/>
      <c r="M10" s="194"/>
      <c r="N10" s="194"/>
      <c r="O10" s="194"/>
      <c r="P10" s="194"/>
    </row>
    <row r="11" spans="1:16">
      <c r="A11" s="3"/>
      <c r="B11" s="3"/>
      <c r="C11" s="3"/>
      <c r="D11" s="3"/>
      <c r="E11" s="3"/>
      <c r="F11" s="3"/>
      <c r="G11" s="3"/>
      <c r="H11" s="3"/>
      <c r="I11" s="3"/>
      <c r="J11" s="3"/>
      <c r="K11" s="3"/>
    </row>
    <row r="12" spans="1:16">
      <c r="A12" s="3"/>
      <c r="B12" s="3"/>
      <c r="C12" s="3"/>
      <c r="D12" s="3"/>
      <c r="E12" s="3"/>
      <c r="F12" s="3"/>
      <c r="G12" s="3"/>
      <c r="H12" s="3"/>
      <c r="I12" s="3"/>
      <c r="J12" s="3"/>
      <c r="K12" s="3"/>
    </row>
    <row r="13" spans="1:16">
      <c r="A13" s="59"/>
      <c r="B13" s="3"/>
      <c r="C13" s="3"/>
      <c r="D13" s="3"/>
      <c r="E13" s="3"/>
      <c r="F13" s="3"/>
      <c r="G13" s="3"/>
      <c r="H13" s="3"/>
      <c r="I13" s="3"/>
      <c r="J13" s="3"/>
      <c r="K13" s="3"/>
    </row>
    <row r="14" spans="1:16">
      <c r="A14" s="59"/>
      <c r="B14" s="86"/>
      <c r="C14" s="86"/>
      <c r="D14" s="86"/>
      <c r="E14" s="86"/>
      <c r="F14" s="3"/>
      <c r="G14" s="3"/>
      <c r="H14" s="267"/>
      <c r="I14" s="3"/>
      <c r="J14" s="3"/>
      <c r="K14" s="3"/>
      <c r="M14" s="193"/>
    </row>
    <row r="15" spans="1:16">
      <c r="A15" s="59"/>
      <c r="B15" s="86"/>
      <c r="C15" s="86"/>
      <c r="D15" s="210"/>
      <c r="E15" s="86"/>
      <c r="F15" s="3"/>
      <c r="G15" s="3"/>
      <c r="H15" s="3"/>
      <c r="I15" s="3"/>
      <c r="J15" s="3"/>
      <c r="K15" s="3"/>
    </row>
    <row r="16" spans="1:16">
      <c r="A16" s="59"/>
      <c r="B16" s="3"/>
      <c r="C16" s="3"/>
      <c r="D16" s="3"/>
      <c r="E16" s="3"/>
      <c r="F16" s="3"/>
      <c r="G16" s="3"/>
      <c r="H16" s="3"/>
      <c r="I16" s="3"/>
      <c r="J16" s="3"/>
      <c r="K16" s="3"/>
    </row>
    <row r="17" spans="1:11">
      <c r="A17" s="59"/>
      <c r="B17" s="268"/>
      <c r="C17" s="268"/>
      <c r="D17" s="268"/>
      <c r="E17" s="268"/>
      <c r="F17" s="3"/>
      <c r="G17" s="3"/>
      <c r="H17" s="3"/>
      <c r="I17" s="3"/>
      <c r="J17" s="3"/>
      <c r="K17" s="3"/>
    </row>
    <row r="18" spans="1:11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</row>
    <row r="19" spans="1:11" ht="16.5">
      <c r="A19" s="269"/>
      <c r="B19" s="257"/>
      <c r="C19" s="257"/>
      <c r="D19" s="257"/>
      <c r="E19" s="257"/>
      <c r="F19" s="257"/>
      <c r="G19" s="257"/>
      <c r="H19" s="257"/>
      <c r="I19" s="257"/>
      <c r="J19" s="3"/>
      <c r="K19" s="3"/>
    </row>
    <row r="20" spans="1:11" ht="16.5">
      <c r="A20" s="257"/>
      <c r="B20" s="257"/>
      <c r="C20" s="257"/>
      <c r="D20" s="257"/>
      <c r="E20" s="257"/>
      <c r="F20" s="257"/>
      <c r="G20" s="257"/>
      <c r="H20" s="257"/>
      <c r="I20" s="257"/>
      <c r="J20" s="3"/>
      <c r="K20" s="3"/>
    </row>
    <row r="21" spans="1:11" ht="16.5">
      <c r="A21" s="269"/>
      <c r="B21" s="258"/>
      <c r="C21" s="258"/>
      <c r="D21" s="258"/>
      <c r="E21" s="258"/>
      <c r="F21" s="258"/>
      <c r="G21" s="258"/>
      <c r="H21" s="258"/>
      <c r="I21" s="258"/>
      <c r="J21" s="3"/>
      <c r="K21" s="3"/>
    </row>
    <row r="22" spans="1:11" ht="16.5">
      <c r="A22" s="257"/>
      <c r="B22" s="259"/>
      <c r="C22" s="259"/>
      <c r="D22" s="259"/>
      <c r="E22" s="259"/>
      <c r="F22" s="259"/>
      <c r="G22" s="259"/>
      <c r="H22" s="259"/>
      <c r="I22" s="259"/>
      <c r="J22" s="3"/>
      <c r="K22" s="3"/>
    </row>
    <row r="23" spans="1:11" ht="16.5">
      <c r="A23" s="260"/>
      <c r="B23" s="190"/>
      <c r="C23" s="190"/>
      <c r="D23" s="190"/>
      <c r="E23" s="190"/>
      <c r="F23" s="190"/>
      <c r="G23" s="190"/>
      <c r="H23" s="190"/>
      <c r="I23" s="190"/>
      <c r="J23" s="3"/>
      <c r="K23" s="3"/>
    </row>
    <row r="24" spans="1:11" ht="16.5">
      <c r="A24" s="261"/>
      <c r="B24" s="191"/>
      <c r="C24" s="191"/>
      <c r="D24" s="191"/>
      <c r="E24" s="191"/>
      <c r="F24" s="191"/>
      <c r="G24" s="191"/>
      <c r="H24" s="191"/>
      <c r="I24" s="191"/>
      <c r="J24" s="3"/>
      <c r="K24" s="3"/>
    </row>
    <row r="25" spans="1:11" ht="16.5">
      <c r="A25" s="257"/>
      <c r="B25" s="191"/>
      <c r="C25" s="191"/>
      <c r="D25" s="191"/>
      <c r="E25" s="191"/>
      <c r="F25" s="191"/>
      <c r="G25" s="191"/>
      <c r="H25" s="191"/>
      <c r="I25" s="191"/>
      <c r="J25" s="3"/>
      <c r="K25" s="3"/>
    </row>
    <row r="26" spans="1:11" ht="16.5">
      <c r="A26" s="257"/>
      <c r="B26" s="190"/>
      <c r="C26" s="190"/>
      <c r="D26" s="190"/>
      <c r="E26" s="190"/>
      <c r="F26" s="190"/>
      <c r="G26" s="190"/>
      <c r="H26" s="190"/>
      <c r="I26" s="190"/>
      <c r="J26" s="3"/>
      <c r="K26" s="3"/>
    </row>
    <row r="27" spans="1:11" ht="16.5">
      <c r="A27" s="257"/>
      <c r="B27" s="262"/>
      <c r="C27" s="262"/>
      <c r="D27" s="262"/>
      <c r="E27" s="262"/>
      <c r="F27" s="262"/>
      <c r="G27" s="190"/>
      <c r="H27" s="190"/>
      <c r="I27" s="190"/>
      <c r="J27" s="3"/>
      <c r="K27" s="3"/>
    </row>
    <row r="28" spans="1:11" ht="16.5">
      <c r="A28" s="263"/>
      <c r="B28" s="190"/>
      <c r="C28" s="190"/>
      <c r="D28" s="190"/>
      <c r="E28" s="190"/>
      <c r="F28" s="190"/>
      <c r="G28" s="190"/>
      <c r="H28" s="190"/>
      <c r="I28" s="190"/>
      <c r="J28" s="3"/>
      <c r="K28" s="3"/>
    </row>
    <row r="29" spans="1:11" ht="16.5">
      <c r="A29" s="257"/>
      <c r="B29" s="264"/>
      <c r="C29" s="257"/>
      <c r="D29" s="257"/>
      <c r="E29" s="257"/>
      <c r="F29" s="257"/>
      <c r="G29" s="257"/>
      <c r="H29" s="257"/>
      <c r="I29" s="257"/>
      <c r="J29" s="3"/>
      <c r="K29" s="3"/>
    </row>
    <row r="30" spans="1:11" ht="16.5">
      <c r="A30" s="265"/>
      <c r="B30" s="266"/>
      <c r="C30" s="266"/>
      <c r="D30" s="266"/>
      <c r="E30" s="266"/>
      <c r="F30" s="266"/>
      <c r="G30" s="266"/>
      <c r="H30" s="266"/>
      <c r="I30" s="266"/>
      <c r="J30" s="3"/>
      <c r="K30" s="3"/>
    </row>
    <row r="31" spans="1:11" ht="16.5">
      <c r="A31" s="265"/>
      <c r="B31" s="266"/>
      <c r="C31" s="266"/>
      <c r="D31" s="266"/>
      <c r="E31" s="266"/>
      <c r="F31" s="266"/>
      <c r="G31" s="266"/>
      <c r="H31" s="266"/>
      <c r="I31" s="266"/>
      <c r="J31" s="3"/>
      <c r="K31" s="3"/>
    </row>
    <row r="32" spans="1:11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</row>
    <row r="33" spans="1:11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</row>
    <row r="34" spans="1:11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</row>
    <row r="35" spans="1:11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</row>
  </sheetData>
  <pageMargins left="0.7" right="0.7" top="0.75" bottom="0.75" header="0.3" footer="0.3"/>
  <pageSetup paperSize="9" orientation="portrait" verticalDpi="0" r:id="rId1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P37"/>
  <sheetViews>
    <sheetView showGridLines="0" workbookViewId="0"/>
  </sheetViews>
  <sheetFormatPr defaultRowHeight="12.75"/>
  <cols>
    <col min="1" max="1" width="39.7109375" bestFit="1" customWidth="1"/>
    <col min="2" max="2" width="13.140625" bestFit="1" customWidth="1"/>
    <col min="4" max="4" width="10.5703125" bestFit="1" customWidth="1"/>
    <col min="12" max="12" width="24" customWidth="1"/>
  </cols>
  <sheetData>
    <row r="1" spans="1:16" s="109" customFormat="1">
      <c r="A1" s="128"/>
      <c r="J1" s="52" t="s">
        <v>158</v>
      </c>
    </row>
    <row r="2" spans="1:16">
      <c r="A2" s="20"/>
      <c r="B2" s="33" t="s">
        <v>114</v>
      </c>
      <c r="C2" s="33" t="s">
        <v>221</v>
      </c>
      <c r="D2" s="33" t="s">
        <v>222</v>
      </c>
      <c r="E2" s="33" t="s">
        <v>223</v>
      </c>
    </row>
    <row r="3" spans="1:16">
      <c r="A3" s="21" t="s">
        <v>133</v>
      </c>
      <c r="B3" s="192">
        <v>53.494981921392004</v>
      </c>
      <c r="C3" s="192">
        <v>52.723970708888849</v>
      </c>
      <c r="D3" s="192">
        <v>51.402602458171899</v>
      </c>
      <c r="E3" s="192">
        <v>49.061408450492536</v>
      </c>
      <c r="L3" s="52"/>
    </row>
    <row r="4" spans="1:16">
      <c r="A4" s="21" t="s">
        <v>139</v>
      </c>
      <c r="B4" s="192">
        <v>53.07701220088731</v>
      </c>
      <c r="C4" s="192">
        <v>52.312025092504236</v>
      </c>
      <c r="D4" s="192">
        <v>51.000981023581502</v>
      </c>
      <c r="E4" s="192">
        <v>48.678079352302497</v>
      </c>
      <c r="L4" s="21"/>
      <c r="M4" s="127"/>
      <c r="N4" s="127"/>
      <c r="O4" s="127"/>
      <c r="P4" s="127"/>
    </row>
    <row r="5" spans="1:16">
      <c r="B5" s="194">
        <f>B4-B3</f>
        <v>-0.4179697205046935</v>
      </c>
      <c r="C5" s="194">
        <f>C4-C3</f>
        <v>-0.4119456163846138</v>
      </c>
      <c r="D5" s="194">
        <f>D4-D3</f>
        <v>-0.40162143459039612</v>
      </c>
      <c r="E5" s="194">
        <f>E4-E3</f>
        <v>-0.38332909819003902</v>
      </c>
      <c r="L5" s="21"/>
      <c r="M5" s="194"/>
      <c r="N5" s="194"/>
      <c r="O5" s="194"/>
      <c r="P5" s="194"/>
    </row>
    <row r="6" spans="1:16">
      <c r="A6" s="253"/>
      <c r="B6" s="254"/>
      <c r="C6" s="254"/>
      <c r="D6" s="254"/>
      <c r="E6" s="254"/>
      <c r="F6" s="8"/>
      <c r="H6" s="193"/>
      <c r="M6" s="194"/>
      <c r="N6" s="194"/>
      <c r="O6" s="194"/>
      <c r="P6" s="194"/>
    </row>
    <row r="7" spans="1:16">
      <c r="A7" s="56"/>
      <c r="B7" s="255"/>
      <c r="C7" s="255"/>
      <c r="D7" s="255"/>
      <c r="E7" s="255"/>
      <c r="F7" s="8"/>
    </row>
    <row r="8" spans="1:16">
      <c r="A8" s="146"/>
      <c r="B8" s="103"/>
      <c r="C8" s="103"/>
      <c r="D8" s="103"/>
      <c r="E8" s="103"/>
      <c r="F8" s="8"/>
    </row>
    <row r="9" spans="1:16">
      <c r="A9" s="146"/>
      <c r="B9" s="103"/>
      <c r="C9" s="103"/>
      <c r="D9" s="103"/>
      <c r="E9" s="103"/>
      <c r="F9" s="8"/>
    </row>
    <row r="10" spans="1:16">
      <c r="A10" s="253"/>
      <c r="B10" s="254"/>
      <c r="C10" s="254"/>
      <c r="D10" s="254"/>
      <c r="E10" s="254"/>
      <c r="F10" s="8"/>
    </row>
    <row r="11" spans="1:16">
      <c r="A11" s="8"/>
      <c r="B11" s="8"/>
      <c r="C11" s="8"/>
      <c r="D11" s="8"/>
      <c r="E11" s="256"/>
      <c r="F11" s="8"/>
    </row>
    <row r="12" spans="1:16">
      <c r="A12" s="8"/>
      <c r="B12" s="8"/>
      <c r="C12" s="8"/>
      <c r="D12" s="8"/>
      <c r="E12" s="8"/>
      <c r="F12" s="8"/>
    </row>
    <row r="14" spans="1:16">
      <c r="A14" s="21"/>
    </row>
    <row r="15" spans="1:16">
      <c r="A15" s="59"/>
      <c r="B15" s="86"/>
      <c r="C15" s="86"/>
      <c r="D15" s="86"/>
      <c r="E15" s="86"/>
      <c r="F15" s="3"/>
      <c r="G15" s="3"/>
      <c r="H15" s="267"/>
      <c r="I15" s="3"/>
      <c r="J15" s="3"/>
      <c r="M15" s="193"/>
    </row>
    <row r="16" spans="1:16">
      <c r="A16" s="59"/>
      <c r="B16" s="86"/>
      <c r="C16" s="86"/>
      <c r="D16" s="210"/>
      <c r="E16" s="86"/>
      <c r="F16" s="3"/>
      <c r="G16" s="3"/>
      <c r="H16" s="3"/>
      <c r="I16" s="3"/>
      <c r="J16" s="3"/>
    </row>
    <row r="17" spans="1:10">
      <c r="A17" s="59"/>
      <c r="B17" s="3"/>
      <c r="C17" s="3"/>
      <c r="D17" s="3"/>
      <c r="E17" s="3"/>
      <c r="F17" s="3"/>
      <c r="G17" s="3"/>
      <c r="H17" s="3"/>
      <c r="I17" s="3"/>
      <c r="J17" s="3"/>
    </row>
    <row r="18" spans="1:10">
      <c r="A18" s="59"/>
      <c r="B18" s="268"/>
      <c r="C18" s="268"/>
      <c r="D18" s="268"/>
      <c r="E18" s="268"/>
      <c r="F18" s="3"/>
      <c r="G18" s="3"/>
      <c r="H18" s="3"/>
      <c r="I18" s="3"/>
      <c r="J18" s="3"/>
    </row>
    <row r="19" spans="1:10">
      <c r="A19" s="3"/>
      <c r="B19" s="3"/>
      <c r="C19" s="3"/>
      <c r="D19" s="3"/>
      <c r="E19" s="3"/>
      <c r="F19" s="3"/>
      <c r="G19" s="3"/>
      <c r="H19" s="3"/>
      <c r="I19" s="3"/>
      <c r="J19" s="3"/>
    </row>
    <row r="20" spans="1:10" ht="16.5">
      <c r="A20" s="269"/>
      <c r="B20" s="257"/>
      <c r="C20" s="257"/>
      <c r="D20" s="257"/>
      <c r="E20" s="257"/>
      <c r="F20" s="257"/>
      <c r="G20" s="257"/>
      <c r="H20" s="257"/>
      <c r="I20" s="257"/>
      <c r="J20" s="3"/>
    </row>
    <row r="21" spans="1:10" ht="16.5">
      <c r="A21" s="257"/>
      <c r="B21" s="257"/>
      <c r="C21" s="257"/>
      <c r="D21" s="257"/>
      <c r="E21" s="257"/>
      <c r="F21" s="257"/>
      <c r="G21" s="257"/>
      <c r="H21" s="257"/>
      <c r="I21" s="257"/>
      <c r="J21" s="3"/>
    </row>
    <row r="22" spans="1:10" ht="16.5">
      <c r="A22" s="269"/>
      <c r="B22" s="258"/>
      <c r="C22" s="258"/>
      <c r="D22" s="258"/>
      <c r="E22" s="258"/>
      <c r="F22" s="258"/>
      <c r="G22" s="258"/>
      <c r="H22" s="258"/>
      <c r="I22" s="258"/>
      <c r="J22" s="3"/>
    </row>
    <row r="23" spans="1:10" ht="16.5">
      <c r="A23" s="257"/>
      <c r="B23" s="259"/>
      <c r="C23" s="259"/>
      <c r="D23" s="259"/>
      <c r="E23" s="259"/>
      <c r="F23" s="259"/>
      <c r="G23" s="259"/>
      <c r="H23" s="259"/>
      <c r="I23" s="259"/>
      <c r="J23" s="3"/>
    </row>
    <row r="24" spans="1:10" ht="16.5">
      <c r="A24" s="260"/>
      <c r="B24" s="190"/>
      <c r="C24" s="190"/>
      <c r="D24" s="190"/>
      <c r="E24" s="190"/>
      <c r="F24" s="190"/>
      <c r="G24" s="190"/>
      <c r="H24" s="190"/>
      <c r="I24" s="190"/>
      <c r="J24" s="3"/>
    </row>
    <row r="25" spans="1:10" ht="16.5">
      <c r="A25" s="261"/>
      <c r="B25" s="191"/>
      <c r="C25" s="191"/>
      <c r="D25" s="191"/>
      <c r="E25" s="191"/>
      <c r="F25" s="191"/>
      <c r="G25" s="191"/>
      <c r="H25" s="191"/>
      <c r="I25" s="191"/>
      <c r="J25" s="3"/>
    </row>
    <row r="26" spans="1:10" ht="16.5">
      <c r="A26" s="257"/>
      <c r="B26" s="191"/>
      <c r="C26" s="191"/>
      <c r="D26" s="191"/>
      <c r="E26" s="191"/>
      <c r="F26" s="191"/>
      <c r="G26" s="191"/>
      <c r="H26" s="191"/>
      <c r="I26" s="191"/>
      <c r="J26" s="3"/>
    </row>
    <row r="27" spans="1:10" ht="16.5">
      <c r="A27" s="257"/>
      <c r="B27" s="190"/>
      <c r="C27" s="190"/>
      <c r="D27" s="190"/>
      <c r="E27" s="190"/>
      <c r="F27" s="190"/>
      <c r="G27" s="190"/>
      <c r="H27" s="190"/>
      <c r="I27" s="190"/>
      <c r="J27" s="3"/>
    </row>
    <row r="28" spans="1:10" ht="16.5">
      <c r="A28" s="257"/>
      <c r="B28" s="262"/>
      <c r="C28" s="262"/>
      <c r="D28" s="262"/>
      <c r="E28" s="262"/>
      <c r="F28" s="262"/>
      <c r="G28" s="190"/>
      <c r="H28" s="190"/>
      <c r="I28" s="190"/>
      <c r="J28" s="3"/>
    </row>
    <row r="29" spans="1:10" ht="16.5">
      <c r="A29" s="263"/>
      <c r="B29" s="190"/>
      <c r="C29" s="190"/>
      <c r="D29" s="190"/>
      <c r="E29" s="190"/>
      <c r="F29" s="190"/>
      <c r="G29" s="190"/>
      <c r="H29" s="190"/>
      <c r="I29" s="190"/>
      <c r="J29" s="3"/>
    </row>
    <row r="30" spans="1:10" ht="16.5">
      <c r="A30" s="257"/>
      <c r="B30" s="264"/>
      <c r="C30" s="257"/>
      <c r="D30" s="257"/>
      <c r="E30" s="257"/>
      <c r="F30" s="257"/>
      <c r="G30" s="257"/>
      <c r="H30" s="257"/>
      <c r="I30" s="257"/>
      <c r="J30" s="3"/>
    </row>
    <row r="31" spans="1:10" ht="16.5">
      <c r="A31" s="265"/>
      <c r="B31" s="266"/>
      <c r="C31" s="266"/>
      <c r="D31" s="266"/>
      <c r="E31" s="266"/>
      <c r="F31" s="266"/>
      <c r="G31" s="266"/>
      <c r="H31" s="266"/>
      <c r="I31" s="266"/>
      <c r="J31" s="3"/>
    </row>
    <row r="32" spans="1:10" ht="16.5">
      <c r="A32" s="265"/>
      <c r="B32" s="266"/>
      <c r="C32" s="266"/>
      <c r="D32" s="266"/>
      <c r="E32" s="266"/>
      <c r="F32" s="266"/>
      <c r="G32" s="266"/>
      <c r="H32" s="266"/>
      <c r="I32" s="266"/>
      <c r="J32" s="3"/>
    </row>
    <row r="33" spans="1:10">
      <c r="A33" s="3"/>
      <c r="B33" s="3"/>
      <c r="C33" s="3"/>
      <c r="D33" s="3"/>
      <c r="E33" s="3"/>
      <c r="F33" s="3"/>
      <c r="G33" s="3"/>
      <c r="H33" s="3"/>
      <c r="I33" s="3"/>
      <c r="J33" s="3"/>
    </row>
    <row r="34" spans="1:10">
      <c r="A34" s="3"/>
      <c r="B34" s="3"/>
      <c r="C34" s="3"/>
      <c r="D34" s="3"/>
      <c r="E34" s="3"/>
      <c r="F34" s="3"/>
      <c r="G34" s="3"/>
      <c r="H34" s="3"/>
      <c r="I34" s="3"/>
      <c r="J34" s="3"/>
    </row>
    <row r="35" spans="1:10">
      <c r="A35" s="3"/>
      <c r="B35" s="3"/>
      <c r="C35" s="3"/>
      <c r="D35" s="3"/>
      <c r="E35" s="3"/>
      <c r="F35" s="3"/>
      <c r="G35" s="3"/>
      <c r="H35" s="3"/>
      <c r="I35" s="3"/>
      <c r="J35" s="3"/>
    </row>
    <row r="36" spans="1:10">
      <c r="A36" s="3"/>
      <c r="B36" s="3"/>
      <c r="C36" s="3"/>
      <c r="D36" s="3"/>
      <c r="E36" s="3"/>
      <c r="F36" s="3"/>
      <c r="G36" s="3"/>
      <c r="H36" s="3"/>
      <c r="I36" s="3"/>
      <c r="J36" s="3"/>
    </row>
    <row r="37" spans="1:10">
      <c r="A37" s="3"/>
      <c r="B37" s="3"/>
      <c r="C37" s="3"/>
      <c r="D37" s="3"/>
      <c r="E37" s="3"/>
      <c r="F37" s="3"/>
      <c r="G37" s="3"/>
      <c r="H37" s="3"/>
      <c r="I37" s="3"/>
      <c r="J37" s="3"/>
    </row>
  </sheetData>
  <pageMargins left="0.7" right="0.7" top="0.75" bottom="0.75" header="0.3" footer="0.3"/>
  <pageSetup paperSize="9" orientation="portrait" verticalDpi="0" r:id="rId1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9"/>
  <sheetViews>
    <sheetView showGridLines="0" workbookViewId="0"/>
  </sheetViews>
  <sheetFormatPr defaultRowHeight="12.75"/>
  <cols>
    <col min="1" max="1" width="46" style="109" customWidth="1"/>
    <col min="2" max="7" width="9.140625" style="109"/>
    <col min="8" max="8" width="9.140625" style="109" customWidth="1"/>
    <col min="9" max="15" width="9.140625" style="109"/>
    <col min="16" max="16" width="9.28515625" style="109" customWidth="1"/>
    <col min="17" max="16384" width="9.140625" style="109"/>
  </cols>
  <sheetData>
    <row r="1" spans="1:7">
      <c r="A1" s="20"/>
      <c r="B1" s="33" t="s">
        <v>114</v>
      </c>
      <c r="C1" s="33" t="s">
        <v>221</v>
      </c>
      <c r="D1" s="33" t="s">
        <v>222</v>
      </c>
      <c r="E1" s="33" t="s">
        <v>223</v>
      </c>
      <c r="G1" s="128" t="s">
        <v>187</v>
      </c>
    </row>
    <row r="2" spans="1:7">
      <c r="A2" s="21" t="s">
        <v>133</v>
      </c>
      <c r="B2" s="127">
        <v>-1.970000324279477</v>
      </c>
      <c r="C2" s="127">
        <v>-1.2900001435861554</v>
      </c>
      <c r="D2" s="127">
        <v>-0.44000038092531923</v>
      </c>
      <c r="E2" s="127">
        <v>0.15999958902343536</v>
      </c>
    </row>
    <row r="3" spans="1:7">
      <c r="A3" s="21" t="s">
        <v>143</v>
      </c>
      <c r="B3" s="127">
        <v>-1.970000324279477</v>
      </c>
      <c r="C3" s="127">
        <v>-0.29151688756182637</v>
      </c>
      <c r="D3" s="127">
        <v>-3.8575999794169036E-2</v>
      </c>
      <c r="E3" s="127">
        <v>0.54673941228606537</v>
      </c>
    </row>
    <row r="4" spans="1:7">
      <c r="A4" s="21" t="s">
        <v>145</v>
      </c>
      <c r="B4" s="127">
        <v>-1.970000324279477</v>
      </c>
      <c r="C4" s="127">
        <v>-3.599946806646076E-2</v>
      </c>
      <c r="D4" s="127">
        <v>0.27788176159705991</v>
      </c>
      <c r="E4" s="127">
        <v>0.83208025241243266</v>
      </c>
    </row>
    <row r="5" spans="1:7">
      <c r="A5" s="21" t="s">
        <v>232</v>
      </c>
      <c r="B5" s="127">
        <v>-1.970000324279477</v>
      </c>
      <c r="C5" s="127">
        <v>-9.6638609210759924E-2</v>
      </c>
      <c r="D5" s="127">
        <v>7.8708687296972696E-2</v>
      </c>
      <c r="E5" s="127">
        <v>0.59276898271251366</v>
      </c>
    </row>
    <row r="6" spans="1:7">
      <c r="A6" s="21" t="s">
        <v>233</v>
      </c>
      <c r="B6" s="127">
        <v>-1.970000324279477</v>
      </c>
      <c r="C6" s="127">
        <v>-1.7403958404582507</v>
      </c>
      <c r="D6" s="127">
        <v>-0.87374282880446474</v>
      </c>
      <c r="E6" s="127">
        <v>-0.17137082163132666</v>
      </c>
    </row>
    <row r="7" spans="1:7">
      <c r="A7" s="21"/>
      <c r="B7" s="127"/>
      <c r="C7" s="127"/>
      <c r="D7" s="127"/>
      <c r="E7" s="127"/>
    </row>
    <row r="8" spans="1:7">
      <c r="A8" s="21"/>
      <c r="B8" s="127"/>
      <c r="C8" s="127"/>
      <c r="D8" s="127"/>
      <c r="E8" s="127"/>
    </row>
    <row r="10" spans="1:7" ht="17.25" customHeight="1"/>
    <row r="12" spans="1:7" ht="16.5">
      <c r="A12" s="1785"/>
      <c r="B12" s="1785"/>
      <c r="C12" s="1785"/>
      <c r="D12" s="1785"/>
      <c r="E12" s="8"/>
      <c r="F12" s="8"/>
      <c r="G12" s="8"/>
    </row>
    <row r="13" spans="1:7" ht="16.5">
      <c r="A13" s="283"/>
      <c r="B13" s="284"/>
      <c r="C13" s="284"/>
      <c r="D13" s="284"/>
      <c r="E13" s="8"/>
      <c r="F13" s="8"/>
      <c r="G13" s="8"/>
    </row>
    <row r="14" spans="1:7" ht="16.5">
      <c r="A14" s="283"/>
      <c r="B14" s="285"/>
      <c r="C14" s="285"/>
      <c r="D14" s="285"/>
      <c r="E14" s="8"/>
      <c r="F14" s="8"/>
      <c r="G14" s="8"/>
    </row>
    <row r="15" spans="1:7" ht="16.5">
      <c r="A15" s="283"/>
      <c r="B15" s="285"/>
      <c r="C15" s="285"/>
      <c r="D15" s="285"/>
      <c r="E15" s="8"/>
      <c r="F15" s="8"/>
      <c r="G15" s="8"/>
    </row>
    <row r="16" spans="1:7" ht="16.5">
      <c r="A16" s="283"/>
      <c r="B16" s="245"/>
      <c r="C16" s="245"/>
      <c r="D16" s="245"/>
      <c r="E16" s="8"/>
      <c r="F16" s="8"/>
      <c r="G16" s="8"/>
    </row>
    <row r="17" spans="1:7" ht="16.5">
      <c r="A17" s="286"/>
      <c r="B17" s="244"/>
      <c r="C17" s="246"/>
      <c r="D17" s="246"/>
      <c r="E17" s="8"/>
      <c r="F17" s="8"/>
      <c r="G17" s="8"/>
    </row>
    <row r="18" spans="1:7" ht="13.5">
      <c r="A18" s="287"/>
      <c r="B18" s="287"/>
      <c r="C18" s="287"/>
      <c r="D18" s="287"/>
      <c r="E18" s="8"/>
      <c r="F18" s="8"/>
      <c r="G18" s="8"/>
    </row>
    <row r="19" spans="1:7" ht="16.5">
      <c r="A19" s="204"/>
      <c r="B19" s="288"/>
      <c r="C19" s="288"/>
      <c r="D19" s="288"/>
      <c r="E19" s="288"/>
      <c r="F19" s="288"/>
      <c r="G19" s="8"/>
    </row>
    <row r="20" spans="1:7" ht="16.5">
      <c r="A20" s="289"/>
      <c r="B20" s="290"/>
      <c r="C20" s="290"/>
      <c r="D20" s="290"/>
      <c r="E20" s="289"/>
      <c r="F20" s="290"/>
      <c r="G20" s="8"/>
    </row>
    <row r="21" spans="1:7" ht="16.5">
      <c r="A21" s="291"/>
      <c r="B21" s="197"/>
      <c r="C21" s="198"/>
      <c r="D21" s="199"/>
      <c r="E21" s="200"/>
      <c r="F21" s="199"/>
      <c r="G21" s="8"/>
    </row>
    <row r="22" spans="1:7" ht="16.5">
      <c r="A22" s="292"/>
      <c r="B22" s="201"/>
      <c r="C22" s="201"/>
      <c r="D22" s="202"/>
      <c r="E22" s="203"/>
      <c r="F22" s="202"/>
      <c r="G22" s="8"/>
    </row>
    <row r="23" spans="1:7" ht="16.5">
      <c r="A23" s="292"/>
      <c r="B23" s="201"/>
      <c r="C23" s="201"/>
      <c r="D23" s="202"/>
      <c r="E23" s="203"/>
      <c r="F23" s="202"/>
      <c r="G23" s="8"/>
    </row>
    <row r="24" spans="1:7" ht="16.5">
      <c r="A24" s="292"/>
      <c r="B24" s="201"/>
      <c r="C24" s="201"/>
      <c r="D24" s="202"/>
      <c r="E24" s="203"/>
      <c r="F24" s="202"/>
      <c r="G24" s="8"/>
    </row>
    <row r="25" spans="1:7" ht="16.5">
      <c r="A25" s="292"/>
      <c r="B25" s="293"/>
      <c r="C25" s="198"/>
      <c r="D25" s="294"/>
      <c r="E25" s="203"/>
      <c r="F25" s="202"/>
      <c r="G25" s="8"/>
    </row>
    <row r="26" spans="1:7" ht="16.5">
      <c r="A26" s="292"/>
      <c r="B26" s="293"/>
      <c r="C26" s="198"/>
      <c r="D26" s="294"/>
      <c r="E26" s="203"/>
      <c r="F26" s="202"/>
      <c r="G26" s="8"/>
    </row>
    <row r="27" spans="1:7" ht="16.5">
      <c r="A27" s="292"/>
      <c r="B27" s="293"/>
      <c r="C27" s="198"/>
      <c r="D27" s="294"/>
      <c r="E27" s="203"/>
      <c r="F27" s="202"/>
      <c r="G27" s="8"/>
    </row>
    <row r="28" spans="1:7" ht="16.5">
      <c r="A28" s="206"/>
      <c r="B28" s="293"/>
      <c r="C28" s="198"/>
      <c r="D28" s="294"/>
      <c r="E28" s="203"/>
      <c r="F28" s="202"/>
      <c r="G28" s="8"/>
    </row>
    <row r="29" spans="1:7" ht="16.5">
      <c r="A29" s="292"/>
      <c r="B29" s="293"/>
      <c r="C29" s="198"/>
      <c r="D29" s="294"/>
      <c r="E29" s="203"/>
      <c r="F29" s="202"/>
      <c r="G29" s="8"/>
    </row>
    <row r="30" spans="1:7" ht="16.5">
      <c r="A30" s="292"/>
      <c r="B30" s="293"/>
      <c r="C30" s="198"/>
      <c r="D30" s="294"/>
      <c r="E30" s="203"/>
      <c r="F30" s="202"/>
      <c r="G30" s="8"/>
    </row>
    <row r="31" spans="1:7" ht="16.5">
      <c r="A31" s="292"/>
      <c r="B31" s="293"/>
      <c r="C31" s="198"/>
      <c r="D31" s="294"/>
      <c r="E31" s="203"/>
      <c r="F31" s="202"/>
      <c r="G31" s="8"/>
    </row>
    <row r="32" spans="1:7" ht="16.5">
      <c r="A32" s="292"/>
      <c r="B32" s="293"/>
      <c r="C32" s="198"/>
      <c r="D32" s="294"/>
      <c r="E32" s="203"/>
      <c r="F32" s="202"/>
      <c r="G32" s="8"/>
    </row>
    <row r="33" spans="1:7" ht="16.5">
      <c r="A33" s="292"/>
      <c r="B33" s="293"/>
      <c r="C33" s="198"/>
      <c r="D33" s="294"/>
      <c r="E33" s="203"/>
      <c r="F33" s="202"/>
      <c r="G33" s="8"/>
    </row>
    <row r="34" spans="1:7" ht="16.5">
      <c r="A34" s="292"/>
      <c r="B34" s="198"/>
      <c r="C34" s="198"/>
      <c r="D34" s="294"/>
      <c r="E34" s="203"/>
      <c r="F34" s="202"/>
      <c r="G34" s="8"/>
    </row>
    <row r="35" spans="1:7" ht="16.5">
      <c r="A35" s="292"/>
      <c r="B35" s="201"/>
      <c r="C35" s="201"/>
      <c r="D35" s="294"/>
      <c r="E35" s="203"/>
      <c r="F35" s="202"/>
      <c r="G35" s="8"/>
    </row>
    <row r="36" spans="1:7" ht="16.5">
      <c r="A36" s="205"/>
      <c r="B36" s="290"/>
      <c r="C36" s="295"/>
      <c r="D36" s="199"/>
      <c r="E36" s="200"/>
      <c r="F36" s="199"/>
      <c r="G36" s="8"/>
    </row>
    <row r="37" spans="1:7" ht="16.5">
      <c r="A37" s="205"/>
      <c r="B37" s="201"/>
      <c r="C37" s="208"/>
      <c r="D37" s="199"/>
      <c r="E37" s="296"/>
      <c r="F37" s="199"/>
      <c r="G37" s="8"/>
    </row>
    <row r="38" spans="1:7" ht="16.5">
      <c r="A38" s="297"/>
      <c r="B38" s="290"/>
      <c r="C38" s="295"/>
      <c r="D38" s="290"/>
      <c r="E38" s="289"/>
      <c r="F38" s="290"/>
      <c r="G38" s="8"/>
    </row>
    <row r="39" spans="1:7" ht="16.5">
      <c r="A39" s="205"/>
      <c r="B39" s="197"/>
      <c r="C39" s="208"/>
      <c r="D39" s="199"/>
      <c r="E39" s="200"/>
      <c r="F39" s="199"/>
      <c r="G39" s="8"/>
    </row>
    <row r="40" spans="1:7" ht="16.5">
      <c r="A40" s="206"/>
      <c r="B40" s="201"/>
      <c r="C40" s="208"/>
      <c r="D40" s="202"/>
      <c r="E40" s="203"/>
      <c r="F40" s="202"/>
      <c r="G40" s="8"/>
    </row>
    <row r="41" spans="1:7" ht="16.5">
      <c r="A41" s="205"/>
      <c r="B41" s="197"/>
      <c r="C41" s="208"/>
      <c r="D41" s="199"/>
      <c r="E41" s="200"/>
      <c r="F41" s="199"/>
      <c r="G41" s="8"/>
    </row>
    <row r="42" spans="1:7" ht="16.5">
      <c r="A42" s="206"/>
      <c r="B42" s="197"/>
      <c r="C42" s="208"/>
      <c r="D42" s="202"/>
      <c r="E42" s="203"/>
      <c r="F42" s="202"/>
      <c r="G42" s="8"/>
    </row>
    <row r="43" spans="1:7" ht="16.5">
      <c r="A43" s="205"/>
      <c r="B43" s="197"/>
      <c r="C43" s="208"/>
      <c r="D43" s="199"/>
      <c r="E43" s="200"/>
      <c r="F43" s="199"/>
      <c r="G43" s="8"/>
    </row>
    <row r="44" spans="1:7" ht="16.5">
      <c r="A44" s="206"/>
      <c r="B44" s="201"/>
      <c r="C44" s="208"/>
      <c r="D44" s="202"/>
      <c r="E44" s="203"/>
      <c r="F44" s="202"/>
      <c r="G44" s="8"/>
    </row>
    <row r="45" spans="1:7" ht="16.5">
      <c r="A45" s="205"/>
      <c r="B45" s="197"/>
      <c r="C45" s="207"/>
      <c r="D45" s="199"/>
      <c r="E45" s="200"/>
      <c r="F45" s="199"/>
      <c r="G45" s="8"/>
    </row>
    <row r="46" spans="1:7" ht="16.5">
      <c r="A46" s="206"/>
      <c r="B46" s="201"/>
      <c r="C46" s="208"/>
      <c r="D46" s="202"/>
      <c r="E46" s="203"/>
      <c r="F46" s="202"/>
      <c r="G46" s="8"/>
    </row>
    <row r="47" spans="1:7" ht="16.5">
      <c r="A47" s="206"/>
      <c r="B47" s="201"/>
      <c r="C47" s="208"/>
      <c r="D47" s="202"/>
      <c r="E47" s="203"/>
      <c r="F47" s="202"/>
      <c r="G47" s="8"/>
    </row>
    <row r="48" spans="1:7" ht="16.5">
      <c r="A48" s="205"/>
      <c r="B48" s="197"/>
      <c r="C48" s="208"/>
      <c r="D48" s="199"/>
      <c r="E48" s="200"/>
      <c r="F48" s="199"/>
      <c r="G48" s="8"/>
    </row>
    <row r="49" spans="1:7" ht="16.5">
      <c r="A49" s="205"/>
      <c r="B49" s="197"/>
      <c r="C49" s="207"/>
      <c r="D49" s="199"/>
      <c r="E49" s="200"/>
      <c r="F49" s="199"/>
      <c r="G49" s="8"/>
    </row>
    <row r="50" spans="1:7" ht="16.5">
      <c r="A50" s="206"/>
      <c r="B50" s="198"/>
      <c r="C50" s="208"/>
      <c r="D50" s="202"/>
      <c r="E50" s="203"/>
      <c r="F50" s="202"/>
      <c r="G50" s="8"/>
    </row>
    <row r="51" spans="1:7" ht="16.5">
      <c r="A51" s="205"/>
      <c r="B51" s="197"/>
      <c r="C51" s="207"/>
      <c r="D51" s="199"/>
      <c r="E51" s="200"/>
      <c r="F51" s="199"/>
      <c r="G51" s="8"/>
    </row>
    <row r="52" spans="1:7" ht="16.5">
      <c r="A52" s="206"/>
      <c r="B52" s="198"/>
      <c r="C52" s="208"/>
      <c r="D52" s="202"/>
      <c r="E52" s="203"/>
      <c r="F52" s="202"/>
      <c r="G52" s="8"/>
    </row>
    <row r="53" spans="1:7" ht="16.5">
      <c r="A53" s="206"/>
      <c r="B53" s="201"/>
      <c r="C53" s="208"/>
      <c r="D53" s="202"/>
      <c r="E53" s="203"/>
      <c r="F53" s="202"/>
      <c r="G53" s="8"/>
    </row>
    <row r="54" spans="1:7" ht="16.5">
      <c r="A54" s="206"/>
      <c r="B54" s="201"/>
      <c r="C54" s="208"/>
      <c r="D54" s="202"/>
      <c r="E54" s="203"/>
      <c r="F54" s="202"/>
      <c r="G54" s="8"/>
    </row>
    <row r="55" spans="1:7" ht="16.5">
      <c r="A55" s="206"/>
      <c r="B55" s="201"/>
      <c r="C55" s="208"/>
      <c r="D55" s="202"/>
      <c r="E55" s="203"/>
      <c r="F55" s="202"/>
      <c r="G55" s="8"/>
    </row>
    <row r="56" spans="1:7" ht="16.5">
      <c r="A56" s="206"/>
      <c r="B56" s="201"/>
      <c r="C56" s="208"/>
      <c r="D56" s="202"/>
      <c r="E56" s="203"/>
      <c r="F56" s="202"/>
      <c r="G56" s="8"/>
    </row>
    <row r="57" spans="1:7" ht="16.5">
      <c r="A57" s="205"/>
      <c r="B57" s="201"/>
      <c r="C57" s="201"/>
      <c r="D57" s="298"/>
      <c r="E57" s="298"/>
      <c r="F57" s="298"/>
      <c r="G57" s="8"/>
    </row>
    <row r="58" spans="1:7" ht="13.5">
      <c r="A58" s="299"/>
      <c r="B58" s="300"/>
      <c r="C58" s="300"/>
      <c r="D58" s="300"/>
      <c r="E58" s="301"/>
      <c r="F58" s="301"/>
      <c r="G58" s="8"/>
    </row>
    <row r="59" spans="1:7">
      <c r="A59" s="8"/>
      <c r="B59" s="8"/>
      <c r="C59" s="8"/>
      <c r="D59" s="8"/>
      <c r="E59" s="8"/>
      <c r="F59" s="8"/>
      <c r="G59" s="8"/>
    </row>
  </sheetData>
  <mergeCells count="1">
    <mergeCell ref="A12:D12"/>
  </mergeCells>
  <pageMargins left="0.7" right="0.7" top="0.75" bottom="0.75" header="0.3" footer="0.3"/>
  <pageSetup paperSize="9" orientation="portrait" verticalDpi="0" r:id="rId1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0"/>
  <sheetViews>
    <sheetView showGridLines="0" workbookViewId="0"/>
  </sheetViews>
  <sheetFormatPr defaultRowHeight="12.75"/>
  <cols>
    <col min="1" max="1" width="46" style="109" customWidth="1"/>
    <col min="2" max="6" width="9.140625" style="109"/>
    <col min="7" max="7" width="9.140625" style="109" customWidth="1"/>
    <col min="8" max="14" width="9.140625" style="109"/>
    <col min="15" max="15" width="6.7109375" style="109" customWidth="1"/>
    <col min="16" max="16384" width="9.140625" style="109"/>
  </cols>
  <sheetData>
    <row r="1" spans="1:8">
      <c r="A1" s="20"/>
      <c r="B1" s="33" t="s">
        <v>221</v>
      </c>
      <c r="C1" s="33" t="s">
        <v>222</v>
      </c>
      <c r="D1" s="33" t="s">
        <v>223</v>
      </c>
      <c r="H1" s="128" t="s">
        <v>188</v>
      </c>
    </row>
    <row r="2" spans="1:8">
      <c r="A2" s="21" t="s">
        <v>144</v>
      </c>
      <c r="B2" s="127">
        <v>0.25551741949536561</v>
      </c>
      <c r="C2" s="127">
        <v>0.31645776139122894</v>
      </c>
      <c r="D2" s="127">
        <v>0.28534084012636729</v>
      </c>
    </row>
    <row r="3" spans="1:8">
      <c r="A3" s="21" t="s">
        <v>231</v>
      </c>
      <c r="B3" s="127">
        <v>0.19487827835106644</v>
      </c>
      <c r="C3" s="127">
        <v>0.11728468709114173</v>
      </c>
      <c r="D3" s="127">
        <v>4.6029570426448285E-2</v>
      </c>
    </row>
    <row r="4" spans="1:8">
      <c r="A4" s="21" t="s">
        <v>235</v>
      </c>
      <c r="B4" s="127">
        <v>-1.4488789528964243</v>
      </c>
      <c r="C4" s="127">
        <v>-0.83516682901029571</v>
      </c>
      <c r="D4" s="127">
        <v>-0.71811023391739204</v>
      </c>
    </row>
    <row r="5" spans="1:8">
      <c r="A5" s="21" t="s">
        <v>234</v>
      </c>
      <c r="B5" s="127">
        <v>-0.99848325504999225</v>
      </c>
      <c r="C5" s="127">
        <v>-0.40142438052792506</v>
      </c>
      <c r="D5" s="127">
        <v>-0.38673982336457646</v>
      </c>
    </row>
    <row r="6" spans="1:8">
      <c r="B6" s="127"/>
      <c r="C6" s="127"/>
      <c r="D6" s="127"/>
    </row>
    <row r="7" spans="1:8">
      <c r="B7" s="127"/>
      <c r="C7" s="127"/>
      <c r="D7" s="127"/>
    </row>
    <row r="8" spans="1:8">
      <c r="B8" s="6"/>
      <c r="C8" s="6"/>
      <c r="D8" s="6"/>
      <c r="E8" s="6"/>
      <c r="F8" s="6"/>
    </row>
    <row r="9" spans="1:8">
      <c r="B9" s="209"/>
      <c r="C9" s="209"/>
      <c r="D9" s="209"/>
      <c r="E9" s="209"/>
      <c r="F9" s="6"/>
    </row>
    <row r="10" spans="1:8" ht="14.25" customHeight="1">
      <c r="B10" s="6"/>
      <c r="C10" s="6"/>
      <c r="D10" s="6"/>
      <c r="E10" s="6"/>
      <c r="F10" s="6"/>
    </row>
    <row r="12" spans="1:8" ht="16.5">
      <c r="A12" s="1785"/>
      <c r="B12" s="1785"/>
      <c r="C12" s="1785"/>
      <c r="D12" s="8"/>
      <c r="E12" s="8"/>
      <c r="F12" s="8"/>
      <c r="G12" s="8"/>
      <c r="H12" s="8"/>
    </row>
    <row r="13" spans="1:8" ht="16.5">
      <c r="A13" s="283"/>
      <c r="B13" s="284"/>
      <c r="C13" s="284"/>
      <c r="D13" s="8"/>
      <c r="E13" s="8"/>
      <c r="F13" s="8"/>
      <c r="G13" s="8"/>
      <c r="H13" s="8"/>
    </row>
    <row r="14" spans="1:8" ht="16.5">
      <c r="A14" s="283"/>
      <c r="B14" s="285"/>
      <c r="C14" s="285"/>
      <c r="D14" s="8"/>
      <c r="E14" s="8"/>
      <c r="F14" s="8"/>
      <c r="G14" s="8"/>
      <c r="H14" s="8"/>
    </row>
    <row r="15" spans="1:8" ht="16.5">
      <c r="A15" s="283"/>
      <c r="B15" s="285"/>
      <c r="C15" s="285"/>
      <c r="D15" s="8"/>
      <c r="E15" s="8"/>
      <c r="F15" s="8"/>
      <c r="G15" s="8"/>
      <c r="H15" s="8"/>
    </row>
    <row r="16" spans="1:8" ht="16.5">
      <c r="A16" s="283"/>
      <c r="B16" s="245"/>
      <c r="C16" s="245"/>
      <c r="D16" s="8"/>
      <c r="E16" s="8"/>
      <c r="F16" s="8"/>
      <c r="G16" s="8"/>
      <c r="H16" s="8"/>
    </row>
    <row r="17" spans="1:8" ht="16.5">
      <c r="A17" s="286"/>
      <c r="B17" s="246"/>
      <c r="C17" s="246"/>
      <c r="D17" s="8"/>
      <c r="E17" s="8"/>
      <c r="F17" s="8"/>
      <c r="G17" s="8"/>
      <c r="H17" s="8"/>
    </row>
    <row r="18" spans="1:8" ht="13.5">
      <c r="A18" s="287"/>
      <c r="B18" s="287"/>
      <c r="C18" s="287"/>
      <c r="D18" s="8"/>
      <c r="E18" s="8"/>
      <c r="F18" s="8"/>
      <c r="G18" s="8"/>
      <c r="H18" s="8"/>
    </row>
    <row r="19" spans="1:8" ht="16.5">
      <c r="A19" s="204"/>
      <c r="B19" s="288"/>
      <c r="C19" s="288"/>
      <c r="D19" s="288"/>
      <c r="E19" s="288"/>
      <c r="F19" s="8"/>
      <c r="G19" s="8"/>
      <c r="H19" s="8"/>
    </row>
    <row r="20" spans="1:8" ht="16.5">
      <c r="A20" s="289"/>
      <c r="B20" s="290"/>
      <c r="C20" s="290"/>
      <c r="D20" s="289"/>
      <c r="E20" s="290"/>
      <c r="F20" s="8"/>
      <c r="G20" s="8"/>
      <c r="H20" s="8"/>
    </row>
    <row r="21" spans="1:8">
      <c r="A21" s="21"/>
      <c r="B21" s="127"/>
      <c r="F21" s="8"/>
      <c r="G21" s="8"/>
      <c r="H21" s="8"/>
    </row>
    <row r="22" spans="1:8">
      <c r="B22" s="127"/>
      <c r="F22" s="8"/>
      <c r="G22" s="8"/>
      <c r="H22" s="8"/>
    </row>
    <row r="23" spans="1:8">
      <c r="A23" s="21"/>
      <c r="B23" s="127"/>
      <c r="F23" s="8"/>
      <c r="G23" s="8"/>
      <c r="H23" s="8"/>
    </row>
    <row r="24" spans="1:8">
      <c r="B24" s="127"/>
      <c r="F24" s="8"/>
      <c r="G24" s="8"/>
      <c r="H24" s="8"/>
    </row>
    <row r="25" spans="1:8" ht="16.5">
      <c r="A25" s="292"/>
      <c r="B25" s="198"/>
      <c r="C25" s="294"/>
      <c r="D25" s="203"/>
      <c r="E25" s="202"/>
      <c r="F25" s="8"/>
      <c r="G25" s="8"/>
      <c r="H25" s="8"/>
    </row>
    <row r="26" spans="1:8" ht="16.5">
      <c r="A26" s="292"/>
      <c r="B26" s="198"/>
      <c r="C26" s="294"/>
      <c r="D26" s="203"/>
      <c r="E26" s="202"/>
      <c r="F26" s="8"/>
      <c r="G26" s="8"/>
      <c r="H26" s="8"/>
    </row>
    <row r="27" spans="1:8" ht="16.5">
      <c r="A27" s="292"/>
      <c r="B27" s="198"/>
      <c r="C27" s="294"/>
      <c r="D27" s="203"/>
      <c r="E27" s="202"/>
      <c r="F27" s="8"/>
      <c r="G27" s="8"/>
      <c r="H27" s="8"/>
    </row>
    <row r="28" spans="1:8" ht="16.5">
      <c r="A28" s="206"/>
      <c r="B28" s="198"/>
      <c r="C28" s="294"/>
      <c r="D28" s="203"/>
      <c r="E28" s="202"/>
      <c r="F28" s="8"/>
      <c r="G28" s="8"/>
      <c r="H28" s="8"/>
    </row>
    <row r="29" spans="1:8" ht="16.5">
      <c r="A29" s="292"/>
      <c r="B29" s="198"/>
      <c r="C29" s="294"/>
      <c r="D29" s="203"/>
      <c r="E29" s="202"/>
      <c r="F29" s="8"/>
      <c r="G29" s="8"/>
      <c r="H29" s="8"/>
    </row>
    <row r="30" spans="1:8" ht="16.5">
      <c r="A30" s="292"/>
      <c r="B30" s="198"/>
      <c r="C30" s="294"/>
      <c r="D30" s="203"/>
      <c r="E30" s="202"/>
      <c r="F30" s="8"/>
      <c r="G30" s="8"/>
      <c r="H30" s="8"/>
    </row>
    <row r="31" spans="1:8" ht="16.5">
      <c r="A31" s="292"/>
      <c r="B31" s="198"/>
      <c r="C31" s="294"/>
      <c r="D31" s="203"/>
      <c r="E31" s="202"/>
      <c r="F31" s="8"/>
      <c r="G31" s="8"/>
      <c r="H31" s="8"/>
    </row>
    <row r="32" spans="1:8" ht="16.5">
      <c r="A32" s="292"/>
      <c r="B32" s="198"/>
      <c r="C32" s="294"/>
      <c r="D32" s="203"/>
      <c r="E32" s="202"/>
      <c r="F32" s="8"/>
      <c r="G32" s="8"/>
      <c r="H32" s="8"/>
    </row>
    <row r="33" spans="1:8" ht="16.5">
      <c r="A33" s="292"/>
      <c r="B33" s="198"/>
      <c r="C33" s="294"/>
      <c r="D33" s="203"/>
      <c r="E33" s="202"/>
      <c r="F33" s="8"/>
      <c r="G33" s="8"/>
      <c r="H33" s="8"/>
    </row>
    <row r="34" spans="1:8" ht="16.5">
      <c r="A34" s="292"/>
      <c r="B34" s="198"/>
      <c r="C34" s="294"/>
      <c r="D34" s="203"/>
      <c r="E34" s="202"/>
      <c r="F34" s="8"/>
      <c r="G34" s="8"/>
      <c r="H34" s="8"/>
    </row>
    <row r="35" spans="1:8" ht="16.5">
      <c r="A35" s="292"/>
      <c r="B35" s="201"/>
      <c r="C35" s="294"/>
      <c r="D35" s="203"/>
      <c r="E35" s="202"/>
      <c r="F35" s="8"/>
      <c r="G35" s="8"/>
      <c r="H35" s="8"/>
    </row>
    <row r="36" spans="1:8" ht="16.5">
      <c r="A36" s="205"/>
      <c r="B36" s="295"/>
      <c r="C36" s="199"/>
      <c r="D36" s="200"/>
      <c r="E36" s="199"/>
      <c r="F36" s="8"/>
      <c r="G36" s="8"/>
      <c r="H36" s="8"/>
    </row>
    <row r="37" spans="1:8" ht="16.5">
      <c r="A37" s="205"/>
      <c r="B37" s="208"/>
      <c r="C37" s="199"/>
      <c r="D37" s="296"/>
      <c r="E37" s="199"/>
      <c r="F37" s="8"/>
      <c r="G37" s="8"/>
      <c r="H37" s="8"/>
    </row>
    <row r="38" spans="1:8" ht="16.5">
      <c r="A38" s="297"/>
      <c r="B38" s="295"/>
      <c r="C38" s="290"/>
      <c r="D38" s="289"/>
      <c r="E38" s="290"/>
      <c r="F38" s="8"/>
      <c r="G38" s="8"/>
      <c r="H38" s="8"/>
    </row>
    <row r="39" spans="1:8" ht="16.5">
      <c r="A39" s="205"/>
      <c r="B39" s="208"/>
      <c r="C39" s="199"/>
      <c r="D39" s="200"/>
      <c r="E39" s="199"/>
      <c r="F39" s="8"/>
      <c r="G39" s="8"/>
      <c r="H39" s="8"/>
    </row>
    <row r="40" spans="1:8" ht="16.5">
      <c r="A40" s="206"/>
      <c r="B40" s="208"/>
      <c r="C40" s="202"/>
      <c r="D40" s="203"/>
      <c r="E40" s="202"/>
      <c r="F40" s="8"/>
      <c r="G40" s="8"/>
      <c r="H40" s="8"/>
    </row>
    <row r="41" spans="1:8" ht="16.5">
      <c r="A41" s="205"/>
      <c r="B41" s="208"/>
      <c r="C41" s="199"/>
      <c r="D41" s="200"/>
      <c r="E41" s="199"/>
      <c r="F41" s="8"/>
      <c r="G41" s="8"/>
      <c r="H41" s="8"/>
    </row>
    <row r="42" spans="1:8" ht="16.5">
      <c r="A42" s="206"/>
      <c r="B42" s="208"/>
      <c r="C42" s="202"/>
      <c r="D42" s="203"/>
      <c r="E42" s="202"/>
      <c r="F42" s="8"/>
      <c r="G42" s="8"/>
      <c r="H42" s="8"/>
    </row>
    <row r="43" spans="1:8" ht="16.5">
      <c r="A43" s="205"/>
      <c r="B43" s="208"/>
      <c r="C43" s="199"/>
      <c r="D43" s="200"/>
      <c r="E43" s="199"/>
      <c r="F43" s="8"/>
      <c r="G43" s="8"/>
      <c r="H43" s="8"/>
    </row>
    <row r="44" spans="1:8" ht="16.5">
      <c r="A44" s="206"/>
      <c r="B44" s="208"/>
      <c r="C44" s="202"/>
      <c r="D44" s="203"/>
      <c r="E44" s="202"/>
      <c r="F44" s="8"/>
      <c r="G44" s="8"/>
      <c r="H44" s="8"/>
    </row>
    <row r="45" spans="1:8" ht="16.5">
      <c r="A45" s="205"/>
      <c r="B45" s="207"/>
      <c r="C45" s="199"/>
      <c r="D45" s="200"/>
      <c r="E45" s="199"/>
      <c r="F45" s="8"/>
      <c r="G45" s="8"/>
      <c r="H45" s="8"/>
    </row>
    <row r="46" spans="1:8" ht="16.5">
      <c r="A46" s="206"/>
      <c r="B46" s="208"/>
      <c r="C46" s="202"/>
      <c r="D46" s="203"/>
      <c r="E46" s="202"/>
      <c r="F46" s="8"/>
      <c r="G46" s="8"/>
      <c r="H46" s="8"/>
    </row>
    <row r="47" spans="1:8" ht="16.5">
      <c r="A47" s="206"/>
      <c r="B47" s="208"/>
      <c r="C47" s="202"/>
      <c r="D47" s="203"/>
      <c r="E47" s="202"/>
      <c r="F47" s="8"/>
      <c r="G47" s="8"/>
      <c r="H47" s="8"/>
    </row>
    <row r="48" spans="1:8" ht="16.5">
      <c r="A48" s="205"/>
      <c r="B48" s="208"/>
      <c r="C48" s="199"/>
      <c r="D48" s="200"/>
      <c r="E48" s="199"/>
      <c r="F48" s="8"/>
      <c r="G48" s="8"/>
      <c r="H48" s="8"/>
    </row>
    <row r="49" spans="1:8" ht="16.5">
      <c r="A49" s="205"/>
      <c r="B49" s="207"/>
      <c r="C49" s="199"/>
      <c r="D49" s="200"/>
      <c r="E49" s="199"/>
      <c r="F49" s="8"/>
      <c r="G49" s="8"/>
      <c r="H49" s="8"/>
    </row>
    <row r="50" spans="1:8" ht="16.5">
      <c r="A50" s="206"/>
      <c r="B50" s="208"/>
      <c r="C50" s="202"/>
      <c r="D50" s="203"/>
      <c r="E50" s="202"/>
      <c r="F50" s="8"/>
      <c r="G50" s="8"/>
      <c r="H50" s="8"/>
    </row>
    <row r="51" spans="1:8" ht="16.5">
      <c r="A51" s="205"/>
      <c r="B51" s="207"/>
      <c r="C51" s="199"/>
      <c r="D51" s="200"/>
      <c r="E51" s="199"/>
      <c r="F51" s="8"/>
      <c r="G51" s="8"/>
      <c r="H51" s="8"/>
    </row>
    <row r="52" spans="1:8" ht="16.5">
      <c r="A52" s="206"/>
      <c r="B52" s="208"/>
      <c r="C52" s="202"/>
      <c r="D52" s="203"/>
      <c r="E52" s="202"/>
      <c r="F52" s="8"/>
      <c r="G52" s="8"/>
      <c r="H52" s="8"/>
    </row>
    <row r="53" spans="1:8" ht="16.5">
      <c r="A53" s="206"/>
      <c r="B53" s="208"/>
      <c r="C53" s="202"/>
      <c r="D53" s="203"/>
      <c r="E53" s="202"/>
      <c r="F53" s="8"/>
      <c r="G53" s="8"/>
      <c r="H53" s="8"/>
    </row>
    <row r="54" spans="1:8" ht="16.5">
      <c r="A54" s="206"/>
      <c r="B54" s="208"/>
      <c r="C54" s="202"/>
      <c r="D54" s="203"/>
      <c r="E54" s="202"/>
      <c r="F54" s="8"/>
      <c r="G54" s="8"/>
      <c r="H54" s="8"/>
    </row>
    <row r="55" spans="1:8" ht="16.5">
      <c r="A55" s="206"/>
      <c r="B55" s="208"/>
      <c r="C55" s="202"/>
      <c r="D55" s="203"/>
      <c r="E55" s="202"/>
      <c r="F55" s="8"/>
      <c r="G55" s="8"/>
      <c r="H55" s="8"/>
    </row>
    <row r="56" spans="1:8" ht="16.5">
      <c r="A56" s="206"/>
      <c r="B56" s="208"/>
      <c r="C56" s="202"/>
      <c r="D56" s="203"/>
      <c r="E56" s="202"/>
      <c r="F56" s="8"/>
      <c r="G56" s="8"/>
      <c r="H56" s="8"/>
    </row>
    <row r="57" spans="1:8" ht="16.5">
      <c r="A57" s="205"/>
      <c r="B57" s="201"/>
      <c r="C57" s="298"/>
      <c r="D57" s="298"/>
      <c r="E57" s="298"/>
      <c r="F57" s="8"/>
      <c r="G57" s="8"/>
      <c r="H57" s="8"/>
    </row>
    <row r="58" spans="1:8" ht="13.5">
      <c r="A58" s="299"/>
      <c r="B58" s="300"/>
      <c r="C58" s="300"/>
      <c r="D58" s="301"/>
      <c r="E58" s="301"/>
      <c r="F58" s="8"/>
      <c r="G58" s="8"/>
      <c r="H58" s="8"/>
    </row>
    <row r="59" spans="1:8">
      <c r="A59" s="8"/>
      <c r="B59" s="8"/>
      <c r="C59" s="8"/>
      <c r="D59" s="8"/>
      <c r="E59" s="8"/>
      <c r="F59" s="8"/>
      <c r="G59" s="8"/>
      <c r="H59" s="8"/>
    </row>
    <row r="60" spans="1:8">
      <c r="A60" s="8"/>
      <c r="B60" s="8"/>
      <c r="C60" s="8"/>
      <c r="D60" s="8"/>
      <c r="E60" s="8"/>
      <c r="F60" s="8"/>
      <c r="G60" s="8"/>
      <c r="H60" s="8"/>
    </row>
  </sheetData>
  <mergeCells count="1">
    <mergeCell ref="A12:C12"/>
  </mergeCells>
  <pageMargins left="0.7" right="0.7" top="0.75" bottom="0.75" header="0.3" footer="0.3"/>
  <pageSetup paperSize="9" orientation="portrait" verticalDpi="0" r:id="rId1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pageSetUpPr fitToPage="1"/>
  </sheetPr>
  <dimension ref="A1:N24"/>
  <sheetViews>
    <sheetView showGridLines="0" topLeftCell="F1" zoomScaleNormal="100" workbookViewId="0"/>
  </sheetViews>
  <sheetFormatPr defaultRowHeight="15"/>
  <cols>
    <col min="1" max="1" width="28.85546875" style="188" customWidth="1"/>
    <col min="2" max="2" width="9.85546875" style="188" bestFit="1" customWidth="1"/>
    <col min="3" max="4" width="10.28515625" style="188" bestFit="1" customWidth="1"/>
    <col min="5" max="16384" width="9.140625" style="188"/>
  </cols>
  <sheetData>
    <row r="1" spans="1:14">
      <c r="A1" s="279"/>
      <c r="B1" s="1786">
        <v>2017</v>
      </c>
      <c r="C1" s="1786"/>
      <c r="D1" s="279"/>
      <c r="E1" s="279"/>
      <c r="F1" s="280">
        <v>2018</v>
      </c>
      <c r="G1" s="280"/>
      <c r="H1" s="280">
        <v>2019</v>
      </c>
      <c r="I1" s="280"/>
      <c r="J1" s="279"/>
    </row>
    <row r="2" spans="1:14">
      <c r="A2" s="187" t="s">
        <v>134</v>
      </c>
      <c r="B2" s="276">
        <v>0.25551741949536561</v>
      </c>
      <c r="C2" s="276">
        <v>0</v>
      </c>
      <c r="D2" s="276">
        <v>0.25551741949536561</v>
      </c>
      <c r="E2" s="276">
        <v>0.31645776139122894</v>
      </c>
      <c r="F2" s="276">
        <v>0</v>
      </c>
      <c r="G2" s="276">
        <v>0.31645776139122894</v>
      </c>
      <c r="H2" s="276">
        <v>0.28534084012636735</v>
      </c>
      <c r="I2" s="276">
        <v>0</v>
      </c>
      <c r="J2" s="277">
        <v>0.28534084012636735</v>
      </c>
      <c r="N2" s="128" t="s">
        <v>189</v>
      </c>
    </row>
    <row r="3" spans="1:14">
      <c r="A3" s="187" t="s">
        <v>137</v>
      </c>
      <c r="B3" s="276">
        <v>0</v>
      </c>
      <c r="C3" s="276">
        <v>0.19487827835106644</v>
      </c>
      <c r="D3" s="276">
        <v>0.19487827835106644</v>
      </c>
      <c r="E3" s="276">
        <v>0</v>
      </c>
      <c r="F3" s="276">
        <v>0.11728468709114173</v>
      </c>
      <c r="G3" s="276">
        <v>0.11728468709114173</v>
      </c>
      <c r="H3" s="276">
        <v>0</v>
      </c>
      <c r="I3" s="276">
        <v>4.6029570426448285E-2</v>
      </c>
      <c r="J3" s="277">
        <v>4.6029570426448285E-2</v>
      </c>
    </row>
    <row r="4" spans="1:14">
      <c r="A4" s="187" t="s">
        <v>138</v>
      </c>
      <c r="B4" s="276">
        <v>-0.11608333264080199</v>
      </c>
      <c r="C4" s="276">
        <v>6.7785229785350343E-2</v>
      </c>
      <c r="D4" s="276">
        <v>-4.8298102855451643E-2</v>
      </c>
      <c r="E4" s="276">
        <v>-0.11014299871171102</v>
      </c>
      <c r="F4" s="276">
        <v>0.1851073845955265</v>
      </c>
      <c r="G4" s="276">
        <v>7.4964385883815488E-2</v>
      </c>
      <c r="H4" s="276">
        <v>-0.10348712663131668</v>
      </c>
      <c r="I4" s="276">
        <v>0.26211432212861896</v>
      </c>
      <c r="J4" s="277">
        <v>0.15862719549730225</v>
      </c>
    </row>
    <row r="5" spans="1:14">
      <c r="A5" s="189" t="s">
        <v>136</v>
      </c>
      <c r="B5" s="276">
        <v>-0.3753179879660517</v>
      </c>
      <c r="C5" s="276">
        <v>-0.18665208477450507</v>
      </c>
      <c r="D5" s="276">
        <v>-0.56197007274055677</v>
      </c>
      <c r="E5" s="276">
        <v>-0.26229091766368018</v>
      </c>
      <c r="F5" s="276">
        <v>-6.594847208671889E-2</v>
      </c>
      <c r="G5" s="276">
        <v>-0.32823938975039907</v>
      </c>
      <c r="H5" s="276">
        <v>-0.24431802975964975</v>
      </c>
      <c r="I5" s="276">
        <v>-3.9119984068618524E-2</v>
      </c>
      <c r="J5" s="277">
        <v>-0.28343801382826828</v>
      </c>
    </row>
    <row r="6" spans="1:14">
      <c r="A6" s="189" t="s">
        <v>146</v>
      </c>
      <c r="B6" s="276">
        <v>-0.24759372109897082</v>
      </c>
      <c r="C6" s="276">
        <v>-0.1611358002831299</v>
      </c>
      <c r="D6" s="276">
        <v>-0.40872952138210067</v>
      </c>
      <c r="E6" s="276">
        <v>-0.2301432923902248</v>
      </c>
      <c r="F6" s="276">
        <v>-0.23830327170006455</v>
      </c>
      <c r="G6" s="276">
        <v>-0.4684465640902894</v>
      </c>
      <c r="H6" s="276">
        <v>-0.21596112697777248</v>
      </c>
      <c r="I6" s="276">
        <v>-0.53134152889500386</v>
      </c>
      <c r="J6" s="277">
        <v>-0.74730265587277622</v>
      </c>
    </row>
    <row r="7" spans="1:14">
      <c r="A7" s="187" t="s">
        <v>135</v>
      </c>
      <c r="B7" s="276">
        <v>-0.47859394176445669</v>
      </c>
      <c r="C7" s="276">
        <v>4.87126858461416E-2</v>
      </c>
      <c r="D7" s="276">
        <v>-0.42988125591831511</v>
      </c>
      <c r="E7" s="276">
        <v>-0.38340481840825469</v>
      </c>
      <c r="F7" s="276">
        <v>0.2699595573548319</v>
      </c>
      <c r="G7" s="276">
        <v>-0.11344526105342281</v>
      </c>
      <c r="H7" s="276">
        <v>-2.3693305182968583E-2</v>
      </c>
      <c r="I7" s="276">
        <v>0.17769654546931885</v>
      </c>
      <c r="J7" s="277">
        <v>0.15400324028635026</v>
      </c>
    </row>
    <row r="8" spans="1:14">
      <c r="B8" s="278"/>
      <c r="C8" s="278"/>
      <c r="D8" s="278"/>
      <c r="E8" s="278"/>
      <c r="F8" s="278"/>
      <c r="G8" s="278"/>
      <c r="H8" s="276"/>
      <c r="I8" s="276"/>
      <c r="J8" s="278"/>
    </row>
    <row r="24" ht="17.25" customHeight="1"/>
  </sheetData>
  <mergeCells count="1">
    <mergeCell ref="B1:C1"/>
  </mergeCells>
  <pageMargins left="0.7" right="0.7" top="0.75" bottom="0.75" header="0.3" footer="0.3"/>
  <pageSetup paperSize="9" scale="26" orientation="landscape" r:id="rId1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U11"/>
  <sheetViews>
    <sheetView showGridLines="0" zoomScaleNormal="100" workbookViewId="0">
      <selection activeCell="A9" sqref="A9"/>
    </sheetView>
  </sheetViews>
  <sheetFormatPr defaultRowHeight="15"/>
  <cols>
    <col min="1" max="1" width="21.85546875" style="701" bestFit="1" customWidth="1"/>
    <col min="2" max="2" width="8.5703125" style="700" bestFit="1" customWidth="1"/>
    <col min="3" max="3" width="12.5703125" style="700" bestFit="1" customWidth="1"/>
    <col min="4" max="4" width="9.7109375" style="700" bestFit="1" customWidth="1"/>
    <col min="5" max="5" width="5" style="700" bestFit="1" customWidth="1"/>
    <col min="6" max="6" width="10.140625" style="700" bestFit="1" customWidth="1"/>
    <col min="7" max="7" width="7.85546875" style="700" customWidth="1"/>
    <col min="8" max="8" width="7.42578125" style="700" bestFit="1" customWidth="1"/>
    <col min="9" max="9" width="6.42578125" style="700" bestFit="1" customWidth="1"/>
    <col min="10" max="10" width="8.85546875" style="700" bestFit="1" customWidth="1"/>
    <col min="11" max="11" width="9.7109375" style="700" bestFit="1" customWidth="1"/>
    <col min="12" max="12" width="8" style="700" bestFit="1" customWidth="1"/>
    <col min="13" max="13" width="5.7109375" style="700" bestFit="1" customWidth="1"/>
    <col min="14" max="14" width="9.5703125" style="700" bestFit="1" customWidth="1"/>
    <col min="15" max="15" width="7.7109375" style="700" bestFit="1" customWidth="1"/>
    <col min="16" max="16" width="9.140625" style="700"/>
    <col min="17" max="17" width="9" style="700" bestFit="1" customWidth="1"/>
    <col min="18" max="18" width="10.7109375" style="700" customWidth="1"/>
    <col min="19" max="19" width="2.28515625" style="700" bestFit="1" customWidth="1"/>
    <col min="20" max="20" width="13.42578125" style="700" customWidth="1"/>
    <col min="21" max="56" width="9.140625" style="701"/>
    <col min="57" max="57" width="12.140625" style="701" customWidth="1"/>
    <col min="58" max="61" width="7.140625" style="701" customWidth="1"/>
    <col min="62" max="71" width="7.5703125" style="701" customWidth="1"/>
    <col min="72" max="16384" width="9.140625" style="701"/>
  </cols>
  <sheetData>
    <row r="2" spans="1:21">
      <c r="A2" s="702"/>
      <c r="B2" s="703" t="s">
        <v>675</v>
      </c>
      <c r="C2" s="703" t="s">
        <v>676</v>
      </c>
      <c r="D2" s="703" t="s">
        <v>677</v>
      </c>
      <c r="E2" s="703" t="s">
        <v>678</v>
      </c>
      <c r="F2" s="703" t="s">
        <v>679</v>
      </c>
      <c r="G2" s="703" t="s">
        <v>680</v>
      </c>
      <c r="H2" s="703" t="s">
        <v>681</v>
      </c>
      <c r="I2" s="703" t="s">
        <v>682</v>
      </c>
      <c r="J2" s="703" t="s">
        <v>683</v>
      </c>
      <c r="K2" s="703" t="s">
        <v>684</v>
      </c>
      <c r="L2" s="703" t="s">
        <v>685</v>
      </c>
      <c r="M2" s="703" t="s">
        <v>686</v>
      </c>
      <c r="N2" s="703" t="s">
        <v>687</v>
      </c>
      <c r="O2" s="703" t="s">
        <v>688</v>
      </c>
      <c r="P2" s="703" t="s">
        <v>689</v>
      </c>
      <c r="Q2" s="703" t="s">
        <v>690</v>
      </c>
      <c r="R2" s="703" t="s">
        <v>691</v>
      </c>
      <c r="S2" s="703" t="s">
        <v>692</v>
      </c>
      <c r="T2" s="703" t="s">
        <v>693</v>
      </c>
      <c r="U2" s="704"/>
    </row>
    <row r="3" spans="1:21">
      <c r="A3" s="705" t="s">
        <v>694</v>
      </c>
      <c r="B3" s="706">
        <v>10.518674113356111</v>
      </c>
      <c r="C3" s="706">
        <v>8.984545966014128</v>
      </c>
      <c r="D3" s="706">
        <v>0.12615898286815624</v>
      </c>
      <c r="E3" s="706">
        <v>2.328791180438945</v>
      </c>
      <c r="F3" s="706">
        <v>4.5029838240720093</v>
      </c>
      <c r="G3" s="706">
        <v>2.8846385810289119</v>
      </c>
      <c r="H3" s="706">
        <v>2.0491677934272823</v>
      </c>
      <c r="I3" s="706">
        <v>2.0940598651681799</v>
      </c>
      <c r="J3" s="706">
        <v>-0.4960057373380794</v>
      </c>
      <c r="K3" s="706">
        <v>1.1281537117949898</v>
      </c>
      <c r="L3" s="706">
        <v>0.92053051205283631</v>
      </c>
      <c r="M3" s="706">
        <v>0.47654511529033156</v>
      </c>
      <c r="N3" s="706">
        <v>0.42905552485382337</v>
      </c>
      <c r="O3" s="706">
        <v>0.70490760488284865</v>
      </c>
      <c r="P3" s="706">
        <v>0.31403360057040031</v>
      </c>
      <c r="Q3" s="706">
        <v>0.30015995101763815</v>
      </c>
      <c r="R3" s="706">
        <v>-0.11652344254078487</v>
      </c>
      <c r="S3" s="706"/>
      <c r="T3" s="706">
        <v>-1.5754347635266233</v>
      </c>
      <c r="U3" s="704"/>
    </row>
    <row r="4" spans="1:21">
      <c r="A4" s="707" t="s">
        <v>695</v>
      </c>
      <c r="B4" s="708">
        <v>1.3738969608058971</v>
      </c>
      <c r="C4" s="708">
        <v>1.3560690583634636</v>
      </c>
      <c r="D4" s="708">
        <v>1.0424094624149884</v>
      </c>
      <c r="E4" s="708">
        <v>0.95338775411997778</v>
      </c>
      <c r="F4" s="708">
        <v>0.77634747974443874</v>
      </c>
      <c r="G4" s="708">
        <v>0.57784658124200727</v>
      </c>
      <c r="H4" s="708">
        <v>0.47901201136206667</v>
      </c>
      <c r="I4" s="708">
        <v>0.36287087895491832</v>
      </c>
      <c r="J4" s="708">
        <v>0.34908409617305497</v>
      </c>
      <c r="K4" s="708">
        <v>0.2792434537916631</v>
      </c>
      <c r="L4" s="708">
        <v>0.15162161955149644</v>
      </c>
      <c r="M4" s="708">
        <v>0.14909081162961935</v>
      </c>
      <c r="N4" s="708">
        <v>0.14173427588069298</v>
      </c>
      <c r="O4" s="708">
        <v>0.11265843483224647</v>
      </c>
      <c r="P4" s="708">
        <v>6.5884890657469553E-2</v>
      </c>
      <c r="Q4" s="708">
        <v>6.1094403001354054E-2</v>
      </c>
      <c r="R4" s="708">
        <v>5.9643521746553012E-2</v>
      </c>
      <c r="S4" s="708"/>
      <c r="T4" s="708">
        <v>-5.6150685414315303E-2</v>
      </c>
      <c r="U4" s="704"/>
    </row>
    <row r="5" spans="1:21">
      <c r="A5" s="704"/>
      <c r="B5" s="709"/>
      <c r="C5" s="709"/>
      <c r="D5" s="709"/>
      <c r="E5" s="709"/>
      <c r="F5" s="709"/>
      <c r="G5" s="709"/>
      <c r="H5" s="709"/>
      <c r="I5" s="709"/>
      <c r="J5" s="709"/>
      <c r="K5" s="709"/>
      <c r="L5" s="709"/>
      <c r="M5" s="709"/>
      <c r="N5" s="709"/>
      <c r="O5" s="709"/>
      <c r="P5" s="709"/>
      <c r="Q5" s="709"/>
      <c r="R5" s="709"/>
      <c r="S5" s="709"/>
      <c r="T5" s="604" t="s">
        <v>696</v>
      </c>
      <c r="U5" s="704"/>
    </row>
    <row r="9" spans="1:21">
      <c r="A9" s="744" t="s">
        <v>674</v>
      </c>
      <c r="B9" s="744"/>
      <c r="C9" s="744"/>
      <c r="D9" s="744"/>
      <c r="E9" s="744"/>
      <c r="F9" s="744"/>
      <c r="G9" s="744"/>
      <c r="H9" s="744"/>
      <c r="I9" s="744"/>
      <c r="J9" s="188"/>
      <c r="K9" s="188"/>
      <c r="L9" s="188"/>
    </row>
    <row r="10" spans="1:21">
      <c r="J10" s="188"/>
      <c r="K10" s="188"/>
      <c r="L10" s="188"/>
    </row>
    <row r="11" spans="1:21">
      <c r="J11" s="188"/>
      <c r="K11" s="188"/>
      <c r="L11" s="188"/>
    </row>
  </sheetData>
  <pageMargins left="0.75" right="0.75" top="1" bottom="1" header="0.5" footer="0.5"/>
  <pageSetup paperSize="9" firstPageNumber="0" fitToWidth="0" fitToHeight="0" pageOrder="overThenDown" orientation="portrait" horizontalDpi="300" verticalDpi="300" r:id="rId1"/>
  <headerFooter alignWithMargins="0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4"/>
  <sheetViews>
    <sheetView showGridLines="0" workbookViewId="0"/>
  </sheetViews>
  <sheetFormatPr defaultRowHeight="12.75"/>
  <cols>
    <col min="1" max="1" width="30.42578125" style="711" customWidth="1"/>
    <col min="2" max="2" width="12.7109375" style="711" bestFit="1" customWidth="1"/>
    <col min="3" max="3" width="12" style="711" bestFit="1" customWidth="1"/>
    <col min="4" max="4" width="12.7109375" style="711" bestFit="1" customWidth="1"/>
    <col min="5" max="5" width="12" style="711" bestFit="1" customWidth="1"/>
    <col min="6" max="16384" width="9.140625" style="711"/>
  </cols>
  <sheetData>
    <row r="1" spans="1:20" s="701" customFormat="1" ht="15">
      <c r="K1" s="700"/>
      <c r="L1" s="700"/>
      <c r="M1" s="700"/>
      <c r="N1" s="700"/>
      <c r="O1" s="700"/>
      <c r="P1" s="700"/>
      <c r="Q1" s="700"/>
      <c r="R1" s="700"/>
      <c r="S1" s="700"/>
      <c r="T1" s="700"/>
    </row>
    <row r="2" spans="1:20">
      <c r="A2" s="710"/>
      <c r="B2" s="710" t="s">
        <v>698</v>
      </c>
      <c r="C2" s="710" t="s">
        <v>699</v>
      </c>
      <c r="D2" s="710" t="s">
        <v>700</v>
      </c>
      <c r="E2" s="710" t="s">
        <v>701</v>
      </c>
    </row>
    <row r="3" spans="1:20">
      <c r="A3" s="712" t="s">
        <v>702</v>
      </c>
      <c r="B3" s="713">
        <v>-2.2780288375755298E-2</v>
      </c>
      <c r="C3" s="713">
        <v>3.4196409014767171E-2</v>
      </c>
      <c r="D3" s="713">
        <v>-6.3903317494953482E-2</v>
      </c>
      <c r="E3" s="713">
        <v>2.1560169361527493E-2</v>
      </c>
    </row>
    <row r="4" spans="1:20">
      <c r="A4" s="714" t="s">
        <v>703</v>
      </c>
      <c r="B4" s="715">
        <v>-4.1334290866905876E-2</v>
      </c>
      <c r="C4" s="715">
        <v>6.3256427667771564E-2</v>
      </c>
      <c r="D4" s="715">
        <v>-0.12266735323556655</v>
      </c>
      <c r="E4" s="715">
        <v>4.1816738027096512E-2</v>
      </c>
    </row>
    <row r="5" spans="1:20">
      <c r="E5" s="716" t="s">
        <v>704</v>
      </c>
    </row>
    <row r="6" spans="1:20">
      <c r="A6" s="717" t="s">
        <v>705</v>
      </c>
    </row>
    <row r="10" spans="1:20" ht="15">
      <c r="H10" s="758"/>
      <c r="I10" s="758"/>
      <c r="J10" s="725"/>
      <c r="K10" s="725"/>
    </row>
    <row r="11" spans="1:20">
      <c r="A11" s="744" t="s">
        <v>697</v>
      </c>
      <c r="B11" s="744"/>
      <c r="C11" s="744"/>
      <c r="D11" s="744"/>
      <c r="E11" s="744"/>
      <c r="F11" s="744"/>
      <c r="G11" s="744"/>
      <c r="H11" s="744"/>
      <c r="I11" s="744"/>
      <c r="J11" s="744"/>
      <c r="K11" s="725"/>
    </row>
    <row r="12" spans="1:20" ht="15">
      <c r="H12" s="758"/>
      <c r="I12" s="758"/>
      <c r="J12" s="725"/>
      <c r="K12" s="725"/>
    </row>
    <row r="13" spans="1:20">
      <c r="H13" s="740"/>
      <c r="I13" s="740"/>
      <c r="J13" s="725"/>
      <c r="K13" s="725"/>
    </row>
    <row r="14" spans="1:20">
      <c r="H14" s="740"/>
      <c r="I14" s="740"/>
      <c r="J14" s="725"/>
      <c r="K14" s="725"/>
    </row>
  </sheetData>
  <pageMargins left="0.7" right="0.7" top="0.75" bottom="0.75" header="0.3" footer="0.3"/>
  <pageSetup paperSize="9" orientation="portrait" verticalDpi="0" r:id="rId1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Q22"/>
  <sheetViews>
    <sheetView showGridLines="0" zoomScaleNormal="100" workbookViewId="0"/>
  </sheetViews>
  <sheetFormatPr defaultRowHeight="12"/>
  <cols>
    <col min="1" max="1" width="54.140625" style="647" bestFit="1" customWidth="1"/>
    <col min="2" max="6" width="7.28515625" style="647" customWidth="1"/>
    <col min="7" max="239" width="9.140625" style="647"/>
    <col min="240" max="240" width="18.140625" style="647" bestFit="1" customWidth="1"/>
    <col min="241" max="495" width="9.140625" style="647"/>
    <col min="496" max="496" width="18.140625" style="647" bestFit="1" customWidth="1"/>
    <col min="497" max="751" width="9.140625" style="647"/>
    <col min="752" max="752" width="18.140625" style="647" bestFit="1" customWidth="1"/>
    <col min="753" max="1007" width="9.140625" style="647"/>
    <col min="1008" max="1008" width="18.140625" style="647" bestFit="1" customWidth="1"/>
    <col min="1009" max="1263" width="9.140625" style="647"/>
    <col min="1264" max="1264" width="18.140625" style="647" bestFit="1" customWidth="1"/>
    <col min="1265" max="1519" width="9.140625" style="647"/>
    <col min="1520" max="1520" width="18.140625" style="647" bestFit="1" customWidth="1"/>
    <col min="1521" max="1775" width="9.140625" style="647"/>
    <col min="1776" max="1776" width="18.140625" style="647" bestFit="1" customWidth="1"/>
    <col min="1777" max="2031" width="9.140625" style="647"/>
    <col min="2032" max="2032" width="18.140625" style="647" bestFit="1" customWidth="1"/>
    <col min="2033" max="2287" width="9.140625" style="647"/>
    <col min="2288" max="2288" width="18.140625" style="647" bestFit="1" customWidth="1"/>
    <col min="2289" max="2543" width="9.140625" style="647"/>
    <col min="2544" max="2544" width="18.140625" style="647" bestFit="1" customWidth="1"/>
    <col min="2545" max="2799" width="9.140625" style="647"/>
    <col min="2800" max="2800" width="18.140625" style="647" bestFit="1" customWidth="1"/>
    <col min="2801" max="3055" width="9.140625" style="647"/>
    <col min="3056" max="3056" width="18.140625" style="647" bestFit="1" customWidth="1"/>
    <col min="3057" max="3311" width="9.140625" style="647"/>
    <col min="3312" max="3312" width="18.140625" style="647" bestFit="1" customWidth="1"/>
    <col min="3313" max="3567" width="9.140625" style="647"/>
    <col min="3568" max="3568" width="18.140625" style="647" bestFit="1" customWidth="1"/>
    <col min="3569" max="3823" width="9.140625" style="647"/>
    <col min="3824" max="3824" width="18.140625" style="647" bestFit="1" customWidth="1"/>
    <col min="3825" max="4079" width="9.140625" style="647"/>
    <col min="4080" max="4080" width="18.140625" style="647" bestFit="1" customWidth="1"/>
    <col min="4081" max="4335" width="9.140625" style="647"/>
    <col min="4336" max="4336" width="18.140625" style="647" bestFit="1" customWidth="1"/>
    <col min="4337" max="4591" width="9.140625" style="647"/>
    <col min="4592" max="4592" width="18.140625" style="647" bestFit="1" customWidth="1"/>
    <col min="4593" max="4847" width="9.140625" style="647"/>
    <col min="4848" max="4848" width="18.140625" style="647" bestFit="1" customWidth="1"/>
    <col min="4849" max="5103" width="9.140625" style="647"/>
    <col min="5104" max="5104" width="18.140625" style="647" bestFit="1" customWidth="1"/>
    <col min="5105" max="5359" width="9.140625" style="647"/>
    <col min="5360" max="5360" width="18.140625" style="647" bestFit="1" customWidth="1"/>
    <col min="5361" max="5615" width="9.140625" style="647"/>
    <col min="5616" max="5616" width="18.140625" style="647" bestFit="1" customWidth="1"/>
    <col min="5617" max="5871" width="9.140625" style="647"/>
    <col min="5872" max="5872" width="18.140625" style="647" bestFit="1" customWidth="1"/>
    <col min="5873" max="6127" width="9.140625" style="647"/>
    <col min="6128" max="6128" width="18.140625" style="647" bestFit="1" customWidth="1"/>
    <col min="6129" max="6383" width="9.140625" style="647"/>
    <col min="6384" max="6384" width="18.140625" style="647" bestFit="1" customWidth="1"/>
    <col min="6385" max="6639" width="9.140625" style="647"/>
    <col min="6640" max="6640" width="18.140625" style="647" bestFit="1" customWidth="1"/>
    <col min="6641" max="6895" width="9.140625" style="647"/>
    <col min="6896" max="6896" width="18.140625" style="647" bestFit="1" customWidth="1"/>
    <col min="6897" max="7151" width="9.140625" style="647"/>
    <col min="7152" max="7152" width="18.140625" style="647" bestFit="1" customWidth="1"/>
    <col min="7153" max="7407" width="9.140625" style="647"/>
    <col min="7408" max="7408" width="18.140625" style="647" bestFit="1" customWidth="1"/>
    <col min="7409" max="7663" width="9.140625" style="647"/>
    <col min="7664" max="7664" width="18.140625" style="647" bestFit="1" customWidth="1"/>
    <col min="7665" max="7919" width="9.140625" style="647"/>
    <col min="7920" max="7920" width="18.140625" style="647" bestFit="1" customWidth="1"/>
    <col min="7921" max="8175" width="9.140625" style="647"/>
    <col min="8176" max="8176" width="18.140625" style="647" bestFit="1" customWidth="1"/>
    <col min="8177" max="8431" width="9.140625" style="647"/>
    <col min="8432" max="8432" width="18.140625" style="647" bestFit="1" customWidth="1"/>
    <col min="8433" max="8687" width="9.140625" style="647"/>
    <col min="8688" max="8688" width="18.140625" style="647" bestFit="1" customWidth="1"/>
    <col min="8689" max="8943" width="9.140625" style="647"/>
    <col min="8944" max="8944" width="18.140625" style="647" bestFit="1" customWidth="1"/>
    <col min="8945" max="9199" width="9.140625" style="647"/>
    <col min="9200" max="9200" width="18.140625" style="647" bestFit="1" customWidth="1"/>
    <col min="9201" max="9455" width="9.140625" style="647"/>
    <col min="9456" max="9456" width="18.140625" style="647" bestFit="1" customWidth="1"/>
    <col min="9457" max="9711" width="9.140625" style="647"/>
    <col min="9712" max="9712" width="18.140625" style="647" bestFit="1" customWidth="1"/>
    <col min="9713" max="9967" width="9.140625" style="647"/>
    <col min="9968" max="9968" width="18.140625" style="647" bestFit="1" customWidth="1"/>
    <col min="9969" max="10223" width="9.140625" style="647"/>
    <col min="10224" max="10224" width="18.140625" style="647" bestFit="1" customWidth="1"/>
    <col min="10225" max="10479" width="9.140625" style="647"/>
    <col min="10480" max="10480" width="18.140625" style="647" bestFit="1" customWidth="1"/>
    <col min="10481" max="10735" width="9.140625" style="647"/>
    <col min="10736" max="10736" width="18.140625" style="647" bestFit="1" customWidth="1"/>
    <col min="10737" max="10991" width="9.140625" style="647"/>
    <col min="10992" max="10992" width="18.140625" style="647" bestFit="1" customWidth="1"/>
    <col min="10993" max="11247" width="9.140625" style="647"/>
    <col min="11248" max="11248" width="18.140625" style="647" bestFit="1" customWidth="1"/>
    <col min="11249" max="11503" width="9.140625" style="647"/>
    <col min="11504" max="11504" width="18.140625" style="647" bestFit="1" customWidth="1"/>
    <col min="11505" max="11759" width="9.140625" style="647"/>
    <col min="11760" max="11760" width="18.140625" style="647" bestFit="1" customWidth="1"/>
    <col min="11761" max="12015" width="9.140625" style="647"/>
    <col min="12016" max="12016" width="18.140625" style="647" bestFit="1" customWidth="1"/>
    <col min="12017" max="12271" width="9.140625" style="647"/>
    <col min="12272" max="12272" width="18.140625" style="647" bestFit="1" customWidth="1"/>
    <col min="12273" max="12527" width="9.140625" style="647"/>
    <col min="12528" max="12528" width="18.140625" style="647" bestFit="1" customWidth="1"/>
    <col min="12529" max="12783" width="9.140625" style="647"/>
    <col min="12784" max="12784" width="18.140625" style="647" bestFit="1" customWidth="1"/>
    <col min="12785" max="13039" width="9.140625" style="647"/>
    <col min="13040" max="13040" width="18.140625" style="647" bestFit="1" customWidth="1"/>
    <col min="13041" max="13295" width="9.140625" style="647"/>
    <col min="13296" max="13296" width="18.140625" style="647" bestFit="1" customWidth="1"/>
    <col min="13297" max="13551" width="9.140625" style="647"/>
    <col min="13552" max="13552" width="18.140625" style="647" bestFit="1" customWidth="1"/>
    <col min="13553" max="13807" width="9.140625" style="647"/>
    <col min="13808" max="13808" width="18.140625" style="647" bestFit="1" customWidth="1"/>
    <col min="13809" max="14063" width="9.140625" style="647"/>
    <col min="14064" max="14064" width="18.140625" style="647" bestFit="1" customWidth="1"/>
    <col min="14065" max="14319" width="9.140625" style="647"/>
    <col min="14320" max="14320" width="18.140625" style="647" bestFit="1" customWidth="1"/>
    <col min="14321" max="14575" width="9.140625" style="647"/>
    <col min="14576" max="14576" width="18.140625" style="647" bestFit="1" customWidth="1"/>
    <col min="14577" max="14831" width="9.140625" style="647"/>
    <col min="14832" max="14832" width="18.140625" style="647" bestFit="1" customWidth="1"/>
    <col min="14833" max="15087" width="9.140625" style="647"/>
    <col min="15088" max="15088" width="18.140625" style="647" bestFit="1" customWidth="1"/>
    <col min="15089" max="15343" width="9.140625" style="647"/>
    <col min="15344" max="15344" width="18.140625" style="647" bestFit="1" customWidth="1"/>
    <col min="15345" max="15599" width="9.140625" style="647"/>
    <col min="15600" max="15600" width="18.140625" style="647" bestFit="1" customWidth="1"/>
    <col min="15601" max="15855" width="9.140625" style="647"/>
    <col min="15856" max="15856" width="18.140625" style="647" bestFit="1" customWidth="1"/>
    <col min="15857" max="16111" width="9.140625" style="647"/>
    <col min="16112" max="16112" width="18.140625" style="647" bestFit="1" customWidth="1"/>
    <col min="16113" max="16384" width="9.140625" style="647"/>
  </cols>
  <sheetData>
    <row r="2" spans="1:6" ht="12.75">
      <c r="A2" s="596"/>
      <c r="B2" s="597" t="s">
        <v>601</v>
      </c>
      <c r="C2" s="597">
        <v>2016</v>
      </c>
      <c r="D2" s="597">
        <v>2017</v>
      </c>
      <c r="E2" s="597">
        <v>2018</v>
      </c>
      <c r="F2" s="597">
        <v>2019</v>
      </c>
    </row>
    <row r="3" spans="1:6">
      <c r="A3" s="718" t="s">
        <v>707</v>
      </c>
      <c r="B3" s="719">
        <v>3.8</v>
      </c>
      <c r="C3" s="719">
        <v>3.6</v>
      </c>
      <c r="D3" s="719">
        <v>3.5</v>
      </c>
      <c r="E3" s="719">
        <v>3.9</v>
      </c>
      <c r="F3" s="719">
        <v>4.4000000000000004</v>
      </c>
    </row>
    <row r="4" spans="1:6">
      <c r="A4" s="718" t="s">
        <v>708</v>
      </c>
      <c r="B4" s="719">
        <f t="shared" ref="B4:E4" si="0">MIN(B6:B7)</f>
        <v>3.8</v>
      </c>
      <c r="C4" s="719">
        <f t="shared" si="0"/>
        <v>3.6</v>
      </c>
      <c r="D4" s="719">
        <f t="shared" si="0"/>
        <v>2.8130858680181632</v>
      </c>
      <c r="E4" s="719">
        <f t="shared" si="0"/>
        <v>3.9</v>
      </c>
      <c r="F4" s="719">
        <f>MIN(F6:F7)</f>
        <v>4.5999999999999996</v>
      </c>
    </row>
    <row r="5" spans="1:6">
      <c r="A5" s="718" t="s">
        <v>709</v>
      </c>
      <c r="B5" s="719">
        <f t="shared" ref="B5:E5" si="1">MAX(B6:B7)-B4</f>
        <v>0</v>
      </c>
      <c r="C5" s="719">
        <f t="shared" si="1"/>
        <v>0</v>
      </c>
      <c r="D5" s="719">
        <f t="shared" si="1"/>
        <v>0.386914131981837</v>
      </c>
      <c r="E5" s="719">
        <f t="shared" si="1"/>
        <v>0.34418461529761268</v>
      </c>
      <c r="F5" s="719">
        <f>MAX(F6:F7)-F4</f>
        <v>0.40639928953241089</v>
      </c>
    </row>
    <row r="6" spans="1:6">
      <c r="A6" s="718" t="s">
        <v>710</v>
      </c>
      <c r="B6" s="719">
        <v>3.8</v>
      </c>
      <c r="C6" s="719">
        <v>3.6</v>
      </c>
      <c r="D6" s="719">
        <v>2.8130858680181632</v>
      </c>
      <c r="E6" s="719">
        <v>4.2441846152976126</v>
      </c>
      <c r="F6" s="719">
        <v>5.0063992895324105</v>
      </c>
    </row>
    <row r="7" spans="1:6">
      <c r="A7" s="720" t="s">
        <v>711</v>
      </c>
      <c r="B7" s="721">
        <v>3.8</v>
      </c>
      <c r="C7" s="721">
        <v>3.6</v>
      </c>
      <c r="D7" s="721">
        <v>3.2</v>
      </c>
      <c r="E7" s="721">
        <v>3.9</v>
      </c>
      <c r="F7" s="721">
        <v>4.5999999999999996</v>
      </c>
    </row>
    <row r="8" spans="1:6">
      <c r="A8" s="722" t="s">
        <v>614</v>
      </c>
      <c r="F8" s="723" t="s">
        <v>642</v>
      </c>
    </row>
    <row r="9" spans="1:6">
      <c r="A9" s="724"/>
      <c r="F9" s="723"/>
    </row>
    <row r="11" spans="1:6" ht="12.75">
      <c r="A11" s="596"/>
      <c r="B11" s="597" t="s">
        <v>601</v>
      </c>
      <c r="C11" s="597">
        <v>2016</v>
      </c>
      <c r="D11" s="597">
        <v>2017</v>
      </c>
      <c r="E11" s="597">
        <v>2018</v>
      </c>
      <c r="F11" s="597">
        <v>2019</v>
      </c>
    </row>
    <row r="12" spans="1:6">
      <c r="A12" s="718" t="s">
        <v>602</v>
      </c>
      <c r="B12" s="719">
        <v>3.8</v>
      </c>
      <c r="C12" s="719">
        <v>3.6</v>
      </c>
      <c r="D12" s="719">
        <v>3.5</v>
      </c>
      <c r="E12" s="719">
        <v>3.9</v>
      </c>
      <c r="F12" s="719">
        <v>4.4000000000000004</v>
      </c>
    </row>
    <row r="13" spans="1:6">
      <c r="A13" s="718" t="s">
        <v>713</v>
      </c>
      <c r="B13" s="719">
        <f t="shared" ref="B13:E13" si="2">MIN(B15:B16)</f>
        <v>3.8</v>
      </c>
      <c r="C13" s="719">
        <f t="shared" si="2"/>
        <v>3.6</v>
      </c>
      <c r="D13" s="719">
        <f t="shared" si="2"/>
        <v>3.6057931670834193</v>
      </c>
      <c r="E13" s="719">
        <f t="shared" si="2"/>
        <v>3.7390103328589674</v>
      </c>
      <c r="F13" s="719">
        <f>MIN(F15:F16)</f>
        <v>4.4883463920065907</v>
      </c>
    </row>
    <row r="14" spans="1:6">
      <c r="A14" s="718" t="s">
        <v>714</v>
      </c>
      <c r="B14" s="719">
        <f t="shared" ref="B14:E14" si="3">MAX(B15:B16)-B13</f>
        <v>0</v>
      </c>
      <c r="C14" s="719">
        <f t="shared" si="3"/>
        <v>0</v>
      </c>
      <c r="D14" s="719">
        <f t="shared" si="3"/>
        <v>0.19420683291658047</v>
      </c>
      <c r="E14" s="719">
        <f t="shared" si="3"/>
        <v>0.26098966714103256</v>
      </c>
      <c r="F14" s="719">
        <f>MAX(F15:F16)-F13</f>
        <v>0.21165360799340949</v>
      </c>
    </row>
    <row r="15" spans="1:6">
      <c r="A15" s="718" t="s">
        <v>609</v>
      </c>
      <c r="B15" s="719">
        <v>3.8</v>
      </c>
      <c r="C15" s="719">
        <v>3.6</v>
      </c>
      <c r="D15" s="719">
        <v>3.8</v>
      </c>
      <c r="E15" s="719">
        <v>4</v>
      </c>
      <c r="F15" s="719">
        <v>4.7</v>
      </c>
    </row>
    <row r="16" spans="1:6">
      <c r="A16" s="720" t="s">
        <v>715</v>
      </c>
      <c r="B16" s="721">
        <v>3.8</v>
      </c>
      <c r="C16" s="721">
        <v>3.6</v>
      </c>
      <c r="D16" s="721">
        <v>3.6057931670834193</v>
      </c>
      <c r="E16" s="721">
        <v>3.7390103328589674</v>
      </c>
      <c r="F16" s="721">
        <v>4.4883463920065907</v>
      </c>
    </row>
    <row r="17" spans="1:17">
      <c r="A17" s="722" t="s">
        <v>614</v>
      </c>
      <c r="F17" s="723" t="s">
        <v>642</v>
      </c>
    </row>
    <row r="18" spans="1:17" ht="15">
      <c r="P18" s="758"/>
      <c r="Q18" s="758"/>
    </row>
    <row r="19" spans="1:17" ht="15">
      <c r="P19" s="758"/>
      <c r="Q19" s="758"/>
    </row>
    <row r="20" spans="1:17" ht="15">
      <c r="A20" s="594" t="s">
        <v>706</v>
      </c>
      <c r="G20" s="594" t="s">
        <v>712</v>
      </c>
      <c r="P20" s="758"/>
      <c r="Q20" s="758"/>
    </row>
    <row r="21" spans="1:17" ht="12.75">
      <c r="P21" s="740"/>
      <c r="Q21" s="740"/>
    </row>
    <row r="22" spans="1:17" ht="12.75">
      <c r="P22" s="740"/>
      <c r="Q22" s="740"/>
    </row>
  </sheetData>
  <pageMargins left="0.25" right="0.25" top="0.75" bottom="0.75" header="0.3" footer="0.3"/>
  <pageSetup scale="67" fitToHeight="0" orientation="portrait" horizontalDpi="4294967294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8"/>
  <sheetViews>
    <sheetView showGridLines="0" zoomScaleNormal="100" workbookViewId="0"/>
  </sheetViews>
  <sheetFormatPr defaultRowHeight="12.75"/>
  <cols>
    <col min="1" max="1" width="42.28515625" style="595" customWidth="1"/>
    <col min="2" max="6" width="7.28515625" style="595" customWidth="1"/>
    <col min="7" max="239" width="9.140625" style="595"/>
    <col min="240" max="240" width="18.140625" style="595" bestFit="1" customWidth="1"/>
    <col min="241" max="495" width="9.140625" style="595"/>
    <col min="496" max="496" width="18.140625" style="595" bestFit="1" customWidth="1"/>
    <col min="497" max="751" width="9.140625" style="595"/>
    <col min="752" max="752" width="18.140625" style="595" bestFit="1" customWidth="1"/>
    <col min="753" max="1007" width="9.140625" style="595"/>
    <col min="1008" max="1008" width="18.140625" style="595" bestFit="1" customWidth="1"/>
    <col min="1009" max="1263" width="9.140625" style="595"/>
    <col min="1264" max="1264" width="18.140625" style="595" bestFit="1" customWidth="1"/>
    <col min="1265" max="1519" width="9.140625" style="595"/>
    <col min="1520" max="1520" width="18.140625" style="595" bestFit="1" customWidth="1"/>
    <col min="1521" max="1775" width="9.140625" style="595"/>
    <col min="1776" max="1776" width="18.140625" style="595" bestFit="1" customWidth="1"/>
    <col min="1777" max="2031" width="9.140625" style="595"/>
    <col min="2032" max="2032" width="18.140625" style="595" bestFit="1" customWidth="1"/>
    <col min="2033" max="2287" width="9.140625" style="595"/>
    <col min="2288" max="2288" width="18.140625" style="595" bestFit="1" customWidth="1"/>
    <col min="2289" max="2543" width="9.140625" style="595"/>
    <col min="2544" max="2544" width="18.140625" style="595" bestFit="1" customWidth="1"/>
    <col min="2545" max="2799" width="9.140625" style="595"/>
    <col min="2800" max="2800" width="18.140625" style="595" bestFit="1" customWidth="1"/>
    <col min="2801" max="3055" width="9.140625" style="595"/>
    <col min="3056" max="3056" width="18.140625" style="595" bestFit="1" customWidth="1"/>
    <col min="3057" max="3311" width="9.140625" style="595"/>
    <col min="3312" max="3312" width="18.140625" style="595" bestFit="1" customWidth="1"/>
    <col min="3313" max="3567" width="9.140625" style="595"/>
    <col min="3568" max="3568" width="18.140625" style="595" bestFit="1" customWidth="1"/>
    <col min="3569" max="3823" width="9.140625" style="595"/>
    <col min="3824" max="3824" width="18.140625" style="595" bestFit="1" customWidth="1"/>
    <col min="3825" max="4079" width="9.140625" style="595"/>
    <col min="4080" max="4080" width="18.140625" style="595" bestFit="1" customWidth="1"/>
    <col min="4081" max="4335" width="9.140625" style="595"/>
    <col min="4336" max="4336" width="18.140625" style="595" bestFit="1" customWidth="1"/>
    <col min="4337" max="4591" width="9.140625" style="595"/>
    <col min="4592" max="4592" width="18.140625" style="595" bestFit="1" customWidth="1"/>
    <col min="4593" max="4847" width="9.140625" style="595"/>
    <col min="4848" max="4848" width="18.140625" style="595" bestFit="1" customWidth="1"/>
    <col min="4849" max="5103" width="9.140625" style="595"/>
    <col min="5104" max="5104" width="18.140625" style="595" bestFit="1" customWidth="1"/>
    <col min="5105" max="5359" width="9.140625" style="595"/>
    <col min="5360" max="5360" width="18.140625" style="595" bestFit="1" customWidth="1"/>
    <col min="5361" max="5615" width="9.140625" style="595"/>
    <col min="5616" max="5616" width="18.140625" style="595" bestFit="1" customWidth="1"/>
    <col min="5617" max="5871" width="9.140625" style="595"/>
    <col min="5872" max="5872" width="18.140625" style="595" bestFit="1" customWidth="1"/>
    <col min="5873" max="6127" width="9.140625" style="595"/>
    <col min="6128" max="6128" width="18.140625" style="595" bestFit="1" customWidth="1"/>
    <col min="6129" max="6383" width="9.140625" style="595"/>
    <col min="6384" max="6384" width="18.140625" style="595" bestFit="1" customWidth="1"/>
    <col min="6385" max="6639" width="9.140625" style="595"/>
    <col min="6640" max="6640" width="18.140625" style="595" bestFit="1" customWidth="1"/>
    <col min="6641" max="6895" width="9.140625" style="595"/>
    <col min="6896" max="6896" width="18.140625" style="595" bestFit="1" customWidth="1"/>
    <col min="6897" max="7151" width="9.140625" style="595"/>
    <col min="7152" max="7152" width="18.140625" style="595" bestFit="1" customWidth="1"/>
    <col min="7153" max="7407" width="9.140625" style="595"/>
    <col min="7408" max="7408" width="18.140625" style="595" bestFit="1" customWidth="1"/>
    <col min="7409" max="7663" width="9.140625" style="595"/>
    <col min="7664" max="7664" width="18.140625" style="595" bestFit="1" customWidth="1"/>
    <col min="7665" max="7919" width="9.140625" style="595"/>
    <col min="7920" max="7920" width="18.140625" style="595" bestFit="1" customWidth="1"/>
    <col min="7921" max="8175" width="9.140625" style="595"/>
    <col min="8176" max="8176" width="18.140625" style="595" bestFit="1" customWidth="1"/>
    <col min="8177" max="8431" width="9.140625" style="595"/>
    <col min="8432" max="8432" width="18.140625" style="595" bestFit="1" customWidth="1"/>
    <col min="8433" max="8687" width="9.140625" style="595"/>
    <col min="8688" max="8688" width="18.140625" style="595" bestFit="1" customWidth="1"/>
    <col min="8689" max="8943" width="9.140625" style="595"/>
    <col min="8944" max="8944" width="18.140625" style="595" bestFit="1" customWidth="1"/>
    <col min="8945" max="9199" width="9.140625" style="595"/>
    <col min="9200" max="9200" width="18.140625" style="595" bestFit="1" customWidth="1"/>
    <col min="9201" max="9455" width="9.140625" style="595"/>
    <col min="9456" max="9456" width="18.140625" style="595" bestFit="1" customWidth="1"/>
    <col min="9457" max="9711" width="9.140625" style="595"/>
    <col min="9712" max="9712" width="18.140625" style="595" bestFit="1" customWidth="1"/>
    <col min="9713" max="9967" width="9.140625" style="595"/>
    <col min="9968" max="9968" width="18.140625" style="595" bestFit="1" customWidth="1"/>
    <col min="9969" max="10223" width="9.140625" style="595"/>
    <col min="10224" max="10224" width="18.140625" style="595" bestFit="1" customWidth="1"/>
    <col min="10225" max="10479" width="9.140625" style="595"/>
    <col min="10480" max="10480" width="18.140625" style="595" bestFit="1" customWidth="1"/>
    <col min="10481" max="10735" width="9.140625" style="595"/>
    <col min="10736" max="10736" width="18.140625" style="595" bestFit="1" customWidth="1"/>
    <col min="10737" max="10991" width="9.140625" style="595"/>
    <col min="10992" max="10992" width="18.140625" style="595" bestFit="1" customWidth="1"/>
    <col min="10993" max="11247" width="9.140625" style="595"/>
    <col min="11248" max="11248" width="18.140625" style="595" bestFit="1" customWidth="1"/>
    <col min="11249" max="11503" width="9.140625" style="595"/>
    <col min="11504" max="11504" width="18.140625" style="595" bestFit="1" customWidth="1"/>
    <col min="11505" max="11759" width="9.140625" style="595"/>
    <col min="11760" max="11760" width="18.140625" style="595" bestFit="1" customWidth="1"/>
    <col min="11761" max="12015" width="9.140625" style="595"/>
    <col min="12016" max="12016" width="18.140625" style="595" bestFit="1" customWidth="1"/>
    <col min="12017" max="12271" width="9.140625" style="595"/>
    <col min="12272" max="12272" width="18.140625" style="595" bestFit="1" customWidth="1"/>
    <col min="12273" max="12527" width="9.140625" style="595"/>
    <col min="12528" max="12528" width="18.140625" style="595" bestFit="1" customWidth="1"/>
    <col min="12529" max="12783" width="9.140625" style="595"/>
    <col min="12784" max="12784" width="18.140625" style="595" bestFit="1" customWidth="1"/>
    <col min="12785" max="13039" width="9.140625" style="595"/>
    <col min="13040" max="13040" width="18.140625" style="595" bestFit="1" customWidth="1"/>
    <col min="13041" max="13295" width="9.140625" style="595"/>
    <col min="13296" max="13296" width="18.140625" style="595" bestFit="1" customWidth="1"/>
    <col min="13297" max="13551" width="9.140625" style="595"/>
    <col min="13552" max="13552" width="18.140625" style="595" bestFit="1" customWidth="1"/>
    <col min="13553" max="13807" width="9.140625" style="595"/>
    <col min="13808" max="13808" width="18.140625" style="595" bestFit="1" customWidth="1"/>
    <col min="13809" max="14063" width="9.140625" style="595"/>
    <col min="14064" max="14064" width="18.140625" style="595" bestFit="1" customWidth="1"/>
    <col min="14065" max="14319" width="9.140625" style="595"/>
    <col min="14320" max="14320" width="18.140625" style="595" bestFit="1" customWidth="1"/>
    <col min="14321" max="14575" width="9.140625" style="595"/>
    <col min="14576" max="14576" width="18.140625" style="595" bestFit="1" customWidth="1"/>
    <col min="14577" max="14831" width="9.140625" style="595"/>
    <col min="14832" max="14832" width="18.140625" style="595" bestFit="1" customWidth="1"/>
    <col min="14833" max="15087" width="9.140625" style="595"/>
    <col min="15088" max="15088" width="18.140625" style="595" bestFit="1" customWidth="1"/>
    <col min="15089" max="15343" width="9.140625" style="595"/>
    <col min="15344" max="15344" width="18.140625" style="595" bestFit="1" customWidth="1"/>
    <col min="15345" max="15599" width="9.140625" style="595"/>
    <col min="15600" max="15600" width="18.140625" style="595" bestFit="1" customWidth="1"/>
    <col min="15601" max="15855" width="9.140625" style="595"/>
    <col min="15856" max="15856" width="18.140625" style="595" bestFit="1" customWidth="1"/>
    <col min="15857" max="16111" width="9.140625" style="595"/>
    <col min="16112" max="16112" width="18.140625" style="595" bestFit="1" customWidth="1"/>
    <col min="16113" max="16384" width="9.140625" style="595"/>
  </cols>
  <sheetData>
    <row r="1" spans="1:11" ht="16.5" customHeight="1">
      <c r="A1" s="1671" t="s">
        <v>600</v>
      </c>
    </row>
    <row r="2" spans="1:11">
      <c r="A2" s="596"/>
      <c r="B2" s="597" t="s">
        <v>601</v>
      </c>
      <c r="C2" s="597">
        <v>2016</v>
      </c>
      <c r="D2" s="597">
        <v>2017</v>
      </c>
      <c r="E2" s="597">
        <v>2018</v>
      </c>
      <c r="F2" s="597">
        <v>2019</v>
      </c>
      <c r="I2" s="109"/>
      <c r="J2" s="109"/>
      <c r="K2" s="109"/>
    </row>
    <row r="3" spans="1:11">
      <c r="A3" s="598" t="s">
        <v>602</v>
      </c>
      <c r="B3" s="599" t="s">
        <v>571</v>
      </c>
      <c r="C3" s="599" t="s">
        <v>572</v>
      </c>
      <c r="D3" s="599" t="s">
        <v>573</v>
      </c>
      <c r="E3" s="599" t="s">
        <v>574</v>
      </c>
      <c r="F3" s="599" t="s">
        <v>575</v>
      </c>
      <c r="I3" s="109"/>
      <c r="J3" s="109"/>
      <c r="K3" s="109"/>
    </row>
    <row r="4" spans="1:11">
      <c r="A4" s="598" t="s">
        <v>603</v>
      </c>
      <c r="B4" s="599" t="s">
        <v>571</v>
      </c>
      <c r="C4" s="599" t="s">
        <v>572</v>
      </c>
      <c r="D4" s="599" t="s">
        <v>604</v>
      </c>
      <c r="E4" s="599" t="s">
        <v>605</v>
      </c>
      <c r="F4" s="599" t="s">
        <v>606</v>
      </c>
      <c r="I4" s="109"/>
      <c r="J4" s="109"/>
      <c r="K4" s="109"/>
    </row>
    <row r="5" spans="1:11">
      <c r="A5" s="598" t="s">
        <v>607</v>
      </c>
      <c r="B5" s="599" t="s">
        <v>571</v>
      </c>
      <c r="C5" s="599" t="s">
        <v>572</v>
      </c>
      <c r="D5" s="599" t="s">
        <v>589</v>
      </c>
      <c r="E5" s="599" t="s">
        <v>574</v>
      </c>
      <c r="F5" s="599" t="s">
        <v>608</v>
      </c>
    </row>
    <row r="6" spans="1:11">
      <c r="A6" s="598" t="s">
        <v>609</v>
      </c>
      <c r="B6" s="599" t="s">
        <v>571</v>
      </c>
      <c r="C6" s="599" t="s">
        <v>572</v>
      </c>
      <c r="D6" s="599" t="s">
        <v>571</v>
      </c>
      <c r="E6" s="599" t="s">
        <v>610</v>
      </c>
      <c r="F6" s="599" t="s">
        <v>611</v>
      </c>
    </row>
    <row r="7" spans="1:11">
      <c r="A7" s="600" t="s">
        <v>612</v>
      </c>
      <c r="B7" s="601" t="s">
        <v>571</v>
      </c>
      <c r="C7" s="601" t="s">
        <v>572</v>
      </c>
      <c r="D7" s="601" t="s">
        <v>572</v>
      </c>
      <c r="E7" s="601" t="s">
        <v>583</v>
      </c>
      <c r="F7" s="601" t="s">
        <v>613</v>
      </c>
    </row>
    <row r="8" spans="1:11">
      <c r="A8" s="602" t="s">
        <v>614</v>
      </c>
      <c r="B8" s="603"/>
      <c r="C8" s="603"/>
      <c r="D8" s="603"/>
      <c r="E8" s="603"/>
      <c r="F8" s="604" t="s">
        <v>518</v>
      </c>
    </row>
  </sheetData>
  <pageMargins left="0.25" right="0.25" top="0.75" bottom="0.75" header="0.3" footer="0.3"/>
  <pageSetup fitToHeight="0" orientation="portrait" horizontalDpi="4294967294" verticalDpi="0" r:id="rId1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31"/>
  <sheetViews>
    <sheetView showGridLines="0" zoomScaleNormal="100" workbookViewId="0">
      <pane xSplit="1" ySplit="1" topLeftCell="B2" activePane="bottomRight" state="frozen"/>
      <selection activeCell="A34" sqref="A34"/>
      <selection pane="topRight" activeCell="A34" sqref="A34"/>
      <selection pane="bottomLeft" activeCell="A34" sqref="A34"/>
      <selection pane="bottomRight"/>
    </sheetView>
  </sheetViews>
  <sheetFormatPr defaultRowHeight="12.75"/>
  <cols>
    <col min="1" max="1" width="20" style="646" bestFit="1" customWidth="1"/>
    <col min="2" max="16384" width="9.140625" style="646"/>
  </cols>
  <sheetData>
    <row r="1" spans="1:12" s="725" customFormat="1"/>
    <row r="2" spans="1:12" s="725" customFormat="1">
      <c r="A2" s="726"/>
      <c r="B2" s="726">
        <v>2005</v>
      </c>
      <c r="C2" s="726">
        <v>2006</v>
      </c>
      <c r="D2" s="726">
        <v>2007</v>
      </c>
      <c r="E2" s="726">
        <v>2008</v>
      </c>
      <c r="F2" s="726">
        <v>2009</v>
      </c>
      <c r="G2" s="726">
        <v>2010</v>
      </c>
      <c r="H2" s="726">
        <v>2011</v>
      </c>
      <c r="I2" s="726">
        <v>2012</v>
      </c>
      <c r="J2" s="726">
        <v>2013</v>
      </c>
      <c r="K2" s="726">
        <v>2014</v>
      </c>
      <c r="L2" s="726">
        <v>2015</v>
      </c>
    </row>
    <row r="3" spans="1:12" s="725" customFormat="1">
      <c r="A3" s="727" t="s">
        <v>717</v>
      </c>
      <c r="B3" s="727">
        <v>2.8000000002066372E-2</v>
      </c>
      <c r="C3" s="727">
        <v>7.8000000012252713E-2</v>
      </c>
      <c r="D3" s="727">
        <v>1.8999999992956873E-2</v>
      </c>
      <c r="E3" s="727">
        <v>4.0000000008149073E-3</v>
      </c>
      <c r="F3" s="727">
        <v>-7.9999999943538569E-3</v>
      </c>
      <c r="G3" s="727">
        <v>2.1000000015192199E-2</v>
      </c>
      <c r="H3" s="727">
        <v>7.9999999652500264E-3</v>
      </c>
      <c r="I3" s="727">
        <v>1.0999999998603016E-2</v>
      </c>
      <c r="J3" s="727">
        <v>1.0059999999066349</v>
      </c>
      <c r="K3" s="727">
        <v>-388.76000000000204</v>
      </c>
      <c r="L3" s="727">
        <v>-485.77900000000227</v>
      </c>
    </row>
    <row r="4" spans="1:12" s="725" customFormat="1">
      <c r="A4" s="727" t="s">
        <v>135</v>
      </c>
      <c r="B4" s="727">
        <v>-2.8000000000247383E-2</v>
      </c>
      <c r="C4" s="727">
        <v>1.8999999998413841E-2</v>
      </c>
      <c r="D4" s="727">
        <v>4.3999999987136107E-2</v>
      </c>
      <c r="E4" s="727">
        <v>1.4999999999417923E-2</v>
      </c>
      <c r="F4" s="727">
        <v>1.2000000000625732E-2</v>
      </c>
      <c r="G4" s="727">
        <v>3.9999999989959178E-3</v>
      </c>
      <c r="H4" s="727">
        <v>2.8000000002066372E-2</v>
      </c>
      <c r="I4" s="727">
        <v>41.18199999999888</v>
      </c>
      <c r="J4" s="727">
        <v>82.252000000000407</v>
      </c>
      <c r="K4" s="727">
        <v>-270.62199999999939</v>
      </c>
      <c r="L4" s="727">
        <v>139.23600000000079</v>
      </c>
    </row>
    <row r="5" spans="1:12" s="725" customFormat="1">
      <c r="A5" s="727" t="s">
        <v>718</v>
      </c>
      <c r="B5" s="727">
        <v>164.43200000000797</v>
      </c>
      <c r="C5" s="727">
        <v>165.57599999999729</v>
      </c>
      <c r="D5" s="727">
        <v>169.39899999999943</v>
      </c>
      <c r="E5" s="727">
        <v>169.10999999998967</v>
      </c>
      <c r="F5" s="727">
        <v>204.52200000000084</v>
      </c>
      <c r="G5" s="727">
        <v>190.19200000000092</v>
      </c>
      <c r="H5" s="727">
        <v>183.65799999999945</v>
      </c>
      <c r="I5" s="727">
        <v>242.33100000000013</v>
      </c>
      <c r="J5" s="727">
        <v>251.46400000001086</v>
      </c>
      <c r="K5" s="727">
        <v>179.21300000000156</v>
      </c>
      <c r="L5" s="727">
        <v>454.40000000000146</v>
      </c>
    </row>
    <row r="6" spans="1:12" s="725" customFormat="1">
      <c r="A6" s="727" t="s">
        <v>719</v>
      </c>
      <c r="B6" s="727">
        <v>2.9999999991559889E-2</v>
      </c>
      <c r="C6" s="727">
        <v>3.0000000915606506E-3</v>
      </c>
      <c r="D6" s="727">
        <v>7.9999999907158781E-2</v>
      </c>
      <c r="E6" s="727">
        <v>-1.0000000096624717E-2</v>
      </c>
      <c r="F6" s="727">
        <v>2.0000001022708602E-3</v>
      </c>
      <c r="G6" s="727">
        <v>-9.9999999874853529E-3</v>
      </c>
      <c r="H6" s="727">
        <v>-2.1000000007916242E-2</v>
      </c>
      <c r="I6" s="727">
        <v>-7.2759576141834259E-12</v>
      </c>
      <c r="J6" s="727">
        <v>8.5720000000001164</v>
      </c>
      <c r="K6" s="727">
        <v>-37.571000000098138</v>
      </c>
      <c r="L6" s="727">
        <v>24.661999999982072</v>
      </c>
    </row>
    <row r="7" spans="1:12" s="725" customFormat="1">
      <c r="A7" s="727" t="s">
        <v>720</v>
      </c>
      <c r="B7" s="727">
        <v>1.1000000029525836E-2</v>
      </c>
      <c r="C7" s="727">
        <v>-4.6000000105777872E-2</v>
      </c>
      <c r="D7" s="727">
        <v>-4.7000000075058779E-2</v>
      </c>
      <c r="E7" s="727">
        <v>-6.400000009307405E-2</v>
      </c>
      <c r="F7" s="727">
        <v>-9.0000003074237611E-3</v>
      </c>
      <c r="G7" s="727">
        <v>-4.9000000108208042E-2</v>
      </c>
      <c r="H7" s="727">
        <v>-5.0000001610897016E-3</v>
      </c>
      <c r="I7" s="727">
        <v>5.2000000006955815E-2</v>
      </c>
      <c r="J7" s="727">
        <v>-5.4569682106375694E-12</v>
      </c>
      <c r="K7" s="727">
        <v>914.52200000009907</v>
      </c>
      <c r="L7" s="727">
        <v>235.17599999999584</v>
      </c>
    </row>
    <row r="8" spans="1:12" s="725" customFormat="1">
      <c r="A8" s="727" t="s">
        <v>20</v>
      </c>
      <c r="B8" s="727">
        <v>164.45999999999913</v>
      </c>
      <c r="C8" s="727">
        <v>165.65200000000186</v>
      </c>
      <c r="D8" s="727">
        <v>169.39400000000751</v>
      </c>
      <c r="E8" s="727">
        <v>169.05399999990186</v>
      </c>
      <c r="F8" s="727">
        <v>204.5949999998993</v>
      </c>
      <c r="G8" s="727">
        <v>190.1579999999085</v>
      </c>
      <c r="H8" s="727">
        <v>183.68399999989197</v>
      </c>
      <c r="I8" s="727">
        <v>283.49700000000303</v>
      </c>
      <c r="J8" s="727">
        <v>334.81199999988894</v>
      </c>
      <c r="K8" s="727">
        <v>385.9429999999993</v>
      </c>
      <c r="L8" s="727">
        <v>614.78699999999662</v>
      </c>
    </row>
    <row r="9" spans="1:12" s="725" customFormat="1">
      <c r="A9" s="727" t="s">
        <v>721</v>
      </c>
      <c r="B9" s="727">
        <v>3.1000000002677552E-2</v>
      </c>
      <c r="C9" s="727">
        <v>-4.0000000000873115E-2</v>
      </c>
      <c r="D9" s="727">
        <v>-2.0000000004074536E-3</v>
      </c>
      <c r="E9" s="727">
        <v>4.9999999995634425E-2</v>
      </c>
      <c r="F9" s="727">
        <v>-1.1999999900581315E-2</v>
      </c>
      <c r="G9" s="727">
        <v>3.0000000042491592E-3</v>
      </c>
      <c r="H9" s="727">
        <v>-4.2999999903258868E-2</v>
      </c>
      <c r="I9" s="727">
        <v>-1.2000000002444722E-2</v>
      </c>
      <c r="J9" s="727">
        <v>298.83800000000338</v>
      </c>
      <c r="K9" s="727">
        <v>316.42400000001362</v>
      </c>
      <c r="L9" s="727">
        <v>335.22400000000198</v>
      </c>
    </row>
    <row r="10" spans="1:12" s="725" customFormat="1">
      <c r="A10" s="728" t="s">
        <v>652</v>
      </c>
      <c r="B10" s="728">
        <v>1.4000000039231963E-2</v>
      </c>
      <c r="C10" s="728">
        <v>3.4999999901629053E-2</v>
      </c>
      <c r="D10" s="728">
        <v>1.8999999905645382E-2</v>
      </c>
      <c r="E10" s="728">
        <v>-3.8999999989755452E-2</v>
      </c>
      <c r="F10" s="728">
        <v>9.9999999001738615E-3</v>
      </c>
      <c r="G10" s="728">
        <v>1.299999999901047E-2</v>
      </c>
      <c r="H10" s="728">
        <v>-3.8000000007741619E-2</v>
      </c>
      <c r="I10" s="728">
        <v>-3.2999999995809048E-2</v>
      </c>
      <c r="J10" s="728">
        <v>298.84800000001269</v>
      </c>
      <c r="K10" s="728">
        <v>364.7340000000986</v>
      </c>
      <c r="L10" s="728">
        <v>321.30300000001444</v>
      </c>
    </row>
    <row r="11" spans="1:12" s="725" customFormat="1">
      <c r="L11" s="723" t="s">
        <v>722</v>
      </c>
    </row>
    <row r="12" spans="1:12" s="729" customFormat="1"/>
    <row r="13" spans="1:12" s="725" customFormat="1"/>
    <row r="14" spans="1:12" s="725" customFormat="1"/>
    <row r="15" spans="1:12" s="725" customFormat="1"/>
    <row r="16" spans="1:12" s="725" customFormat="1"/>
    <row r="17" spans="3:14" s="725" customFormat="1" ht="15">
      <c r="C17" s="594" t="s">
        <v>716</v>
      </c>
      <c r="M17" s="758"/>
      <c r="N17" s="758"/>
    </row>
    <row r="18" spans="3:14" s="725" customFormat="1" ht="15">
      <c r="M18" s="758"/>
      <c r="N18" s="758"/>
    </row>
    <row r="19" spans="3:14" s="725" customFormat="1" ht="15">
      <c r="M19" s="758"/>
      <c r="N19" s="758"/>
    </row>
    <row r="20" spans="3:14" s="725" customFormat="1">
      <c r="M20" s="740"/>
      <c r="N20" s="740"/>
    </row>
    <row r="21" spans="3:14" s="725" customFormat="1">
      <c r="M21" s="740"/>
      <c r="N21" s="740"/>
    </row>
    <row r="22" spans="3:14" s="725" customFormat="1"/>
    <row r="23" spans="3:14" s="725" customFormat="1"/>
    <row r="24" spans="3:14" s="725" customFormat="1"/>
    <row r="25" spans="3:14" s="725" customFormat="1">
      <c r="M25" s="646"/>
      <c r="N25" s="646"/>
    </row>
    <row r="26" spans="3:14" s="725" customFormat="1">
      <c r="M26" s="730"/>
      <c r="N26" s="730"/>
    </row>
    <row r="27" spans="3:14" s="725" customFormat="1">
      <c r="M27" s="730"/>
      <c r="N27" s="730"/>
    </row>
    <row r="28" spans="3:14" s="725" customFormat="1">
      <c r="M28" s="730"/>
      <c r="N28" s="730"/>
    </row>
    <row r="29" spans="3:14">
      <c r="M29" s="730"/>
      <c r="N29" s="730"/>
    </row>
    <row r="30" spans="3:14">
      <c r="M30" s="730"/>
      <c r="N30" s="730"/>
    </row>
    <row r="31" spans="3:14">
      <c r="M31" s="730"/>
      <c r="N31" s="730"/>
    </row>
  </sheetData>
  <pageMargins left="0.23622047244094491" right="0.23622047244094491" top="0.74803149606299213" bottom="0.74803149606299213" header="0.31496062992125984" footer="0.31496062992125984"/>
  <pageSetup paperSize="9" orientation="landscape" r:id="rId1"/>
  <headerFooter>
    <oddHeader>&amp;L&amp;A&amp;C&amp;B Confidential&amp;B&amp;RPage &amp;P</oddHeader>
    <oddFooter>&amp;C&amp;D&amp;T</oddFooter>
  </headerFooter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W82"/>
  <sheetViews>
    <sheetView showGridLines="0" workbookViewId="0">
      <selection activeCell="B14" sqref="B14"/>
    </sheetView>
  </sheetViews>
  <sheetFormatPr defaultRowHeight="12.75"/>
  <cols>
    <col min="1" max="1" width="7.42578125" style="605" customWidth="1"/>
    <col min="2" max="10" width="9.140625" style="605"/>
    <col min="11" max="11" width="9.140625" style="605" customWidth="1"/>
    <col min="12" max="20" width="9.140625" style="605"/>
    <col min="21" max="21" width="9.42578125" style="605" bestFit="1" customWidth="1"/>
    <col min="22" max="16384" width="9.140625" style="605"/>
  </cols>
  <sheetData>
    <row r="2" spans="1:23" ht="25.5">
      <c r="A2" s="596"/>
      <c r="B2" s="731" t="s">
        <v>724</v>
      </c>
      <c r="C2" s="731" t="s">
        <v>725</v>
      </c>
      <c r="D2" s="731" t="s">
        <v>726</v>
      </c>
      <c r="E2" s="731" t="s">
        <v>727</v>
      </c>
      <c r="F2" s="731" t="s">
        <v>728</v>
      </c>
      <c r="G2" s="731" t="s">
        <v>729</v>
      </c>
      <c r="H2" s="731" t="s">
        <v>730</v>
      </c>
      <c r="I2" s="731" t="s">
        <v>731</v>
      </c>
      <c r="J2" s="731" t="s">
        <v>732</v>
      </c>
      <c r="K2" s="732" t="s">
        <v>733</v>
      </c>
    </row>
    <row r="3" spans="1:23">
      <c r="A3" s="733">
        <v>2010</v>
      </c>
      <c r="B3" s="734">
        <v>4.6574160675413943</v>
      </c>
      <c r="C3" s="734">
        <v>0.11760202803125913</v>
      </c>
      <c r="D3" s="734">
        <v>8.4799336158635608E-2</v>
      </c>
      <c r="E3" s="734">
        <v>7.2457906068033123E-2</v>
      </c>
      <c r="F3" s="734">
        <v>6.772466220067816E-2</v>
      </c>
      <c r="G3" s="734">
        <v>6.772466220067816E-2</v>
      </c>
      <c r="H3" s="734">
        <v>7.2457906068033123E-2</v>
      </c>
      <c r="I3" s="734">
        <v>8.4799336158635608E-2</v>
      </c>
      <c r="J3" s="734">
        <v>0.11760202803125913</v>
      </c>
      <c r="K3" s="734">
        <v>5</v>
      </c>
    </row>
    <row r="4" spans="1:23">
      <c r="A4" s="733">
        <v>2011</v>
      </c>
      <c r="B4" s="734">
        <v>2.457416067541391</v>
      </c>
      <c r="C4" s="734">
        <v>0.11760202803125913</v>
      </c>
      <c r="D4" s="734">
        <v>8.4799336158635608E-2</v>
      </c>
      <c r="E4" s="734">
        <v>7.2457906068033123E-2</v>
      </c>
      <c r="F4" s="734">
        <v>6.772466220067816E-2</v>
      </c>
      <c r="G4" s="734">
        <v>6.772466220067816E-2</v>
      </c>
      <c r="H4" s="734">
        <v>7.2457906068033123E-2</v>
      </c>
      <c r="I4" s="734">
        <v>8.4799336158635608E-2</v>
      </c>
      <c r="J4" s="734">
        <v>0.11760202803125913</v>
      </c>
      <c r="K4" s="734">
        <v>2.7999999999999972</v>
      </c>
    </row>
    <row r="5" spans="1:23">
      <c r="A5" s="733">
        <v>2012</v>
      </c>
      <c r="B5" s="734">
        <v>1.3574160675413969</v>
      </c>
      <c r="C5" s="734">
        <v>0.11760202803125913</v>
      </c>
      <c r="D5" s="734">
        <v>8.4799336158635608E-2</v>
      </c>
      <c r="E5" s="734">
        <v>7.2457906068033123E-2</v>
      </c>
      <c r="F5" s="734">
        <v>6.772466220067816E-2</v>
      </c>
      <c r="G5" s="734">
        <v>6.772466220067816E-2</v>
      </c>
      <c r="H5" s="734">
        <v>7.2457906068033123E-2</v>
      </c>
      <c r="I5" s="734">
        <v>8.4799336158635608E-2</v>
      </c>
      <c r="J5" s="734">
        <v>0.11760202803125913</v>
      </c>
      <c r="K5" s="734">
        <v>1.7000000000000028</v>
      </c>
    </row>
    <row r="6" spans="1:23">
      <c r="A6" s="735">
        <v>2013</v>
      </c>
      <c r="B6" s="736">
        <v>1.157416067541394</v>
      </c>
      <c r="C6" s="736">
        <v>0.11760202803125913</v>
      </c>
      <c r="D6" s="736">
        <v>8.4799336158635608E-2</v>
      </c>
      <c r="E6" s="736">
        <v>7.2457906068033123E-2</v>
      </c>
      <c r="F6" s="736">
        <v>6.772466220067816E-2</v>
      </c>
      <c r="G6" s="736">
        <v>6.772466220067816E-2</v>
      </c>
      <c r="H6" s="736">
        <v>7.2457906068033123E-2</v>
      </c>
      <c r="I6" s="736">
        <v>8.4799336158635608E-2</v>
      </c>
      <c r="J6" s="736">
        <v>0.11760202803125913</v>
      </c>
      <c r="K6" s="736">
        <v>1.5</v>
      </c>
    </row>
    <row r="7" spans="1:23">
      <c r="A7" s="735">
        <v>2014</v>
      </c>
      <c r="B7" s="736">
        <v>2.2574160675413881</v>
      </c>
      <c r="C7" s="736">
        <v>0.11760202803125913</v>
      </c>
      <c r="D7" s="736">
        <v>8.4799336158635608E-2</v>
      </c>
      <c r="E7" s="736">
        <v>7.2457906068033123E-2</v>
      </c>
      <c r="F7" s="736">
        <v>6.772466220067816E-2</v>
      </c>
      <c r="G7" s="736">
        <v>6.772466220067816E-2</v>
      </c>
      <c r="H7" s="736">
        <v>7.2457906068033123E-2</v>
      </c>
      <c r="I7" s="736">
        <v>8.4799336158635608E-2</v>
      </c>
      <c r="J7" s="736">
        <v>0.11760202803125913</v>
      </c>
      <c r="K7" s="736">
        <v>2.5999999999999943</v>
      </c>
    </row>
    <row r="8" spans="1:23">
      <c r="A8" s="735">
        <v>2015</v>
      </c>
      <c r="B8" s="736">
        <v>3.457416067541391</v>
      </c>
      <c r="C8" s="736">
        <v>0.11760202803125913</v>
      </c>
      <c r="D8" s="736">
        <v>8.4799336158635608E-2</v>
      </c>
      <c r="E8" s="736">
        <v>7.2457906068033123E-2</v>
      </c>
      <c r="F8" s="736">
        <v>6.772466220067816E-2</v>
      </c>
      <c r="G8" s="736">
        <v>6.772466220067816E-2</v>
      </c>
      <c r="H8" s="736">
        <v>7.2457906068033123E-2</v>
      </c>
      <c r="I8" s="736">
        <v>8.4799336158635608E-2</v>
      </c>
      <c r="J8" s="736">
        <v>0.11760202803125913</v>
      </c>
      <c r="K8" s="736">
        <v>3.7999999999999972</v>
      </c>
    </row>
    <row r="9" spans="1:23">
      <c r="A9" s="737">
        <v>2016</v>
      </c>
      <c r="B9" s="738">
        <v>3.3352116380105628</v>
      </c>
      <c r="C9" s="738">
        <v>8.2671275953586809E-2</v>
      </c>
      <c r="D9" s="738">
        <v>5.9611806340517534E-2</v>
      </c>
      <c r="E9" s="738">
        <v>5.0936090540693924E-2</v>
      </c>
      <c r="F9" s="738">
        <v>4.7608738823513366E-2</v>
      </c>
      <c r="G9" s="738">
        <v>4.7608738823513366E-2</v>
      </c>
      <c r="H9" s="738">
        <v>5.0936090540693924E-2</v>
      </c>
      <c r="I9" s="738">
        <v>5.9611806340517534E-2</v>
      </c>
      <c r="J9" s="738">
        <v>8.2671275953586809E-2</v>
      </c>
      <c r="K9" s="738">
        <v>3.5760395496688746</v>
      </c>
    </row>
    <row r="10" spans="1:23" ht="15">
      <c r="A10" s="739"/>
      <c r="B10" s="739"/>
      <c r="C10" s="739"/>
      <c r="D10" s="739"/>
      <c r="E10" s="739"/>
      <c r="F10" s="739"/>
      <c r="G10" s="739"/>
      <c r="H10" s="739"/>
      <c r="I10" s="739"/>
      <c r="J10" s="739"/>
      <c r="K10" s="723" t="s">
        <v>734</v>
      </c>
    </row>
    <row r="14" spans="1:23" ht="15">
      <c r="A14" s="740"/>
      <c r="B14" s="744" t="s">
        <v>723</v>
      </c>
      <c r="C14" s="744"/>
      <c r="D14" s="744"/>
      <c r="E14" s="744"/>
      <c r="F14" s="744"/>
      <c r="G14" s="744"/>
      <c r="H14" s="744"/>
      <c r="I14" s="744"/>
      <c r="J14" s="744"/>
      <c r="K14" s="744"/>
      <c r="L14" s="744"/>
      <c r="M14" s="758"/>
      <c r="N14" s="758"/>
      <c r="O14" s="740"/>
      <c r="P14" s="740"/>
      <c r="Q14" s="740"/>
      <c r="R14" s="740"/>
      <c r="S14" s="740"/>
      <c r="T14" s="740"/>
      <c r="U14" s="740"/>
      <c r="V14" s="740"/>
      <c r="W14" s="740"/>
    </row>
    <row r="15" spans="1:23" ht="15">
      <c r="A15" s="740"/>
      <c r="B15" s="740"/>
      <c r="C15" s="740"/>
      <c r="D15" s="740"/>
      <c r="E15" s="740"/>
      <c r="F15" s="740"/>
      <c r="G15" s="740"/>
      <c r="H15" s="740"/>
      <c r="I15" s="740"/>
      <c r="J15" s="740"/>
      <c r="K15" s="740"/>
      <c r="L15" s="740"/>
      <c r="M15" s="758"/>
      <c r="N15" s="758"/>
      <c r="O15" s="741"/>
      <c r="P15" s="740"/>
      <c r="Q15" s="741"/>
      <c r="R15" s="741"/>
      <c r="S15" s="741"/>
      <c r="T15" s="741"/>
      <c r="U15" s="741"/>
      <c r="V15" s="740"/>
      <c r="W15" s="740"/>
    </row>
    <row r="16" spans="1:23" ht="15">
      <c r="A16" s="740"/>
      <c r="B16" s="740"/>
      <c r="C16" s="740"/>
      <c r="D16" s="740"/>
      <c r="E16" s="740"/>
      <c r="F16" s="740"/>
      <c r="G16" s="740"/>
      <c r="H16" s="740"/>
      <c r="I16" s="740"/>
      <c r="J16" s="740"/>
      <c r="K16" s="740"/>
      <c r="L16" s="740"/>
      <c r="M16" s="758"/>
      <c r="N16" s="758"/>
      <c r="O16" s="741"/>
      <c r="P16" s="741"/>
      <c r="Q16" s="741"/>
      <c r="R16" s="741"/>
      <c r="S16" s="741"/>
      <c r="T16" s="741"/>
      <c r="U16" s="741"/>
      <c r="V16" s="740"/>
      <c r="W16" s="740"/>
    </row>
    <row r="17" spans="1:23" ht="15">
      <c r="A17" s="740"/>
      <c r="B17" s="740"/>
      <c r="C17" s="740"/>
      <c r="D17" s="740"/>
      <c r="E17" s="740"/>
      <c r="F17" s="740"/>
      <c r="G17" s="740"/>
      <c r="H17" s="740"/>
      <c r="I17" s="740"/>
      <c r="J17" s="740"/>
      <c r="K17" s="740"/>
      <c r="L17" s="740"/>
      <c r="M17" s="740"/>
      <c r="N17" s="740"/>
      <c r="O17" s="741"/>
      <c r="P17" s="741"/>
      <c r="Q17" s="741"/>
      <c r="R17" s="741"/>
      <c r="S17" s="741"/>
      <c r="T17" s="741"/>
      <c r="U17" s="741"/>
      <c r="V17" s="740"/>
      <c r="W17" s="740"/>
    </row>
    <row r="18" spans="1:23" ht="15">
      <c r="A18" s="740"/>
      <c r="B18" s="740"/>
      <c r="C18" s="740"/>
      <c r="D18" s="740"/>
      <c r="E18" s="740"/>
      <c r="F18" s="740"/>
      <c r="G18" s="740"/>
      <c r="H18" s="740"/>
      <c r="I18" s="740"/>
      <c r="J18" s="741"/>
      <c r="K18" s="740"/>
      <c r="L18" s="740"/>
      <c r="M18" s="740"/>
      <c r="N18" s="740"/>
      <c r="O18" s="740"/>
      <c r="P18" s="741"/>
      <c r="Q18" s="741"/>
      <c r="R18" s="741"/>
      <c r="S18" s="741"/>
      <c r="T18" s="741"/>
      <c r="U18" s="741"/>
      <c r="V18" s="740"/>
      <c r="W18" s="740"/>
    </row>
    <row r="19" spans="1:23" ht="15">
      <c r="A19" s="740"/>
      <c r="B19" s="740"/>
      <c r="C19" s="740"/>
      <c r="D19" s="740"/>
      <c r="E19" s="740"/>
      <c r="F19" s="740"/>
      <c r="G19" s="740"/>
      <c r="H19" s="740"/>
      <c r="I19" s="740"/>
      <c r="J19" s="740"/>
      <c r="K19" s="741"/>
      <c r="L19" s="741"/>
      <c r="M19" s="741"/>
      <c r="N19" s="741"/>
      <c r="O19" s="740"/>
      <c r="P19" s="741"/>
      <c r="Q19" s="741"/>
      <c r="R19" s="741"/>
      <c r="S19" s="741"/>
      <c r="T19" s="741"/>
      <c r="U19" s="741"/>
      <c r="V19" s="740"/>
      <c r="W19" s="740"/>
    </row>
    <row r="20" spans="1:23" ht="15">
      <c r="A20" s="740"/>
      <c r="B20" s="740"/>
      <c r="C20" s="740"/>
      <c r="D20" s="740"/>
      <c r="E20" s="740"/>
      <c r="F20" s="740"/>
      <c r="G20" s="740"/>
      <c r="H20" s="740"/>
      <c r="I20" s="740"/>
      <c r="J20" s="740"/>
      <c r="K20" s="740"/>
      <c r="L20" s="740"/>
      <c r="M20" s="740"/>
      <c r="N20" s="740"/>
      <c r="O20" s="740"/>
      <c r="P20" s="741"/>
      <c r="Q20" s="741"/>
      <c r="R20" s="741"/>
      <c r="S20" s="741"/>
      <c r="T20" s="741"/>
      <c r="U20" s="741"/>
      <c r="V20" s="740"/>
      <c r="W20" s="740"/>
    </row>
    <row r="21" spans="1:23" ht="15">
      <c r="A21" s="740"/>
      <c r="B21" s="740"/>
      <c r="C21" s="740"/>
      <c r="D21" s="740"/>
      <c r="E21" s="740"/>
      <c r="F21" s="740"/>
      <c r="G21" s="740"/>
      <c r="H21" s="740"/>
      <c r="I21" s="740"/>
      <c r="J21" s="740"/>
      <c r="K21" s="740"/>
      <c r="L21" s="740"/>
      <c r="M21" s="740"/>
      <c r="N21" s="740"/>
      <c r="O21" s="740"/>
      <c r="P21" s="741"/>
      <c r="Q21" s="741"/>
      <c r="R21" s="741"/>
      <c r="S21" s="741"/>
      <c r="T21" s="741"/>
      <c r="U21" s="741"/>
      <c r="V21" s="740"/>
      <c r="W21" s="740"/>
    </row>
    <row r="22" spans="1:23" ht="15">
      <c r="A22" s="740"/>
      <c r="B22" s="740"/>
      <c r="C22" s="740"/>
      <c r="D22" s="740"/>
      <c r="E22" s="740"/>
      <c r="F22" s="740"/>
      <c r="G22" s="740"/>
      <c r="H22" s="740"/>
      <c r="I22" s="740"/>
      <c r="J22" s="740"/>
      <c r="K22" s="740"/>
      <c r="L22" s="740"/>
      <c r="M22" s="740"/>
      <c r="N22" s="740"/>
      <c r="O22" s="740"/>
      <c r="P22" s="741"/>
      <c r="Q22" s="741"/>
      <c r="R22" s="741"/>
      <c r="S22" s="741"/>
      <c r="T22" s="741"/>
      <c r="U22" s="741"/>
      <c r="V22" s="740"/>
      <c r="W22" s="740"/>
    </row>
    <row r="23" spans="1:23" ht="15">
      <c r="A23" s="740"/>
      <c r="B23" s="740"/>
      <c r="C23" s="740"/>
      <c r="D23" s="740"/>
      <c r="E23" s="740"/>
      <c r="F23" s="740"/>
      <c r="G23" s="740"/>
      <c r="H23" s="740"/>
      <c r="I23" s="740"/>
      <c r="J23" s="740"/>
      <c r="K23" s="740"/>
      <c r="L23" s="740"/>
      <c r="M23" s="740"/>
      <c r="N23" s="740"/>
      <c r="O23" s="741"/>
      <c r="P23" s="741"/>
      <c r="Q23" s="741"/>
      <c r="R23" s="741"/>
      <c r="S23" s="741"/>
      <c r="T23" s="741"/>
      <c r="U23" s="741"/>
      <c r="V23" s="740"/>
      <c r="W23" s="740"/>
    </row>
    <row r="24" spans="1:23" ht="15">
      <c r="A24" s="740"/>
      <c r="B24" s="740"/>
      <c r="C24" s="740"/>
      <c r="D24" s="740"/>
      <c r="E24" s="740"/>
      <c r="F24" s="740"/>
      <c r="G24" s="740"/>
      <c r="H24" s="740"/>
      <c r="I24" s="740"/>
      <c r="J24" s="740"/>
      <c r="K24" s="740"/>
      <c r="L24" s="740"/>
      <c r="M24" s="740"/>
      <c r="N24" s="740"/>
      <c r="O24" s="740"/>
      <c r="P24" s="741"/>
      <c r="Q24" s="741"/>
      <c r="R24" s="741"/>
      <c r="S24" s="741"/>
      <c r="T24" s="741"/>
      <c r="U24" s="741"/>
      <c r="V24" s="740"/>
      <c r="W24" s="740"/>
    </row>
    <row r="25" spans="1:23" ht="15">
      <c r="A25" s="740"/>
      <c r="B25" s="740"/>
      <c r="C25" s="740"/>
      <c r="D25" s="740"/>
      <c r="E25" s="740"/>
      <c r="F25" s="740"/>
      <c r="G25" s="740"/>
      <c r="H25" s="740"/>
      <c r="I25" s="740"/>
      <c r="J25" s="740"/>
      <c r="K25" s="740"/>
      <c r="L25" s="740"/>
      <c r="M25" s="740"/>
      <c r="N25" s="740"/>
      <c r="O25" s="741"/>
      <c r="P25" s="740"/>
      <c r="Q25" s="741"/>
      <c r="R25" s="741"/>
      <c r="S25" s="741"/>
      <c r="T25" s="741"/>
      <c r="U25" s="741"/>
      <c r="V25" s="740"/>
      <c r="W25" s="740"/>
    </row>
    <row r="26" spans="1:23" ht="15">
      <c r="A26" s="740"/>
      <c r="B26" s="740"/>
      <c r="C26" s="740"/>
      <c r="D26" s="740"/>
      <c r="E26" s="740"/>
      <c r="F26" s="740"/>
      <c r="G26" s="740"/>
      <c r="H26" s="740"/>
      <c r="I26" s="740"/>
      <c r="J26" s="740"/>
      <c r="K26" s="740"/>
      <c r="L26" s="740"/>
      <c r="M26" s="740"/>
      <c r="N26" s="740"/>
      <c r="O26" s="741"/>
      <c r="P26" s="741"/>
      <c r="Q26" s="741"/>
      <c r="R26" s="741"/>
      <c r="S26" s="741"/>
      <c r="T26" s="741"/>
      <c r="U26" s="741"/>
      <c r="V26" s="740"/>
      <c r="W26" s="740"/>
    </row>
    <row r="27" spans="1:23" ht="15">
      <c r="A27" s="740"/>
      <c r="B27" s="740"/>
      <c r="C27" s="740"/>
      <c r="D27" s="740"/>
      <c r="E27" s="740"/>
      <c r="F27" s="740"/>
      <c r="G27" s="740"/>
      <c r="H27" s="740"/>
      <c r="I27" s="740"/>
      <c r="J27" s="740"/>
      <c r="K27" s="740"/>
      <c r="L27" s="740"/>
      <c r="M27" s="740"/>
      <c r="N27" s="740"/>
      <c r="O27" s="740"/>
      <c r="P27" s="741"/>
      <c r="Q27" s="741"/>
      <c r="R27" s="741"/>
      <c r="S27" s="741"/>
      <c r="T27" s="741"/>
      <c r="U27" s="741"/>
      <c r="V27" s="740"/>
      <c r="W27" s="740"/>
    </row>
    <row r="28" spans="1:23" ht="15">
      <c r="A28" s="740"/>
      <c r="B28" s="740"/>
      <c r="C28" s="740"/>
      <c r="D28" s="740"/>
      <c r="E28" s="740"/>
      <c r="F28" s="740"/>
      <c r="G28" s="740"/>
      <c r="H28" s="740"/>
      <c r="I28" s="740"/>
      <c r="J28" s="741"/>
      <c r="K28" s="740"/>
      <c r="L28" s="740"/>
      <c r="M28" s="740"/>
      <c r="N28" s="740"/>
      <c r="O28" s="740"/>
      <c r="P28" s="741"/>
      <c r="Q28" s="741"/>
      <c r="R28" s="741"/>
      <c r="S28" s="741"/>
      <c r="T28" s="741"/>
      <c r="U28" s="741"/>
      <c r="V28" s="740"/>
      <c r="W28" s="740"/>
    </row>
    <row r="29" spans="1:23" ht="15">
      <c r="A29" s="740"/>
      <c r="B29" s="740"/>
      <c r="C29" s="740"/>
      <c r="D29" s="740"/>
      <c r="E29" s="740"/>
      <c r="F29" s="740"/>
      <c r="G29" s="740"/>
      <c r="H29" s="740"/>
      <c r="I29" s="740"/>
      <c r="J29" s="740"/>
      <c r="K29" s="742"/>
      <c r="L29" s="741"/>
      <c r="M29" s="741"/>
      <c r="N29" s="741"/>
      <c r="O29" s="740"/>
      <c r="P29" s="741"/>
      <c r="Q29" s="741"/>
      <c r="R29" s="741"/>
      <c r="S29" s="741"/>
      <c r="T29" s="741"/>
      <c r="U29" s="741"/>
      <c r="V29" s="740"/>
      <c r="W29" s="740"/>
    </row>
    <row r="30" spans="1:23" ht="15">
      <c r="A30" s="740"/>
      <c r="B30" s="740"/>
      <c r="C30" s="740"/>
      <c r="D30" s="740"/>
      <c r="E30" s="740"/>
      <c r="F30" s="740"/>
      <c r="G30" s="740"/>
      <c r="H30" s="740"/>
      <c r="I30" s="740"/>
      <c r="J30" s="740"/>
      <c r="K30" s="740"/>
      <c r="L30" s="740"/>
      <c r="M30" s="740"/>
      <c r="N30" s="740"/>
      <c r="O30" s="740"/>
      <c r="P30" s="741"/>
      <c r="Q30" s="741"/>
      <c r="R30" s="741"/>
      <c r="S30" s="741"/>
      <c r="T30" s="741"/>
      <c r="U30" s="741"/>
      <c r="V30" s="740"/>
      <c r="W30" s="740"/>
    </row>
    <row r="31" spans="1:23" ht="15">
      <c r="A31" s="740"/>
      <c r="B31" s="740"/>
      <c r="C31" s="740"/>
      <c r="D31" s="740"/>
      <c r="E31" s="740"/>
      <c r="F31" s="740"/>
      <c r="G31" s="740"/>
      <c r="H31" s="740"/>
      <c r="I31" s="740"/>
      <c r="J31" s="740"/>
      <c r="K31" s="740"/>
      <c r="L31" s="740"/>
      <c r="M31" s="740"/>
      <c r="N31" s="740"/>
      <c r="O31" s="740"/>
      <c r="P31" s="741"/>
      <c r="Q31" s="741"/>
      <c r="R31" s="741"/>
      <c r="S31" s="741"/>
      <c r="T31" s="741"/>
      <c r="U31" s="741"/>
      <c r="V31" s="740"/>
      <c r="W31" s="740"/>
    </row>
    <row r="32" spans="1:23" ht="15">
      <c r="A32" s="740"/>
      <c r="B32" s="740"/>
      <c r="C32" s="740"/>
      <c r="D32" s="740"/>
      <c r="E32" s="740"/>
      <c r="F32" s="740"/>
      <c r="G32" s="740"/>
      <c r="H32" s="740"/>
      <c r="I32" s="740"/>
      <c r="J32" s="740"/>
      <c r="K32" s="740"/>
      <c r="L32" s="740"/>
      <c r="M32" s="740"/>
      <c r="N32" s="740"/>
      <c r="O32" s="740"/>
      <c r="P32" s="741"/>
      <c r="Q32" s="741"/>
      <c r="R32" s="741"/>
      <c r="S32" s="741"/>
      <c r="T32" s="741"/>
      <c r="U32" s="741"/>
      <c r="V32" s="740"/>
      <c r="W32" s="740"/>
    </row>
    <row r="33" spans="1:23" ht="15">
      <c r="A33" s="740"/>
      <c r="B33" s="740"/>
      <c r="C33" s="740"/>
      <c r="D33" s="740"/>
      <c r="E33" s="740"/>
      <c r="F33" s="740"/>
      <c r="G33" s="740"/>
      <c r="H33" s="740"/>
      <c r="I33" s="740"/>
      <c r="J33" s="740"/>
      <c r="K33" s="740"/>
      <c r="L33" s="740"/>
      <c r="M33" s="740"/>
      <c r="N33" s="740"/>
      <c r="O33" s="740"/>
      <c r="P33" s="741"/>
      <c r="Q33" s="741"/>
      <c r="R33" s="741"/>
      <c r="S33" s="741"/>
      <c r="T33" s="741"/>
      <c r="U33" s="741"/>
      <c r="V33" s="740"/>
      <c r="W33" s="740"/>
    </row>
    <row r="34" spans="1:23" ht="15">
      <c r="A34" s="740"/>
      <c r="B34" s="740"/>
      <c r="C34" s="740"/>
      <c r="D34" s="740"/>
      <c r="E34" s="740"/>
      <c r="F34" s="740"/>
      <c r="G34" s="740"/>
      <c r="H34" s="740"/>
      <c r="I34" s="740"/>
      <c r="J34" s="740"/>
      <c r="K34" s="740"/>
      <c r="L34" s="740"/>
      <c r="M34" s="740"/>
      <c r="N34" s="740"/>
      <c r="O34" s="740"/>
      <c r="P34" s="741"/>
      <c r="Q34" s="741"/>
      <c r="R34" s="741"/>
      <c r="S34" s="741"/>
      <c r="T34" s="741"/>
      <c r="U34" s="741"/>
      <c r="V34" s="740"/>
      <c r="W34" s="740"/>
    </row>
    <row r="35" spans="1:23" ht="15">
      <c r="A35" s="740"/>
      <c r="B35" s="740"/>
      <c r="C35" s="740"/>
      <c r="D35" s="740"/>
      <c r="E35" s="740"/>
      <c r="F35" s="740"/>
      <c r="G35" s="740"/>
      <c r="H35" s="740"/>
      <c r="I35" s="740"/>
      <c r="J35" s="741"/>
      <c r="K35" s="741"/>
      <c r="L35" s="741"/>
      <c r="M35" s="741"/>
      <c r="N35" s="741"/>
      <c r="O35" s="741"/>
      <c r="P35" s="741"/>
      <c r="Q35" s="741"/>
      <c r="R35" s="741"/>
      <c r="S35" s="741"/>
      <c r="T35" s="741"/>
      <c r="U35" s="741"/>
      <c r="V35" s="740"/>
      <c r="W35" s="740"/>
    </row>
    <row r="36" spans="1:23" ht="15">
      <c r="A36" s="740"/>
      <c r="B36" s="740"/>
      <c r="C36" s="740"/>
      <c r="D36" s="740"/>
      <c r="E36" s="740"/>
      <c r="F36" s="740"/>
      <c r="G36" s="740"/>
      <c r="H36" s="740"/>
      <c r="I36" s="740"/>
      <c r="J36" s="740"/>
      <c r="K36" s="740"/>
      <c r="L36" s="740"/>
      <c r="M36" s="740"/>
      <c r="N36" s="740"/>
      <c r="O36" s="740"/>
      <c r="P36" s="740"/>
      <c r="Q36" s="740"/>
      <c r="R36" s="740"/>
      <c r="S36" s="740"/>
      <c r="T36" s="740"/>
      <c r="U36" s="741"/>
      <c r="V36" s="740"/>
      <c r="W36" s="740"/>
    </row>
    <row r="37" spans="1:23" ht="15">
      <c r="A37" s="740"/>
      <c r="B37" s="740"/>
      <c r="C37" s="740"/>
      <c r="D37" s="740"/>
      <c r="E37" s="740"/>
      <c r="F37" s="740"/>
      <c r="G37" s="740"/>
      <c r="H37" s="740"/>
      <c r="I37" s="740"/>
      <c r="J37" s="740"/>
      <c r="K37" s="740"/>
      <c r="L37" s="740"/>
      <c r="M37" s="740"/>
      <c r="N37" s="740"/>
      <c r="O37" s="740"/>
      <c r="P37" s="740"/>
      <c r="Q37" s="740"/>
      <c r="R37" s="740"/>
      <c r="S37" s="740"/>
      <c r="T37" s="740"/>
      <c r="U37" s="741"/>
      <c r="V37" s="740"/>
      <c r="W37" s="740"/>
    </row>
    <row r="38" spans="1:23" ht="15">
      <c r="A38" s="740"/>
      <c r="B38" s="740"/>
      <c r="C38" s="740"/>
      <c r="D38" s="740"/>
      <c r="E38" s="740"/>
      <c r="F38" s="740"/>
      <c r="G38" s="740"/>
      <c r="H38" s="740"/>
      <c r="I38" s="740"/>
      <c r="J38" s="740"/>
      <c r="K38" s="740"/>
      <c r="L38" s="740"/>
      <c r="M38" s="740"/>
      <c r="N38" s="740"/>
      <c r="O38" s="740"/>
      <c r="P38" s="740"/>
      <c r="Q38" s="740"/>
      <c r="R38" s="740"/>
      <c r="S38" s="740"/>
      <c r="T38" s="740"/>
      <c r="U38" s="741"/>
      <c r="V38" s="740"/>
      <c r="W38" s="740"/>
    </row>
    <row r="39" spans="1:23" ht="15">
      <c r="A39" s="740"/>
      <c r="B39" s="740"/>
      <c r="C39" s="740"/>
      <c r="D39" s="740"/>
      <c r="E39" s="740"/>
      <c r="F39" s="740"/>
      <c r="G39" s="740"/>
      <c r="H39" s="740"/>
      <c r="I39" s="740"/>
      <c r="J39" s="740"/>
      <c r="K39" s="740"/>
      <c r="L39" s="740"/>
      <c r="M39" s="740"/>
      <c r="N39" s="740"/>
      <c r="O39" s="740"/>
      <c r="P39" s="740"/>
      <c r="Q39" s="740"/>
      <c r="R39" s="740"/>
      <c r="S39" s="740"/>
      <c r="T39" s="740"/>
      <c r="U39" s="741"/>
      <c r="V39" s="740"/>
      <c r="W39" s="740"/>
    </row>
    <row r="40" spans="1:23" ht="15">
      <c r="A40" s="740"/>
      <c r="B40" s="740"/>
      <c r="C40" s="740"/>
      <c r="D40" s="740"/>
      <c r="E40" s="740"/>
      <c r="F40" s="740"/>
      <c r="G40" s="740"/>
      <c r="H40" s="740"/>
      <c r="I40" s="740"/>
      <c r="J40" s="740"/>
      <c r="K40" s="740"/>
      <c r="L40" s="740"/>
      <c r="M40" s="740"/>
      <c r="N40" s="740"/>
      <c r="O40" s="740"/>
      <c r="P40" s="740"/>
      <c r="Q40" s="740"/>
      <c r="R40" s="740"/>
      <c r="S40" s="740"/>
      <c r="T40" s="740"/>
      <c r="U40" s="741"/>
      <c r="V40" s="740"/>
      <c r="W40" s="740"/>
    </row>
    <row r="41" spans="1:23" ht="15">
      <c r="A41" s="740"/>
      <c r="B41" s="740"/>
      <c r="C41" s="740"/>
      <c r="D41" s="740"/>
      <c r="E41" s="740"/>
      <c r="F41" s="740"/>
      <c r="G41" s="740"/>
      <c r="H41" s="740"/>
      <c r="I41" s="740"/>
      <c r="J41" s="740"/>
      <c r="K41" s="740"/>
      <c r="L41" s="740"/>
      <c r="M41" s="740"/>
      <c r="N41" s="740"/>
      <c r="O41" s="740"/>
      <c r="P41" s="740"/>
      <c r="Q41" s="740"/>
      <c r="R41" s="740"/>
      <c r="S41" s="740"/>
      <c r="T41" s="740"/>
      <c r="U41" s="741"/>
      <c r="V41" s="740"/>
      <c r="W41" s="740"/>
    </row>
    <row r="42" spans="1:23" ht="15">
      <c r="A42" s="740"/>
      <c r="B42" s="740"/>
      <c r="C42" s="740"/>
      <c r="D42" s="740"/>
      <c r="E42" s="740"/>
      <c r="F42" s="740"/>
      <c r="G42" s="740"/>
      <c r="H42" s="740"/>
      <c r="I42" s="740"/>
      <c r="J42" s="740"/>
      <c r="K42" s="740"/>
      <c r="L42" s="740"/>
      <c r="M42" s="740"/>
      <c r="N42" s="740"/>
      <c r="O42" s="740"/>
      <c r="P42" s="740"/>
      <c r="Q42" s="740"/>
      <c r="R42" s="740"/>
      <c r="S42" s="740"/>
      <c r="T42" s="740"/>
      <c r="U42" s="741"/>
      <c r="V42" s="740"/>
      <c r="W42" s="740"/>
    </row>
    <row r="43" spans="1:23" ht="15">
      <c r="A43" s="740"/>
      <c r="B43" s="740"/>
      <c r="C43" s="740"/>
      <c r="D43" s="740"/>
      <c r="E43" s="740"/>
      <c r="F43" s="740"/>
      <c r="G43" s="740"/>
      <c r="H43" s="740"/>
      <c r="I43" s="740"/>
      <c r="J43" s="740"/>
      <c r="K43" s="740"/>
      <c r="L43" s="740"/>
      <c r="M43" s="740"/>
      <c r="N43" s="740"/>
      <c r="O43" s="740"/>
      <c r="P43" s="740"/>
      <c r="Q43" s="740"/>
      <c r="R43" s="740"/>
      <c r="S43" s="740"/>
      <c r="T43" s="740"/>
      <c r="U43" s="741"/>
      <c r="V43" s="740"/>
      <c r="W43" s="740"/>
    </row>
    <row r="44" spans="1:23" ht="15">
      <c r="A44" s="740"/>
      <c r="B44" s="740"/>
      <c r="C44" s="740"/>
      <c r="D44" s="740"/>
      <c r="E44" s="740"/>
      <c r="F44" s="740"/>
      <c r="G44" s="740"/>
      <c r="H44" s="740"/>
      <c r="I44" s="740"/>
      <c r="J44" s="740"/>
      <c r="K44" s="740"/>
      <c r="L44" s="740"/>
      <c r="M44" s="740"/>
      <c r="N44" s="740"/>
      <c r="O44" s="740"/>
      <c r="P44" s="740"/>
      <c r="Q44" s="740"/>
      <c r="R44" s="740"/>
      <c r="S44" s="740"/>
      <c r="T44" s="740"/>
      <c r="U44" s="741"/>
      <c r="V44" s="740"/>
      <c r="W44" s="740"/>
    </row>
    <row r="45" spans="1:23" ht="15">
      <c r="A45" s="740"/>
      <c r="B45" s="740"/>
      <c r="C45" s="740"/>
      <c r="D45" s="740"/>
      <c r="E45" s="740"/>
      <c r="F45" s="740"/>
      <c r="G45" s="740"/>
      <c r="H45" s="740"/>
      <c r="I45" s="740"/>
      <c r="J45" s="740"/>
      <c r="K45" s="740"/>
      <c r="L45" s="740"/>
      <c r="M45" s="740"/>
      <c r="N45" s="740"/>
      <c r="O45" s="740"/>
      <c r="P45" s="740"/>
      <c r="Q45" s="740"/>
      <c r="R45" s="740"/>
      <c r="S45" s="740"/>
      <c r="T45" s="740"/>
      <c r="U45" s="741"/>
      <c r="V45" s="740"/>
      <c r="W45" s="740"/>
    </row>
    <row r="46" spans="1:23" ht="15">
      <c r="A46" s="740"/>
      <c r="B46" s="740"/>
      <c r="C46" s="740"/>
      <c r="D46" s="740"/>
      <c r="E46" s="740"/>
      <c r="F46" s="740"/>
      <c r="G46" s="740"/>
      <c r="H46" s="740"/>
      <c r="I46" s="740"/>
      <c r="J46" s="743"/>
      <c r="K46" s="740"/>
      <c r="L46" s="740"/>
      <c r="M46" s="740"/>
      <c r="N46" s="740"/>
      <c r="O46" s="740"/>
      <c r="P46" s="740"/>
      <c r="Q46" s="740"/>
      <c r="R46" s="740"/>
      <c r="S46" s="740"/>
      <c r="T46" s="740"/>
      <c r="U46" s="741"/>
      <c r="V46" s="740"/>
      <c r="W46" s="740"/>
    </row>
    <row r="47" spans="1:23">
      <c r="A47" s="740"/>
      <c r="B47" s="740"/>
      <c r="C47" s="740"/>
      <c r="D47" s="740"/>
      <c r="E47" s="740"/>
      <c r="F47" s="740"/>
      <c r="G47" s="740"/>
      <c r="H47" s="740"/>
      <c r="I47" s="740"/>
      <c r="J47" s="740"/>
      <c r="K47" s="740"/>
      <c r="L47" s="740"/>
      <c r="M47" s="740"/>
      <c r="N47" s="740"/>
      <c r="O47" s="740"/>
      <c r="P47" s="740"/>
      <c r="Q47" s="740"/>
      <c r="R47" s="740"/>
      <c r="S47" s="740"/>
      <c r="T47" s="740"/>
      <c r="U47" s="740"/>
      <c r="V47" s="740"/>
      <c r="W47" s="740"/>
    </row>
    <row r="48" spans="1:23">
      <c r="A48" s="740"/>
      <c r="B48" s="740"/>
      <c r="C48" s="740"/>
      <c r="D48" s="740"/>
      <c r="E48" s="740"/>
      <c r="F48" s="740"/>
      <c r="G48" s="740"/>
      <c r="H48" s="740"/>
      <c r="I48" s="740"/>
      <c r="J48" s="740"/>
      <c r="K48" s="740"/>
      <c r="L48" s="740"/>
      <c r="M48" s="740"/>
      <c r="N48" s="740"/>
      <c r="O48" s="740"/>
      <c r="P48" s="740"/>
      <c r="Q48" s="740"/>
      <c r="R48" s="740"/>
      <c r="S48" s="740"/>
      <c r="T48" s="740"/>
      <c r="U48" s="740"/>
      <c r="V48" s="740"/>
      <c r="W48" s="740"/>
    </row>
    <row r="49" spans="1:23">
      <c r="A49" s="740"/>
      <c r="B49" s="740"/>
      <c r="C49" s="740"/>
      <c r="D49" s="740"/>
      <c r="E49" s="740"/>
      <c r="F49" s="740"/>
      <c r="G49" s="740"/>
      <c r="H49" s="740"/>
      <c r="I49" s="740"/>
      <c r="J49" s="740"/>
      <c r="K49" s="740"/>
      <c r="L49" s="740"/>
      <c r="M49" s="740"/>
      <c r="N49" s="740"/>
      <c r="O49" s="740"/>
      <c r="P49" s="740"/>
      <c r="Q49" s="740"/>
      <c r="R49" s="740"/>
      <c r="S49" s="740"/>
      <c r="T49" s="740"/>
      <c r="U49" s="740"/>
      <c r="V49" s="740"/>
      <c r="W49" s="740"/>
    </row>
    <row r="50" spans="1:23">
      <c r="A50" s="740"/>
      <c r="B50" s="740"/>
      <c r="C50" s="740"/>
      <c r="D50" s="740"/>
      <c r="E50" s="740"/>
      <c r="F50" s="740"/>
      <c r="G50" s="740"/>
      <c r="H50" s="740"/>
      <c r="I50" s="740"/>
      <c r="J50" s="740"/>
      <c r="K50" s="740"/>
      <c r="L50" s="740"/>
      <c r="M50" s="740"/>
      <c r="N50" s="740"/>
      <c r="O50" s="740"/>
      <c r="P50" s="740"/>
      <c r="Q50" s="740"/>
      <c r="R50" s="740"/>
      <c r="S50" s="740"/>
      <c r="T50" s="740"/>
      <c r="U50" s="740"/>
      <c r="V50" s="740"/>
      <c r="W50" s="740"/>
    </row>
    <row r="51" spans="1:23">
      <c r="A51" s="740"/>
      <c r="B51" s="740"/>
      <c r="C51" s="740"/>
      <c r="D51" s="740"/>
      <c r="E51" s="740"/>
      <c r="F51" s="740"/>
      <c r="G51" s="740"/>
      <c r="H51" s="740"/>
      <c r="I51" s="740"/>
      <c r="J51" s="740"/>
      <c r="K51" s="740"/>
      <c r="L51" s="740"/>
      <c r="M51" s="740"/>
      <c r="N51" s="740"/>
      <c r="O51" s="740"/>
      <c r="P51" s="740"/>
      <c r="Q51" s="740"/>
      <c r="R51" s="740"/>
      <c r="S51" s="740"/>
      <c r="T51" s="740"/>
      <c r="U51" s="740"/>
      <c r="V51" s="740"/>
      <c r="W51" s="740"/>
    </row>
    <row r="52" spans="1:23">
      <c r="A52" s="740"/>
      <c r="B52" s="740"/>
      <c r="C52" s="740"/>
      <c r="D52" s="740"/>
      <c r="E52" s="740"/>
      <c r="F52" s="740"/>
      <c r="G52" s="740"/>
      <c r="H52" s="740"/>
      <c r="I52" s="740"/>
      <c r="J52" s="740"/>
      <c r="K52" s="740"/>
      <c r="L52" s="740"/>
      <c r="M52" s="740"/>
      <c r="N52" s="740"/>
      <c r="O52" s="740"/>
      <c r="P52" s="740"/>
      <c r="Q52" s="740"/>
      <c r="R52" s="740"/>
      <c r="S52" s="740"/>
      <c r="T52" s="740"/>
      <c r="U52" s="740"/>
      <c r="V52" s="740"/>
      <c r="W52" s="740"/>
    </row>
    <row r="53" spans="1:23">
      <c r="A53" s="740"/>
      <c r="B53" s="740"/>
      <c r="C53" s="740"/>
      <c r="D53" s="740"/>
      <c r="E53" s="740"/>
      <c r="F53" s="740"/>
      <c r="G53" s="740"/>
      <c r="H53" s="740"/>
      <c r="I53" s="740"/>
      <c r="J53" s="740"/>
      <c r="K53" s="740"/>
      <c r="L53" s="740"/>
      <c r="M53" s="740"/>
      <c r="N53" s="740"/>
      <c r="O53" s="740"/>
      <c r="P53" s="740"/>
      <c r="Q53" s="740"/>
      <c r="R53" s="740"/>
      <c r="S53" s="740"/>
      <c r="T53" s="740"/>
      <c r="U53" s="740"/>
      <c r="V53" s="740"/>
      <c r="W53" s="740"/>
    </row>
    <row r="54" spans="1:23">
      <c r="A54" s="740"/>
      <c r="B54" s="740"/>
      <c r="C54" s="740"/>
      <c r="D54" s="740"/>
      <c r="E54" s="740"/>
      <c r="F54" s="740"/>
      <c r="G54" s="740"/>
      <c r="H54" s="740"/>
      <c r="I54" s="740"/>
      <c r="J54" s="740"/>
      <c r="K54" s="740"/>
      <c r="L54" s="740"/>
      <c r="M54" s="740"/>
      <c r="N54" s="740"/>
      <c r="O54" s="740"/>
      <c r="P54" s="740"/>
      <c r="Q54" s="740"/>
      <c r="R54" s="740"/>
      <c r="S54" s="740"/>
      <c r="T54" s="740"/>
      <c r="U54" s="740"/>
      <c r="V54" s="740"/>
      <c r="W54" s="740"/>
    </row>
    <row r="55" spans="1:23">
      <c r="A55" s="740"/>
      <c r="B55" s="740"/>
      <c r="C55" s="740"/>
      <c r="D55" s="740"/>
      <c r="E55" s="740"/>
      <c r="F55" s="740"/>
      <c r="G55" s="740"/>
      <c r="H55" s="740"/>
      <c r="I55" s="740"/>
      <c r="J55" s="740"/>
      <c r="K55" s="740"/>
      <c r="L55" s="740"/>
      <c r="M55" s="740"/>
      <c r="N55" s="740"/>
      <c r="O55" s="740"/>
      <c r="P55" s="740"/>
      <c r="Q55" s="740"/>
      <c r="R55" s="740"/>
      <c r="S55" s="740"/>
      <c r="T55" s="740"/>
      <c r="U55" s="740"/>
      <c r="V55" s="740"/>
      <c r="W55" s="740"/>
    </row>
    <row r="56" spans="1:23">
      <c r="A56" s="740"/>
      <c r="B56" s="740"/>
      <c r="C56" s="740"/>
      <c r="D56" s="740"/>
      <c r="E56" s="740"/>
      <c r="F56" s="740"/>
      <c r="G56" s="740"/>
      <c r="H56" s="740"/>
      <c r="I56" s="740"/>
      <c r="J56" s="740"/>
      <c r="K56" s="740"/>
      <c r="L56" s="740"/>
      <c r="M56" s="740"/>
      <c r="N56" s="740"/>
      <c r="O56" s="740"/>
      <c r="P56" s="740"/>
      <c r="Q56" s="740"/>
      <c r="R56" s="740"/>
      <c r="S56" s="740"/>
      <c r="T56" s="740"/>
      <c r="U56" s="740"/>
      <c r="V56" s="740"/>
      <c r="W56" s="740"/>
    </row>
    <row r="57" spans="1:23">
      <c r="A57" s="740"/>
      <c r="B57" s="740"/>
      <c r="C57" s="740"/>
      <c r="D57" s="740"/>
      <c r="E57" s="740"/>
      <c r="F57" s="740"/>
      <c r="G57" s="740"/>
      <c r="H57" s="740"/>
      <c r="I57" s="740"/>
      <c r="J57" s="740"/>
      <c r="K57" s="740"/>
      <c r="L57" s="740"/>
      <c r="M57" s="740"/>
      <c r="N57" s="740"/>
      <c r="O57" s="740"/>
      <c r="P57" s="740"/>
      <c r="Q57" s="740"/>
      <c r="R57" s="740"/>
      <c r="S57" s="740"/>
      <c r="T57" s="740"/>
      <c r="U57" s="740"/>
      <c r="V57" s="740"/>
      <c r="W57" s="740"/>
    </row>
    <row r="58" spans="1:23">
      <c r="A58" s="740"/>
      <c r="B58" s="740"/>
      <c r="C58" s="740"/>
      <c r="D58" s="740"/>
      <c r="E58" s="740"/>
      <c r="F58" s="740"/>
      <c r="G58" s="740"/>
      <c r="H58" s="740"/>
      <c r="I58" s="740"/>
      <c r="J58" s="740"/>
      <c r="K58" s="740"/>
      <c r="L58" s="740"/>
      <c r="M58" s="740"/>
      <c r="N58" s="740"/>
      <c r="O58" s="740"/>
      <c r="P58" s="740"/>
      <c r="Q58" s="740"/>
      <c r="R58" s="740"/>
      <c r="S58" s="740"/>
      <c r="T58" s="740"/>
      <c r="U58" s="740"/>
      <c r="V58" s="740"/>
      <c r="W58" s="740"/>
    </row>
    <row r="59" spans="1:23">
      <c r="A59" s="740"/>
      <c r="B59" s="740"/>
      <c r="C59" s="740"/>
      <c r="D59" s="740"/>
      <c r="E59" s="740"/>
      <c r="F59" s="740"/>
      <c r="G59" s="740"/>
      <c r="H59" s="740"/>
      <c r="I59" s="740"/>
      <c r="J59" s="740"/>
      <c r="K59" s="740"/>
      <c r="L59" s="740"/>
      <c r="M59" s="740"/>
      <c r="N59" s="740"/>
      <c r="O59" s="740"/>
      <c r="P59" s="740"/>
      <c r="Q59" s="740"/>
      <c r="R59" s="740"/>
      <c r="S59" s="740"/>
      <c r="T59" s="740"/>
      <c r="U59" s="740"/>
      <c r="V59" s="740"/>
      <c r="W59" s="740"/>
    </row>
    <row r="60" spans="1:23">
      <c r="A60" s="740"/>
      <c r="B60" s="740"/>
      <c r="C60" s="740"/>
      <c r="D60" s="740"/>
      <c r="E60" s="740"/>
      <c r="F60" s="740"/>
      <c r="G60" s="740"/>
      <c r="H60" s="740"/>
      <c r="I60" s="740"/>
      <c r="J60" s="740"/>
      <c r="K60" s="740"/>
      <c r="L60" s="740"/>
      <c r="M60" s="740"/>
      <c r="N60" s="740"/>
      <c r="O60" s="740"/>
      <c r="P60" s="740"/>
      <c r="Q60" s="740"/>
      <c r="R60" s="740"/>
      <c r="S60" s="740"/>
      <c r="T60" s="740"/>
      <c r="U60" s="740"/>
      <c r="V60" s="740"/>
      <c r="W60" s="740"/>
    </row>
    <row r="61" spans="1:23">
      <c r="A61" s="740"/>
      <c r="B61" s="740"/>
      <c r="C61" s="740"/>
      <c r="D61" s="740"/>
      <c r="E61" s="740"/>
      <c r="F61" s="740"/>
      <c r="G61" s="740"/>
      <c r="H61" s="740"/>
      <c r="I61" s="740"/>
      <c r="J61" s="740"/>
      <c r="K61" s="740"/>
      <c r="L61" s="740"/>
      <c r="M61" s="740"/>
      <c r="N61" s="740"/>
      <c r="O61" s="740"/>
      <c r="P61" s="740"/>
      <c r="Q61" s="740"/>
      <c r="R61" s="740"/>
      <c r="S61" s="740"/>
      <c r="T61" s="740"/>
      <c r="U61" s="740"/>
      <c r="V61" s="740"/>
      <c r="W61" s="740"/>
    </row>
    <row r="62" spans="1:23">
      <c r="A62" s="740"/>
      <c r="B62" s="740"/>
      <c r="C62" s="740"/>
      <c r="D62" s="740"/>
      <c r="E62" s="740"/>
      <c r="F62" s="740"/>
      <c r="G62" s="740"/>
      <c r="H62" s="740"/>
      <c r="I62" s="740"/>
      <c r="J62" s="740"/>
      <c r="K62" s="740"/>
      <c r="L62" s="740"/>
      <c r="M62" s="740"/>
      <c r="N62" s="740"/>
      <c r="O62" s="740"/>
      <c r="P62" s="740"/>
      <c r="Q62" s="740"/>
      <c r="R62" s="740"/>
      <c r="S62" s="740"/>
      <c r="T62" s="740"/>
      <c r="U62" s="740"/>
      <c r="V62" s="740"/>
      <c r="W62" s="740"/>
    </row>
    <row r="63" spans="1:23">
      <c r="A63" s="740"/>
      <c r="B63" s="740"/>
      <c r="C63" s="740"/>
      <c r="D63" s="740"/>
      <c r="E63" s="740"/>
      <c r="F63" s="740"/>
      <c r="G63" s="740"/>
      <c r="H63" s="740"/>
      <c r="I63" s="740"/>
      <c r="J63" s="740"/>
      <c r="K63" s="740"/>
      <c r="L63" s="740"/>
      <c r="M63" s="740"/>
      <c r="N63" s="740"/>
      <c r="O63" s="740"/>
      <c r="P63" s="740"/>
      <c r="Q63" s="740"/>
      <c r="R63" s="740"/>
      <c r="S63" s="740"/>
      <c r="T63" s="740"/>
      <c r="U63" s="740"/>
      <c r="V63" s="740"/>
      <c r="W63" s="740"/>
    </row>
    <row r="64" spans="1:23">
      <c r="A64" s="740"/>
      <c r="B64" s="740"/>
      <c r="C64" s="740"/>
      <c r="D64" s="740"/>
      <c r="E64" s="740"/>
      <c r="F64" s="740"/>
      <c r="G64" s="740"/>
      <c r="H64" s="740"/>
      <c r="I64" s="740"/>
      <c r="J64" s="740"/>
      <c r="K64" s="740"/>
      <c r="L64" s="740"/>
      <c r="M64" s="740"/>
      <c r="N64" s="740"/>
      <c r="O64" s="740"/>
      <c r="P64" s="740"/>
      <c r="Q64" s="740"/>
      <c r="R64" s="740"/>
      <c r="S64" s="740"/>
      <c r="T64" s="740"/>
      <c r="U64" s="740"/>
      <c r="V64" s="740"/>
      <c r="W64" s="740"/>
    </row>
    <row r="65" spans="1:23">
      <c r="A65" s="740"/>
      <c r="B65" s="740"/>
      <c r="C65" s="740"/>
      <c r="D65" s="740"/>
      <c r="E65" s="740"/>
      <c r="F65" s="740"/>
      <c r="G65" s="740"/>
      <c r="H65" s="740"/>
      <c r="I65" s="740"/>
      <c r="J65" s="740"/>
      <c r="K65" s="740"/>
      <c r="L65" s="740"/>
      <c r="M65" s="740"/>
      <c r="N65" s="740"/>
      <c r="O65" s="740"/>
      <c r="P65" s="740"/>
      <c r="Q65" s="740"/>
      <c r="R65" s="740"/>
      <c r="S65" s="740"/>
      <c r="T65" s="740"/>
      <c r="U65" s="740"/>
      <c r="V65" s="740"/>
      <c r="W65" s="740"/>
    </row>
    <row r="66" spans="1:23">
      <c r="A66" s="740"/>
      <c r="B66" s="740"/>
      <c r="C66" s="740"/>
      <c r="D66" s="740"/>
      <c r="E66" s="740"/>
      <c r="F66" s="740"/>
      <c r="G66" s="740"/>
      <c r="H66" s="740"/>
      <c r="I66" s="740"/>
      <c r="J66" s="740"/>
      <c r="K66" s="740"/>
      <c r="L66" s="740"/>
      <c r="M66" s="740"/>
      <c r="N66" s="740"/>
      <c r="O66" s="740"/>
      <c r="P66" s="740"/>
      <c r="Q66" s="740"/>
      <c r="R66" s="740"/>
      <c r="S66" s="740"/>
      <c r="T66" s="740"/>
      <c r="U66" s="740"/>
      <c r="V66" s="740"/>
      <c r="W66" s="740"/>
    </row>
    <row r="67" spans="1:23">
      <c r="A67" s="740"/>
      <c r="B67" s="740"/>
      <c r="C67" s="740"/>
      <c r="D67" s="740"/>
      <c r="E67" s="740"/>
      <c r="F67" s="740"/>
      <c r="G67" s="740"/>
      <c r="H67" s="740"/>
      <c r="I67" s="740"/>
      <c r="J67" s="740"/>
      <c r="K67" s="740"/>
      <c r="L67" s="740"/>
      <c r="M67" s="740"/>
      <c r="N67" s="740"/>
      <c r="O67" s="740"/>
      <c r="P67" s="740"/>
      <c r="Q67" s="740"/>
      <c r="R67" s="740"/>
      <c r="S67" s="740"/>
      <c r="T67" s="740"/>
      <c r="U67" s="740"/>
      <c r="V67" s="740"/>
      <c r="W67" s="740"/>
    </row>
    <row r="68" spans="1:23">
      <c r="A68" s="740"/>
      <c r="B68" s="740"/>
      <c r="C68" s="740"/>
      <c r="D68" s="740"/>
      <c r="E68" s="740"/>
      <c r="F68" s="740"/>
      <c r="G68" s="740"/>
      <c r="H68" s="740"/>
      <c r="I68" s="740"/>
      <c r="J68" s="740"/>
      <c r="K68" s="740"/>
      <c r="L68" s="740"/>
      <c r="M68" s="740"/>
      <c r="N68" s="740"/>
      <c r="O68" s="740"/>
      <c r="P68" s="740"/>
      <c r="Q68" s="740"/>
      <c r="R68" s="740"/>
      <c r="S68" s="740"/>
      <c r="T68" s="740"/>
      <c r="U68" s="740"/>
      <c r="V68" s="740"/>
      <c r="W68" s="740"/>
    </row>
    <row r="69" spans="1:23">
      <c r="A69" s="740"/>
      <c r="B69" s="740"/>
      <c r="C69" s="740"/>
      <c r="D69" s="740"/>
      <c r="E69" s="740"/>
      <c r="F69" s="740"/>
      <c r="G69" s="740"/>
      <c r="H69" s="740"/>
      <c r="I69" s="740"/>
      <c r="J69" s="740"/>
      <c r="K69" s="740"/>
      <c r="L69" s="740"/>
      <c r="M69" s="740"/>
      <c r="N69" s="740"/>
      <c r="O69" s="740"/>
      <c r="P69" s="740"/>
      <c r="Q69" s="740"/>
      <c r="R69" s="740"/>
      <c r="S69" s="740"/>
      <c r="T69" s="740"/>
      <c r="U69" s="740"/>
      <c r="V69" s="740"/>
      <c r="W69" s="740"/>
    </row>
    <row r="70" spans="1:23">
      <c r="A70" s="740"/>
      <c r="B70" s="740"/>
      <c r="C70" s="740"/>
      <c r="D70" s="740"/>
      <c r="E70" s="740"/>
      <c r="F70" s="740"/>
      <c r="G70" s="740"/>
      <c r="H70" s="740"/>
      <c r="I70" s="740"/>
      <c r="J70" s="740"/>
      <c r="K70" s="740"/>
      <c r="L70" s="740"/>
      <c r="M70" s="740"/>
      <c r="N70" s="740"/>
      <c r="O70" s="740"/>
      <c r="P70" s="740"/>
      <c r="Q70" s="740"/>
      <c r="R70" s="740"/>
      <c r="S70" s="740"/>
      <c r="T70" s="740"/>
      <c r="U70" s="740"/>
      <c r="V70" s="740"/>
      <c r="W70" s="740"/>
    </row>
    <row r="71" spans="1:23">
      <c r="A71" s="740"/>
      <c r="B71" s="740"/>
      <c r="C71" s="740"/>
      <c r="D71" s="740"/>
      <c r="E71" s="740"/>
      <c r="F71" s="740"/>
      <c r="G71" s="740"/>
      <c r="H71" s="740"/>
      <c r="I71" s="740"/>
      <c r="J71" s="740"/>
      <c r="K71" s="740"/>
      <c r="L71" s="740"/>
      <c r="M71" s="740"/>
      <c r="N71" s="740"/>
      <c r="O71" s="740"/>
      <c r="P71" s="740"/>
      <c r="Q71" s="740"/>
      <c r="R71" s="740"/>
      <c r="S71" s="740"/>
      <c r="T71" s="740"/>
      <c r="U71" s="740"/>
      <c r="V71" s="740"/>
      <c r="W71" s="740"/>
    </row>
    <row r="72" spans="1:23">
      <c r="A72" s="740"/>
      <c r="B72" s="740"/>
      <c r="C72" s="740"/>
      <c r="D72" s="740"/>
      <c r="E72" s="740"/>
      <c r="F72" s="740"/>
      <c r="G72" s="740"/>
      <c r="H72" s="740"/>
      <c r="I72" s="740"/>
      <c r="J72" s="740"/>
      <c r="K72" s="740"/>
      <c r="L72" s="740"/>
      <c r="M72" s="740"/>
      <c r="N72" s="740"/>
      <c r="O72" s="740"/>
      <c r="P72" s="740"/>
      <c r="Q72" s="740"/>
      <c r="R72" s="740"/>
      <c r="S72" s="740"/>
      <c r="T72" s="740"/>
      <c r="U72" s="740"/>
      <c r="V72" s="740"/>
      <c r="W72" s="740"/>
    </row>
    <row r="73" spans="1:23">
      <c r="A73" s="740"/>
      <c r="B73" s="740"/>
      <c r="C73" s="740"/>
      <c r="D73" s="740"/>
      <c r="E73" s="740"/>
      <c r="F73" s="740"/>
      <c r="G73" s="740"/>
      <c r="H73" s="740"/>
      <c r="I73" s="740"/>
      <c r="J73" s="740"/>
      <c r="K73" s="740"/>
      <c r="L73" s="740"/>
      <c r="M73" s="740"/>
      <c r="N73" s="740"/>
      <c r="O73" s="740"/>
      <c r="P73" s="740"/>
      <c r="Q73" s="740"/>
      <c r="R73" s="740"/>
      <c r="S73" s="740"/>
      <c r="T73" s="740"/>
      <c r="U73" s="740"/>
      <c r="V73" s="740"/>
      <c r="W73" s="740"/>
    </row>
    <row r="74" spans="1:23">
      <c r="A74" s="740"/>
      <c r="B74" s="740"/>
      <c r="C74" s="740"/>
      <c r="D74" s="740"/>
      <c r="E74" s="740"/>
      <c r="F74" s="740"/>
      <c r="G74" s="740"/>
      <c r="H74" s="740"/>
      <c r="I74" s="740"/>
      <c r="J74" s="740"/>
      <c r="K74" s="740"/>
      <c r="L74" s="740"/>
      <c r="M74" s="740"/>
      <c r="N74" s="740"/>
      <c r="O74" s="740"/>
      <c r="P74" s="740"/>
      <c r="Q74" s="740"/>
      <c r="R74" s="740"/>
      <c r="S74" s="740"/>
      <c r="T74" s="740"/>
      <c r="U74" s="740"/>
      <c r="V74" s="740"/>
      <c r="W74" s="740"/>
    </row>
    <row r="75" spans="1:23">
      <c r="A75" s="740"/>
      <c r="B75" s="740"/>
      <c r="C75" s="740"/>
      <c r="D75" s="740"/>
      <c r="E75" s="740"/>
      <c r="F75" s="740"/>
      <c r="G75" s="740"/>
      <c r="H75" s="740"/>
      <c r="I75" s="740"/>
      <c r="J75" s="740"/>
      <c r="K75" s="740"/>
      <c r="L75" s="740"/>
      <c r="M75" s="740"/>
      <c r="N75" s="740"/>
      <c r="O75" s="740"/>
      <c r="P75" s="740"/>
      <c r="Q75" s="740"/>
      <c r="R75" s="740"/>
      <c r="S75" s="740"/>
      <c r="T75" s="740"/>
      <c r="U75" s="740"/>
      <c r="V75" s="740"/>
      <c r="W75" s="740"/>
    </row>
    <row r="76" spans="1:23">
      <c r="A76" s="740"/>
      <c r="B76" s="740"/>
      <c r="C76" s="740"/>
      <c r="D76" s="740"/>
      <c r="E76" s="740"/>
      <c r="F76" s="740"/>
      <c r="G76" s="740"/>
      <c r="H76" s="740"/>
      <c r="I76" s="740"/>
      <c r="J76" s="740"/>
      <c r="K76" s="740"/>
      <c r="L76" s="740"/>
      <c r="M76" s="740"/>
      <c r="N76" s="740"/>
      <c r="O76" s="740"/>
      <c r="P76" s="740"/>
      <c r="Q76" s="740"/>
      <c r="R76" s="740"/>
      <c r="S76" s="740"/>
      <c r="T76" s="740"/>
      <c r="U76" s="740"/>
      <c r="V76" s="740"/>
      <c r="W76" s="740"/>
    </row>
    <row r="77" spans="1:23">
      <c r="A77" s="740"/>
      <c r="B77" s="740"/>
      <c r="C77" s="740"/>
      <c r="D77" s="740"/>
      <c r="E77" s="740"/>
      <c r="F77" s="740"/>
      <c r="G77" s="740"/>
      <c r="H77" s="740"/>
      <c r="I77" s="740"/>
      <c r="J77" s="740"/>
      <c r="K77" s="740"/>
      <c r="L77" s="740"/>
      <c r="M77" s="740"/>
      <c r="N77" s="740"/>
      <c r="O77" s="740"/>
      <c r="P77" s="740"/>
      <c r="Q77" s="740"/>
      <c r="R77" s="740"/>
      <c r="S77" s="740"/>
      <c r="T77" s="740"/>
      <c r="U77" s="740"/>
      <c r="V77" s="740"/>
      <c r="W77" s="740"/>
    </row>
    <row r="78" spans="1:23">
      <c r="A78" s="740"/>
      <c r="B78" s="740"/>
      <c r="C78" s="740"/>
      <c r="D78" s="740"/>
      <c r="E78" s="740"/>
      <c r="F78" s="740"/>
      <c r="G78" s="740"/>
      <c r="H78" s="740"/>
      <c r="I78" s="740"/>
      <c r="J78" s="740"/>
      <c r="K78" s="740"/>
      <c r="L78" s="740"/>
      <c r="M78" s="740"/>
      <c r="N78" s="740"/>
      <c r="O78" s="740"/>
      <c r="P78" s="740"/>
      <c r="Q78" s="740"/>
      <c r="R78" s="740"/>
      <c r="S78" s="740"/>
      <c r="T78" s="740"/>
      <c r="U78" s="740"/>
      <c r="V78" s="740"/>
      <c r="W78" s="740"/>
    </row>
    <row r="79" spans="1:23">
      <c r="A79" s="740"/>
      <c r="B79" s="740"/>
      <c r="C79" s="740"/>
      <c r="D79" s="740"/>
      <c r="E79" s="740"/>
      <c r="F79" s="740"/>
      <c r="G79" s="740"/>
      <c r="H79" s="740"/>
      <c r="I79" s="740"/>
      <c r="J79" s="740"/>
      <c r="K79" s="740"/>
      <c r="L79" s="740"/>
      <c r="M79" s="740"/>
      <c r="N79" s="740"/>
      <c r="O79" s="740"/>
      <c r="P79" s="740"/>
      <c r="Q79" s="740"/>
      <c r="R79" s="740"/>
      <c r="S79" s="740"/>
      <c r="T79" s="740"/>
      <c r="U79" s="740"/>
      <c r="V79" s="740"/>
      <c r="W79" s="740"/>
    </row>
    <row r="80" spans="1:23">
      <c r="A80" s="740"/>
      <c r="B80" s="740"/>
      <c r="C80" s="740"/>
      <c r="D80" s="740"/>
      <c r="E80" s="740"/>
      <c r="F80" s="740"/>
      <c r="G80" s="740"/>
      <c r="H80" s="740"/>
      <c r="I80" s="740"/>
      <c r="J80" s="740"/>
      <c r="K80" s="740"/>
      <c r="L80" s="740"/>
      <c r="M80" s="740"/>
      <c r="N80" s="740"/>
      <c r="O80" s="740"/>
      <c r="P80" s="740"/>
      <c r="Q80" s="740"/>
      <c r="R80" s="740"/>
      <c r="S80" s="740"/>
      <c r="T80" s="740"/>
      <c r="U80" s="740"/>
      <c r="V80" s="740"/>
      <c r="W80" s="740"/>
    </row>
    <row r="81" spans="1:23">
      <c r="A81" s="740"/>
      <c r="B81" s="740"/>
      <c r="C81" s="740"/>
      <c r="D81" s="740"/>
      <c r="E81" s="740"/>
      <c r="F81" s="740"/>
      <c r="G81" s="740"/>
      <c r="H81" s="740"/>
      <c r="I81" s="740"/>
      <c r="J81" s="740"/>
      <c r="K81" s="740"/>
      <c r="L81" s="740"/>
      <c r="M81" s="740"/>
      <c r="N81" s="740"/>
      <c r="O81" s="740"/>
      <c r="P81" s="740"/>
      <c r="Q81" s="740"/>
      <c r="R81" s="740"/>
      <c r="S81" s="740"/>
      <c r="T81" s="740"/>
      <c r="U81" s="740"/>
      <c r="V81" s="740"/>
      <c r="W81" s="740"/>
    </row>
    <row r="82" spans="1:23">
      <c r="A82" s="740"/>
      <c r="B82" s="740"/>
      <c r="C82" s="740"/>
      <c r="D82" s="740"/>
      <c r="E82" s="740"/>
      <c r="F82" s="740"/>
      <c r="G82" s="740"/>
      <c r="H82" s="740"/>
      <c r="I82" s="740"/>
      <c r="J82" s="740"/>
      <c r="K82" s="740"/>
      <c r="L82" s="740"/>
      <c r="M82" s="740"/>
      <c r="N82" s="740"/>
      <c r="O82" s="740"/>
      <c r="P82" s="740"/>
      <c r="Q82" s="740"/>
      <c r="R82" s="740"/>
      <c r="S82" s="740"/>
      <c r="T82" s="740"/>
      <c r="U82" s="740"/>
      <c r="V82" s="740"/>
      <c r="W82" s="740"/>
    </row>
  </sheetData>
  <pageMargins left="0.7" right="0.7" top="0.75" bottom="0.75" header="0.3" footer="0.3"/>
  <pageSetup paperSize="9" scale="90" orientation="portrait" verticalDpi="0" r:id="rId1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14"/>
  <sheetViews>
    <sheetView showGridLines="0" zoomScaleNormal="100" workbookViewId="0">
      <pane xSplit="1" ySplit="1" topLeftCell="B2" activePane="bottomRight" state="frozen"/>
      <selection activeCell="A34" sqref="A34"/>
      <selection pane="topRight" activeCell="A34" sqref="A34"/>
      <selection pane="bottomLeft" activeCell="A34" sqref="A34"/>
      <selection pane="bottomRight" activeCell="C10" sqref="C10"/>
    </sheetView>
  </sheetViews>
  <sheetFormatPr defaultRowHeight="15"/>
  <cols>
    <col min="1" max="1" width="39" style="745" bestFit="1" customWidth="1"/>
    <col min="2" max="4" width="9.140625" style="745" customWidth="1"/>
    <col min="5" max="19" width="9.140625" style="745"/>
    <col min="20" max="20" width="19.5703125" style="745" bestFit="1" customWidth="1"/>
    <col min="21" max="22" width="9.140625" style="745"/>
    <col min="23" max="23" width="10.28515625" style="745" customWidth="1"/>
    <col min="24" max="230" width="9.140625" style="745"/>
    <col min="231" max="231" width="20.7109375" style="745" bestFit="1" customWidth="1"/>
    <col min="232" max="234" width="9.140625" style="745" customWidth="1"/>
    <col min="235" max="249" width="9.140625" style="745"/>
    <col min="250" max="250" width="19.5703125" style="745" bestFit="1" customWidth="1"/>
    <col min="251" max="252" width="9.140625" style="745"/>
    <col min="253" max="253" width="10.28515625" style="745" customWidth="1"/>
    <col min="254" max="263" width="9.140625" style="745"/>
    <col min="264" max="264" width="19.140625" style="745" bestFit="1" customWidth="1"/>
    <col min="265" max="486" width="9.140625" style="745"/>
    <col min="487" max="487" width="20.7109375" style="745" bestFit="1" customWidth="1"/>
    <col min="488" max="490" width="9.140625" style="745" customWidth="1"/>
    <col min="491" max="505" width="9.140625" style="745"/>
    <col min="506" max="506" width="19.5703125" style="745" bestFit="1" customWidth="1"/>
    <col min="507" max="508" width="9.140625" style="745"/>
    <col min="509" max="509" width="10.28515625" style="745" customWidth="1"/>
    <col min="510" max="519" width="9.140625" style="745"/>
    <col min="520" max="520" width="19.140625" style="745" bestFit="1" customWidth="1"/>
    <col min="521" max="742" width="9.140625" style="745"/>
    <col min="743" max="743" width="20.7109375" style="745" bestFit="1" customWidth="1"/>
    <col min="744" max="746" width="9.140625" style="745" customWidth="1"/>
    <col min="747" max="761" width="9.140625" style="745"/>
    <col min="762" max="762" width="19.5703125" style="745" bestFit="1" customWidth="1"/>
    <col min="763" max="764" width="9.140625" style="745"/>
    <col min="765" max="765" width="10.28515625" style="745" customWidth="1"/>
    <col min="766" max="775" width="9.140625" style="745"/>
    <col min="776" max="776" width="19.140625" style="745" bestFit="1" customWidth="1"/>
    <col min="777" max="998" width="9.140625" style="745"/>
    <col min="999" max="999" width="20.7109375" style="745" bestFit="1" customWidth="1"/>
    <col min="1000" max="1002" width="9.140625" style="745" customWidth="1"/>
    <col min="1003" max="1017" width="9.140625" style="745"/>
    <col min="1018" max="1018" width="19.5703125" style="745" bestFit="1" customWidth="1"/>
    <col min="1019" max="1020" width="9.140625" style="745"/>
    <col min="1021" max="1021" width="10.28515625" style="745" customWidth="1"/>
    <col min="1022" max="1031" width="9.140625" style="745"/>
    <col min="1032" max="1032" width="19.140625" style="745" bestFit="1" customWidth="1"/>
    <col min="1033" max="1254" width="9.140625" style="745"/>
    <col min="1255" max="1255" width="20.7109375" style="745" bestFit="1" customWidth="1"/>
    <col min="1256" max="1258" width="9.140625" style="745" customWidth="1"/>
    <col min="1259" max="1273" width="9.140625" style="745"/>
    <col min="1274" max="1274" width="19.5703125" style="745" bestFit="1" customWidth="1"/>
    <col min="1275" max="1276" width="9.140625" style="745"/>
    <col min="1277" max="1277" width="10.28515625" style="745" customWidth="1"/>
    <col min="1278" max="1287" width="9.140625" style="745"/>
    <col min="1288" max="1288" width="19.140625" style="745" bestFit="1" customWidth="1"/>
    <col min="1289" max="1510" width="9.140625" style="745"/>
    <col min="1511" max="1511" width="20.7109375" style="745" bestFit="1" customWidth="1"/>
    <col min="1512" max="1514" width="9.140625" style="745" customWidth="1"/>
    <col min="1515" max="1529" width="9.140625" style="745"/>
    <col min="1530" max="1530" width="19.5703125" style="745" bestFit="1" customWidth="1"/>
    <col min="1531" max="1532" width="9.140625" style="745"/>
    <col min="1533" max="1533" width="10.28515625" style="745" customWidth="1"/>
    <col min="1534" max="1543" width="9.140625" style="745"/>
    <col min="1544" max="1544" width="19.140625" style="745" bestFit="1" customWidth="1"/>
    <col min="1545" max="1766" width="9.140625" style="745"/>
    <col min="1767" max="1767" width="20.7109375" style="745" bestFit="1" customWidth="1"/>
    <col min="1768" max="1770" width="9.140625" style="745" customWidth="1"/>
    <col min="1771" max="1785" width="9.140625" style="745"/>
    <col min="1786" max="1786" width="19.5703125" style="745" bestFit="1" customWidth="1"/>
    <col min="1787" max="1788" width="9.140625" style="745"/>
    <col min="1789" max="1789" width="10.28515625" style="745" customWidth="1"/>
    <col min="1790" max="1799" width="9.140625" style="745"/>
    <col min="1800" max="1800" width="19.140625" style="745" bestFit="1" customWidth="1"/>
    <col min="1801" max="2022" width="9.140625" style="745"/>
    <col min="2023" max="2023" width="20.7109375" style="745" bestFit="1" customWidth="1"/>
    <col min="2024" max="2026" width="9.140625" style="745" customWidth="1"/>
    <col min="2027" max="2041" width="9.140625" style="745"/>
    <col min="2042" max="2042" width="19.5703125" style="745" bestFit="1" customWidth="1"/>
    <col min="2043" max="2044" width="9.140625" style="745"/>
    <col min="2045" max="2045" width="10.28515625" style="745" customWidth="1"/>
    <col min="2046" max="2055" width="9.140625" style="745"/>
    <col min="2056" max="2056" width="19.140625" style="745" bestFit="1" customWidth="1"/>
    <col min="2057" max="2278" width="9.140625" style="745"/>
    <col min="2279" max="2279" width="20.7109375" style="745" bestFit="1" customWidth="1"/>
    <col min="2280" max="2282" width="9.140625" style="745" customWidth="1"/>
    <col min="2283" max="2297" width="9.140625" style="745"/>
    <col min="2298" max="2298" width="19.5703125" style="745" bestFit="1" customWidth="1"/>
    <col min="2299" max="2300" width="9.140625" style="745"/>
    <col min="2301" max="2301" width="10.28515625" style="745" customWidth="1"/>
    <col min="2302" max="2311" width="9.140625" style="745"/>
    <col min="2312" max="2312" width="19.140625" style="745" bestFit="1" customWidth="1"/>
    <col min="2313" max="2534" width="9.140625" style="745"/>
    <col min="2535" max="2535" width="20.7109375" style="745" bestFit="1" customWidth="1"/>
    <col min="2536" max="2538" width="9.140625" style="745" customWidth="1"/>
    <col min="2539" max="2553" width="9.140625" style="745"/>
    <col min="2554" max="2554" width="19.5703125" style="745" bestFit="1" customWidth="1"/>
    <col min="2555" max="2556" width="9.140625" style="745"/>
    <col min="2557" max="2557" width="10.28515625" style="745" customWidth="1"/>
    <col min="2558" max="2567" width="9.140625" style="745"/>
    <col min="2568" max="2568" width="19.140625" style="745" bestFit="1" customWidth="1"/>
    <col min="2569" max="2790" width="9.140625" style="745"/>
    <col min="2791" max="2791" width="20.7109375" style="745" bestFit="1" customWidth="1"/>
    <col min="2792" max="2794" width="9.140625" style="745" customWidth="1"/>
    <col min="2795" max="2809" width="9.140625" style="745"/>
    <col min="2810" max="2810" width="19.5703125" style="745" bestFit="1" customWidth="1"/>
    <col min="2811" max="2812" width="9.140625" style="745"/>
    <col min="2813" max="2813" width="10.28515625" style="745" customWidth="1"/>
    <col min="2814" max="2823" width="9.140625" style="745"/>
    <col min="2824" max="2824" width="19.140625" style="745" bestFit="1" customWidth="1"/>
    <col min="2825" max="3046" width="9.140625" style="745"/>
    <col min="3047" max="3047" width="20.7109375" style="745" bestFit="1" customWidth="1"/>
    <col min="3048" max="3050" width="9.140625" style="745" customWidth="1"/>
    <col min="3051" max="3065" width="9.140625" style="745"/>
    <col min="3066" max="3066" width="19.5703125" style="745" bestFit="1" customWidth="1"/>
    <col min="3067" max="3068" width="9.140625" style="745"/>
    <col min="3069" max="3069" width="10.28515625" style="745" customWidth="1"/>
    <col min="3070" max="3079" width="9.140625" style="745"/>
    <col min="3080" max="3080" width="19.140625" style="745" bestFit="1" customWidth="1"/>
    <col min="3081" max="3302" width="9.140625" style="745"/>
    <col min="3303" max="3303" width="20.7109375" style="745" bestFit="1" customWidth="1"/>
    <col min="3304" max="3306" width="9.140625" style="745" customWidth="1"/>
    <col min="3307" max="3321" width="9.140625" style="745"/>
    <col min="3322" max="3322" width="19.5703125" style="745" bestFit="1" customWidth="1"/>
    <col min="3323" max="3324" width="9.140625" style="745"/>
    <col min="3325" max="3325" width="10.28515625" style="745" customWidth="1"/>
    <col min="3326" max="3335" width="9.140625" style="745"/>
    <col min="3336" max="3336" width="19.140625" style="745" bestFit="1" customWidth="1"/>
    <col min="3337" max="3558" width="9.140625" style="745"/>
    <col min="3559" max="3559" width="20.7109375" style="745" bestFit="1" customWidth="1"/>
    <col min="3560" max="3562" width="9.140625" style="745" customWidth="1"/>
    <col min="3563" max="3577" width="9.140625" style="745"/>
    <col min="3578" max="3578" width="19.5703125" style="745" bestFit="1" customWidth="1"/>
    <col min="3579" max="3580" width="9.140625" style="745"/>
    <col min="3581" max="3581" width="10.28515625" style="745" customWidth="1"/>
    <col min="3582" max="3591" width="9.140625" style="745"/>
    <col min="3592" max="3592" width="19.140625" style="745" bestFit="1" customWidth="1"/>
    <col min="3593" max="3814" width="9.140625" style="745"/>
    <col min="3815" max="3815" width="20.7109375" style="745" bestFit="1" customWidth="1"/>
    <col min="3816" max="3818" width="9.140625" style="745" customWidth="1"/>
    <col min="3819" max="3833" width="9.140625" style="745"/>
    <col min="3834" max="3834" width="19.5703125" style="745" bestFit="1" customWidth="1"/>
    <col min="3835" max="3836" width="9.140625" style="745"/>
    <col min="3837" max="3837" width="10.28515625" style="745" customWidth="1"/>
    <col min="3838" max="3847" width="9.140625" style="745"/>
    <col min="3848" max="3848" width="19.140625" style="745" bestFit="1" customWidth="1"/>
    <col min="3849" max="4070" width="9.140625" style="745"/>
    <col min="4071" max="4071" width="20.7109375" style="745" bestFit="1" customWidth="1"/>
    <col min="4072" max="4074" width="9.140625" style="745" customWidth="1"/>
    <col min="4075" max="4089" width="9.140625" style="745"/>
    <col min="4090" max="4090" width="19.5703125" style="745" bestFit="1" customWidth="1"/>
    <col min="4091" max="4092" width="9.140625" style="745"/>
    <col min="4093" max="4093" width="10.28515625" style="745" customWidth="1"/>
    <col min="4094" max="4103" width="9.140625" style="745"/>
    <col min="4104" max="4104" width="19.140625" style="745" bestFit="1" customWidth="1"/>
    <col min="4105" max="4326" width="9.140625" style="745"/>
    <col min="4327" max="4327" width="20.7109375" style="745" bestFit="1" customWidth="1"/>
    <col min="4328" max="4330" width="9.140625" style="745" customWidth="1"/>
    <col min="4331" max="4345" width="9.140625" style="745"/>
    <col min="4346" max="4346" width="19.5703125" style="745" bestFit="1" customWidth="1"/>
    <col min="4347" max="4348" width="9.140625" style="745"/>
    <col min="4349" max="4349" width="10.28515625" style="745" customWidth="1"/>
    <col min="4350" max="4359" width="9.140625" style="745"/>
    <col min="4360" max="4360" width="19.140625" style="745" bestFit="1" customWidth="1"/>
    <col min="4361" max="4582" width="9.140625" style="745"/>
    <col min="4583" max="4583" width="20.7109375" style="745" bestFit="1" customWidth="1"/>
    <col min="4584" max="4586" width="9.140625" style="745" customWidth="1"/>
    <col min="4587" max="4601" width="9.140625" style="745"/>
    <col min="4602" max="4602" width="19.5703125" style="745" bestFit="1" customWidth="1"/>
    <col min="4603" max="4604" width="9.140625" style="745"/>
    <col min="4605" max="4605" width="10.28515625" style="745" customWidth="1"/>
    <col min="4606" max="4615" width="9.140625" style="745"/>
    <col min="4616" max="4616" width="19.140625" style="745" bestFit="1" customWidth="1"/>
    <col min="4617" max="4838" width="9.140625" style="745"/>
    <col min="4839" max="4839" width="20.7109375" style="745" bestFit="1" customWidth="1"/>
    <col min="4840" max="4842" width="9.140625" style="745" customWidth="1"/>
    <col min="4843" max="4857" width="9.140625" style="745"/>
    <col min="4858" max="4858" width="19.5703125" style="745" bestFit="1" customWidth="1"/>
    <col min="4859" max="4860" width="9.140625" style="745"/>
    <col min="4861" max="4861" width="10.28515625" style="745" customWidth="1"/>
    <col min="4862" max="4871" width="9.140625" style="745"/>
    <col min="4872" max="4872" width="19.140625" style="745" bestFit="1" customWidth="1"/>
    <col min="4873" max="5094" width="9.140625" style="745"/>
    <col min="5095" max="5095" width="20.7109375" style="745" bestFit="1" customWidth="1"/>
    <col min="5096" max="5098" width="9.140625" style="745" customWidth="1"/>
    <col min="5099" max="5113" width="9.140625" style="745"/>
    <col min="5114" max="5114" width="19.5703125" style="745" bestFit="1" customWidth="1"/>
    <col min="5115" max="5116" width="9.140625" style="745"/>
    <col min="5117" max="5117" width="10.28515625" style="745" customWidth="1"/>
    <col min="5118" max="5127" width="9.140625" style="745"/>
    <col min="5128" max="5128" width="19.140625" style="745" bestFit="1" customWidth="1"/>
    <col min="5129" max="5350" width="9.140625" style="745"/>
    <col min="5351" max="5351" width="20.7109375" style="745" bestFit="1" customWidth="1"/>
    <col min="5352" max="5354" width="9.140625" style="745" customWidth="1"/>
    <col min="5355" max="5369" width="9.140625" style="745"/>
    <col min="5370" max="5370" width="19.5703125" style="745" bestFit="1" customWidth="1"/>
    <col min="5371" max="5372" width="9.140625" style="745"/>
    <col min="5373" max="5373" width="10.28515625" style="745" customWidth="1"/>
    <col min="5374" max="5383" width="9.140625" style="745"/>
    <col min="5384" max="5384" width="19.140625" style="745" bestFit="1" customWidth="1"/>
    <col min="5385" max="5606" width="9.140625" style="745"/>
    <col min="5607" max="5607" width="20.7109375" style="745" bestFit="1" customWidth="1"/>
    <col min="5608" max="5610" width="9.140625" style="745" customWidth="1"/>
    <col min="5611" max="5625" width="9.140625" style="745"/>
    <col min="5626" max="5626" width="19.5703125" style="745" bestFit="1" customWidth="1"/>
    <col min="5627" max="5628" width="9.140625" style="745"/>
    <col min="5629" max="5629" width="10.28515625" style="745" customWidth="1"/>
    <col min="5630" max="5639" width="9.140625" style="745"/>
    <col min="5640" max="5640" width="19.140625" style="745" bestFit="1" customWidth="1"/>
    <col min="5641" max="5862" width="9.140625" style="745"/>
    <col min="5863" max="5863" width="20.7109375" style="745" bestFit="1" customWidth="1"/>
    <col min="5864" max="5866" width="9.140625" style="745" customWidth="1"/>
    <col min="5867" max="5881" width="9.140625" style="745"/>
    <col min="5882" max="5882" width="19.5703125" style="745" bestFit="1" customWidth="1"/>
    <col min="5883" max="5884" width="9.140625" style="745"/>
    <col min="5885" max="5885" width="10.28515625" style="745" customWidth="1"/>
    <col min="5886" max="5895" width="9.140625" style="745"/>
    <col min="5896" max="5896" width="19.140625" style="745" bestFit="1" customWidth="1"/>
    <col min="5897" max="6118" width="9.140625" style="745"/>
    <col min="6119" max="6119" width="20.7109375" style="745" bestFit="1" customWidth="1"/>
    <col min="6120" max="6122" width="9.140625" style="745" customWidth="1"/>
    <col min="6123" max="6137" width="9.140625" style="745"/>
    <col min="6138" max="6138" width="19.5703125" style="745" bestFit="1" customWidth="1"/>
    <col min="6139" max="6140" width="9.140625" style="745"/>
    <col min="6141" max="6141" width="10.28515625" style="745" customWidth="1"/>
    <col min="6142" max="6151" width="9.140625" style="745"/>
    <col min="6152" max="6152" width="19.140625" style="745" bestFit="1" customWidth="1"/>
    <col min="6153" max="6374" width="9.140625" style="745"/>
    <col min="6375" max="6375" width="20.7109375" style="745" bestFit="1" customWidth="1"/>
    <col min="6376" max="6378" width="9.140625" style="745" customWidth="1"/>
    <col min="6379" max="6393" width="9.140625" style="745"/>
    <col min="6394" max="6394" width="19.5703125" style="745" bestFit="1" customWidth="1"/>
    <col min="6395" max="6396" width="9.140625" style="745"/>
    <col min="6397" max="6397" width="10.28515625" style="745" customWidth="1"/>
    <col min="6398" max="6407" width="9.140625" style="745"/>
    <col min="6408" max="6408" width="19.140625" style="745" bestFit="1" customWidth="1"/>
    <col min="6409" max="6630" width="9.140625" style="745"/>
    <col min="6631" max="6631" width="20.7109375" style="745" bestFit="1" customWidth="1"/>
    <col min="6632" max="6634" width="9.140625" style="745" customWidth="1"/>
    <col min="6635" max="6649" width="9.140625" style="745"/>
    <col min="6650" max="6650" width="19.5703125" style="745" bestFit="1" customWidth="1"/>
    <col min="6651" max="6652" width="9.140625" style="745"/>
    <col min="6653" max="6653" width="10.28515625" style="745" customWidth="1"/>
    <col min="6654" max="6663" width="9.140625" style="745"/>
    <col min="6664" max="6664" width="19.140625" style="745" bestFit="1" customWidth="1"/>
    <col min="6665" max="6886" width="9.140625" style="745"/>
    <col min="6887" max="6887" width="20.7109375" style="745" bestFit="1" customWidth="1"/>
    <col min="6888" max="6890" width="9.140625" style="745" customWidth="1"/>
    <col min="6891" max="6905" width="9.140625" style="745"/>
    <col min="6906" max="6906" width="19.5703125" style="745" bestFit="1" customWidth="1"/>
    <col min="6907" max="6908" width="9.140625" style="745"/>
    <col min="6909" max="6909" width="10.28515625" style="745" customWidth="1"/>
    <col min="6910" max="6919" width="9.140625" style="745"/>
    <col min="6920" max="6920" width="19.140625" style="745" bestFit="1" customWidth="1"/>
    <col min="6921" max="7142" width="9.140625" style="745"/>
    <col min="7143" max="7143" width="20.7109375" style="745" bestFit="1" customWidth="1"/>
    <col min="7144" max="7146" width="9.140625" style="745" customWidth="1"/>
    <col min="7147" max="7161" width="9.140625" style="745"/>
    <col min="7162" max="7162" width="19.5703125" style="745" bestFit="1" customWidth="1"/>
    <col min="7163" max="7164" width="9.140625" style="745"/>
    <col min="7165" max="7165" width="10.28515625" style="745" customWidth="1"/>
    <col min="7166" max="7175" width="9.140625" style="745"/>
    <col min="7176" max="7176" width="19.140625" style="745" bestFit="1" customWidth="1"/>
    <col min="7177" max="7398" width="9.140625" style="745"/>
    <col min="7399" max="7399" width="20.7109375" style="745" bestFit="1" customWidth="1"/>
    <col min="7400" max="7402" width="9.140625" style="745" customWidth="1"/>
    <col min="7403" max="7417" width="9.140625" style="745"/>
    <col min="7418" max="7418" width="19.5703125" style="745" bestFit="1" customWidth="1"/>
    <col min="7419" max="7420" width="9.140625" style="745"/>
    <col min="7421" max="7421" width="10.28515625" style="745" customWidth="1"/>
    <col min="7422" max="7431" width="9.140625" style="745"/>
    <col min="7432" max="7432" width="19.140625" style="745" bestFit="1" customWidth="1"/>
    <col min="7433" max="7654" width="9.140625" style="745"/>
    <col min="7655" max="7655" width="20.7109375" style="745" bestFit="1" customWidth="1"/>
    <col min="7656" max="7658" width="9.140625" style="745" customWidth="1"/>
    <col min="7659" max="7673" width="9.140625" style="745"/>
    <col min="7674" max="7674" width="19.5703125" style="745" bestFit="1" customWidth="1"/>
    <col min="7675" max="7676" width="9.140625" style="745"/>
    <col min="7677" max="7677" width="10.28515625" style="745" customWidth="1"/>
    <col min="7678" max="7687" width="9.140625" style="745"/>
    <col min="7688" max="7688" width="19.140625" style="745" bestFit="1" customWidth="1"/>
    <col min="7689" max="7910" width="9.140625" style="745"/>
    <col min="7911" max="7911" width="20.7109375" style="745" bestFit="1" customWidth="1"/>
    <col min="7912" max="7914" width="9.140625" style="745" customWidth="1"/>
    <col min="7915" max="7929" width="9.140625" style="745"/>
    <col min="7930" max="7930" width="19.5703125" style="745" bestFit="1" customWidth="1"/>
    <col min="7931" max="7932" width="9.140625" style="745"/>
    <col min="7933" max="7933" width="10.28515625" style="745" customWidth="1"/>
    <col min="7934" max="7943" width="9.140625" style="745"/>
    <col min="7944" max="7944" width="19.140625" style="745" bestFit="1" customWidth="1"/>
    <col min="7945" max="8166" width="9.140625" style="745"/>
    <col min="8167" max="8167" width="20.7109375" style="745" bestFit="1" customWidth="1"/>
    <col min="8168" max="8170" width="9.140625" style="745" customWidth="1"/>
    <col min="8171" max="8185" width="9.140625" style="745"/>
    <col min="8186" max="8186" width="19.5703125" style="745" bestFit="1" customWidth="1"/>
    <col min="8187" max="8188" width="9.140625" style="745"/>
    <col min="8189" max="8189" width="10.28515625" style="745" customWidth="1"/>
    <col min="8190" max="8199" width="9.140625" style="745"/>
    <col min="8200" max="8200" width="19.140625" style="745" bestFit="1" customWidth="1"/>
    <col min="8201" max="8422" width="9.140625" style="745"/>
    <col min="8423" max="8423" width="20.7109375" style="745" bestFit="1" customWidth="1"/>
    <col min="8424" max="8426" width="9.140625" style="745" customWidth="1"/>
    <col min="8427" max="8441" width="9.140625" style="745"/>
    <col min="8442" max="8442" width="19.5703125" style="745" bestFit="1" customWidth="1"/>
    <col min="8443" max="8444" width="9.140625" style="745"/>
    <col min="8445" max="8445" width="10.28515625" style="745" customWidth="1"/>
    <col min="8446" max="8455" width="9.140625" style="745"/>
    <col min="8456" max="8456" width="19.140625" style="745" bestFit="1" customWidth="1"/>
    <col min="8457" max="8678" width="9.140625" style="745"/>
    <col min="8679" max="8679" width="20.7109375" style="745" bestFit="1" customWidth="1"/>
    <col min="8680" max="8682" width="9.140625" style="745" customWidth="1"/>
    <col min="8683" max="8697" width="9.140625" style="745"/>
    <col min="8698" max="8698" width="19.5703125" style="745" bestFit="1" customWidth="1"/>
    <col min="8699" max="8700" width="9.140625" style="745"/>
    <col min="8701" max="8701" width="10.28515625" style="745" customWidth="1"/>
    <col min="8702" max="8711" width="9.140625" style="745"/>
    <col min="8712" max="8712" width="19.140625" style="745" bestFit="1" customWidth="1"/>
    <col min="8713" max="8934" width="9.140625" style="745"/>
    <col min="8935" max="8935" width="20.7109375" style="745" bestFit="1" customWidth="1"/>
    <col min="8936" max="8938" width="9.140625" style="745" customWidth="1"/>
    <col min="8939" max="8953" width="9.140625" style="745"/>
    <col min="8954" max="8954" width="19.5703125" style="745" bestFit="1" customWidth="1"/>
    <col min="8955" max="8956" width="9.140625" style="745"/>
    <col min="8957" max="8957" width="10.28515625" style="745" customWidth="1"/>
    <col min="8958" max="8967" width="9.140625" style="745"/>
    <col min="8968" max="8968" width="19.140625" style="745" bestFit="1" customWidth="1"/>
    <col min="8969" max="9190" width="9.140625" style="745"/>
    <col min="9191" max="9191" width="20.7109375" style="745" bestFit="1" customWidth="1"/>
    <col min="9192" max="9194" width="9.140625" style="745" customWidth="1"/>
    <col min="9195" max="9209" width="9.140625" style="745"/>
    <col min="9210" max="9210" width="19.5703125" style="745" bestFit="1" customWidth="1"/>
    <col min="9211" max="9212" width="9.140625" style="745"/>
    <col min="9213" max="9213" width="10.28515625" style="745" customWidth="1"/>
    <col min="9214" max="9223" width="9.140625" style="745"/>
    <col min="9224" max="9224" width="19.140625" style="745" bestFit="1" customWidth="1"/>
    <col min="9225" max="9446" width="9.140625" style="745"/>
    <col min="9447" max="9447" width="20.7109375" style="745" bestFit="1" customWidth="1"/>
    <col min="9448" max="9450" width="9.140625" style="745" customWidth="1"/>
    <col min="9451" max="9465" width="9.140625" style="745"/>
    <col min="9466" max="9466" width="19.5703125" style="745" bestFit="1" customWidth="1"/>
    <col min="9467" max="9468" width="9.140625" style="745"/>
    <col min="9469" max="9469" width="10.28515625" style="745" customWidth="1"/>
    <col min="9470" max="9479" width="9.140625" style="745"/>
    <col min="9480" max="9480" width="19.140625" style="745" bestFit="1" customWidth="1"/>
    <col min="9481" max="9702" width="9.140625" style="745"/>
    <col min="9703" max="9703" width="20.7109375" style="745" bestFit="1" customWidth="1"/>
    <col min="9704" max="9706" width="9.140625" style="745" customWidth="1"/>
    <col min="9707" max="9721" width="9.140625" style="745"/>
    <col min="9722" max="9722" width="19.5703125" style="745" bestFit="1" customWidth="1"/>
    <col min="9723" max="9724" width="9.140625" style="745"/>
    <col min="9725" max="9725" width="10.28515625" style="745" customWidth="1"/>
    <col min="9726" max="9735" width="9.140625" style="745"/>
    <col min="9736" max="9736" width="19.140625" style="745" bestFit="1" customWidth="1"/>
    <col min="9737" max="9958" width="9.140625" style="745"/>
    <col min="9959" max="9959" width="20.7109375" style="745" bestFit="1" customWidth="1"/>
    <col min="9960" max="9962" width="9.140625" style="745" customWidth="1"/>
    <col min="9963" max="9977" width="9.140625" style="745"/>
    <col min="9978" max="9978" width="19.5703125" style="745" bestFit="1" customWidth="1"/>
    <col min="9979" max="9980" width="9.140625" style="745"/>
    <col min="9981" max="9981" width="10.28515625" style="745" customWidth="1"/>
    <col min="9982" max="9991" width="9.140625" style="745"/>
    <col min="9992" max="9992" width="19.140625" style="745" bestFit="1" customWidth="1"/>
    <col min="9993" max="10214" width="9.140625" style="745"/>
    <col min="10215" max="10215" width="20.7109375" style="745" bestFit="1" customWidth="1"/>
    <col min="10216" max="10218" width="9.140625" style="745" customWidth="1"/>
    <col min="10219" max="10233" width="9.140625" style="745"/>
    <col min="10234" max="10234" width="19.5703125" style="745" bestFit="1" customWidth="1"/>
    <col min="10235" max="10236" width="9.140625" style="745"/>
    <col min="10237" max="10237" width="10.28515625" style="745" customWidth="1"/>
    <col min="10238" max="10247" width="9.140625" style="745"/>
    <col min="10248" max="10248" width="19.140625" style="745" bestFit="1" customWidth="1"/>
    <col min="10249" max="10470" width="9.140625" style="745"/>
    <col min="10471" max="10471" width="20.7109375" style="745" bestFit="1" customWidth="1"/>
    <col min="10472" max="10474" width="9.140625" style="745" customWidth="1"/>
    <col min="10475" max="10489" width="9.140625" style="745"/>
    <col min="10490" max="10490" width="19.5703125" style="745" bestFit="1" customWidth="1"/>
    <col min="10491" max="10492" width="9.140625" style="745"/>
    <col min="10493" max="10493" width="10.28515625" style="745" customWidth="1"/>
    <col min="10494" max="10503" width="9.140625" style="745"/>
    <col min="10504" max="10504" width="19.140625" style="745" bestFit="1" customWidth="1"/>
    <col min="10505" max="10726" width="9.140625" style="745"/>
    <col min="10727" max="10727" width="20.7109375" style="745" bestFit="1" customWidth="1"/>
    <col min="10728" max="10730" width="9.140625" style="745" customWidth="1"/>
    <col min="10731" max="10745" width="9.140625" style="745"/>
    <col min="10746" max="10746" width="19.5703125" style="745" bestFit="1" customWidth="1"/>
    <col min="10747" max="10748" width="9.140625" style="745"/>
    <col min="10749" max="10749" width="10.28515625" style="745" customWidth="1"/>
    <col min="10750" max="10759" width="9.140625" style="745"/>
    <col min="10760" max="10760" width="19.140625" style="745" bestFit="1" customWidth="1"/>
    <col min="10761" max="10982" width="9.140625" style="745"/>
    <col min="10983" max="10983" width="20.7109375" style="745" bestFit="1" customWidth="1"/>
    <col min="10984" max="10986" width="9.140625" style="745" customWidth="1"/>
    <col min="10987" max="11001" width="9.140625" style="745"/>
    <col min="11002" max="11002" width="19.5703125" style="745" bestFit="1" customWidth="1"/>
    <col min="11003" max="11004" width="9.140625" style="745"/>
    <col min="11005" max="11005" width="10.28515625" style="745" customWidth="1"/>
    <col min="11006" max="11015" width="9.140625" style="745"/>
    <col min="11016" max="11016" width="19.140625" style="745" bestFit="1" customWidth="1"/>
    <col min="11017" max="11238" width="9.140625" style="745"/>
    <col min="11239" max="11239" width="20.7109375" style="745" bestFit="1" customWidth="1"/>
    <col min="11240" max="11242" width="9.140625" style="745" customWidth="1"/>
    <col min="11243" max="11257" width="9.140625" style="745"/>
    <col min="11258" max="11258" width="19.5703125" style="745" bestFit="1" customWidth="1"/>
    <col min="11259" max="11260" width="9.140625" style="745"/>
    <col min="11261" max="11261" width="10.28515625" style="745" customWidth="1"/>
    <col min="11262" max="11271" width="9.140625" style="745"/>
    <col min="11272" max="11272" width="19.140625" style="745" bestFit="1" customWidth="1"/>
    <col min="11273" max="11494" width="9.140625" style="745"/>
    <col min="11495" max="11495" width="20.7109375" style="745" bestFit="1" customWidth="1"/>
    <col min="11496" max="11498" width="9.140625" style="745" customWidth="1"/>
    <col min="11499" max="11513" width="9.140625" style="745"/>
    <col min="11514" max="11514" width="19.5703125" style="745" bestFit="1" customWidth="1"/>
    <col min="11515" max="11516" width="9.140625" style="745"/>
    <col min="11517" max="11517" width="10.28515625" style="745" customWidth="1"/>
    <col min="11518" max="11527" width="9.140625" style="745"/>
    <col min="11528" max="11528" width="19.140625" style="745" bestFit="1" customWidth="1"/>
    <col min="11529" max="11750" width="9.140625" style="745"/>
    <col min="11751" max="11751" width="20.7109375" style="745" bestFit="1" customWidth="1"/>
    <col min="11752" max="11754" width="9.140625" style="745" customWidth="1"/>
    <col min="11755" max="11769" width="9.140625" style="745"/>
    <col min="11770" max="11770" width="19.5703125" style="745" bestFit="1" customWidth="1"/>
    <col min="11771" max="11772" width="9.140625" style="745"/>
    <col min="11773" max="11773" width="10.28515625" style="745" customWidth="1"/>
    <col min="11774" max="11783" width="9.140625" style="745"/>
    <col min="11784" max="11784" width="19.140625" style="745" bestFit="1" customWidth="1"/>
    <col min="11785" max="12006" width="9.140625" style="745"/>
    <col min="12007" max="12007" width="20.7109375" style="745" bestFit="1" customWidth="1"/>
    <col min="12008" max="12010" width="9.140625" style="745" customWidth="1"/>
    <col min="12011" max="12025" width="9.140625" style="745"/>
    <col min="12026" max="12026" width="19.5703125" style="745" bestFit="1" customWidth="1"/>
    <col min="12027" max="12028" width="9.140625" style="745"/>
    <col min="12029" max="12029" width="10.28515625" style="745" customWidth="1"/>
    <col min="12030" max="12039" width="9.140625" style="745"/>
    <col min="12040" max="12040" width="19.140625" style="745" bestFit="1" customWidth="1"/>
    <col min="12041" max="12262" width="9.140625" style="745"/>
    <col min="12263" max="12263" width="20.7109375" style="745" bestFit="1" customWidth="1"/>
    <col min="12264" max="12266" width="9.140625" style="745" customWidth="1"/>
    <col min="12267" max="12281" width="9.140625" style="745"/>
    <col min="12282" max="12282" width="19.5703125" style="745" bestFit="1" customWidth="1"/>
    <col min="12283" max="12284" width="9.140625" style="745"/>
    <col min="12285" max="12285" width="10.28515625" style="745" customWidth="1"/>
    <col min="12286" max="12295" width="9.140625" style="745"/>
    <col min="12296" max="12296" width="19.140625" style="745" bestFit="1" customWidth="1"/>
    <col min="12297" max="12518" width="9.140625" style="745"/>
    <col min="12519" max="12519" width="20.7109375" style="745" bestFit="1" customWidth="1"/>
    <col min="12520" max="12522" width="9.140625" style="745" customWidth="1"/>
    <col min="12523" max="12537" width="9.140625" style="745"/>
    <col min="12538" max="12538" width="19.5703125" style="745" bestFit="1" customWidth="1"/>
    <col min="12539" max="12540" width="9.140625" style="745"/>
    <col min="12541" max="12541" width="10.28515625" style="745" customWidth="1"/>
    <col min="12542" max="12551" width="9.140625" style="745"/>
    <col min="12552" max="12552" width="19.140625" style="745" bestFit="1" customWidth="1"/>
    <col min="12553" max="12774" width="9.140625" style="745"/>
    <col min="12775" max="12775" width="20.7109375" style="745" bestFit="1" customWidth="1"/>
    <col min="12776" max="12778" width="9.140625" style="745" customWidth="1"/>
    <col min="12779" max="12793" width="9.140625" style="745"/>
    <col min="12794" max="12794" width="19.5703125" style="745" bestFit="1" customWidth="1"/>
    <col min="12795" max="12796" width="9.140625" style="745"/>
    <col min="12797" max="12797" width="10.28515625" style="745" customWidth="1"/>
    <col min="12798" max="12807" width="9.140625" style="745"/>
    <col min="12808" max="12808" width="19.140625" style="745" bestFit="1" customWidth="1"/>
    <col min="12809" max="13030" width="9.140625" style="745"/>
    <col min="13031" max="13031" width="20.7109375" style="745" bestFit="1" customWidth="1"/>
    <col min="13032" max="13034" width="9.140625" style="745" customWidth="1"/>
    <col min="13035" max="13049" width="9.140625" style="745"/>
    <col min="13050" max="13050" width="19.5703125" style="745" bestFit="1" customWidth="1"/>
    <col min="13051" max="13052" width="9.140625" style="745"/>
    <col min="13053" max="13053" width="10.28515625" style="745" customWidth="1"/>
    <col min="13054" max="13063" width="9.140625" style="745"/>
    <col min="13064" max="13064" width="19.140625" style="745" bestFit="1" customWidth="1"/>
    <col min="13065" max="13286" width="9.140625" style="745"/>
    <col min="13287" max="13287" width="20.7109375" style="745" bestFit="1" customWidth="1"/>
    <col min="13288" max="13290" width="9.140625" style="745" customWidth="1"/>
    <col min="13291" max="13305" width="9.140625" style="745"/>
    <col min="13306" max="13306" width="19.5703125" style="745" bestFit="1" customWidth="1"/>
    <col min="13307" max="13308" width="9.140625" style="745"/>
    <col min="13309" max="13309" width="10.28515625" style="745" customWidth="1"/>
    <col min="13310" max="13319" width="9.140625" style="745"/>
    <col min="13320" max="13320" width="19.140625" style="745" bestFit="1" customWidth="1"/>
    <col min="13321" max="13542" width="9.140625" style="745"/>
    <col min="13543" max="13543" width="20.7109375" style="745" bestFit="1" customWidth="1"/>
    <col min="13544" max="13546" width="9.140625" style="745" customWidth="1"/>
    <col min="13547" max="13561" width="9.140625" style="745"/>
    <col min="13562" max="13562" width="19.5703125" style="745" bestFit="1" customWidth="1"/>
    <col min="13563" max="13564" width="9.140625" style="745"/>
    <col min="13565" max="13565" width="10.28515625" style="745" customWidth="1"/>
    <col min="13566" max="13575" width="9.140625" style="745"/>
    <col min="13576" max="13576" width="19.140625" style="745" bestFit="1" customWidth="1"/>
    <col min="13577" max="13798" width="9.140625" style="745"/>
    <col min="13799" max="13799" width="20.7109375" style="745" bestFit="1" customWidth="1"/>
    <col min="13800" max="13802" width="9.140625" style="745" customWidth="1"/>
    <col min="13803" max="13817" width="9.140625" style="745"/>
    <col min="13818" max="13818" width="19.5703125" style="745" bestFit="1" customWidth="1"/>
    <col min="13819" max="13820" width="9.140625" style="745"/>
    <col min="13821" max="13821" width="10.28515625" style="745" customWidth="1"/>
    <col min="13822" max="13831" width="9.140625" style="745"/>
    <col min="13832" max="13832" width="19.140625" style="745" bestFit="1" customWidth="1"/>
    <col min="13833" max="14054" width="9.140625" style="745"/>
    <col min="14055" max="14055" width="20.7109375" style="745" bestFit="1" customWidth="1"/>
    <col min="14056" max="14058" width="9.140625" style="745" customWidth="1"/>
    <col min="14059" max="14073" width="9.140625" style="745"/>
    <col min="14074" max="14074" width="19.5703125" style="745" bestFit="1" customWidth="1"/>
    <col min="14075" max="14076" width="9.140625" style="745"/>
    <col min="14077" max="14077" width="10.28515625" style="745" customWidth="1"/>
    <col min="14078" max="14087" width="9.140625" style="745"/>
    <col min="14088" max="14088" width="19.140625" style="745" bestFit="1" customWidth="1"/>
    <col min="14089" max="14310" width="9.140625" style="745"/>
    <col min="14311" max="14311" width="20.7109375" style="745" bestFit="1" customWidth="1"/>
    <col min="14312" max="14314" width="9.140625" style="745" customWidth="1"/>
    <col min="14315" max="14329" width="9.140625" style="745"/>
    <col min="14330" max="14330" width="19.5703125" style="745" bestFit="1" customWidth="1"/>
    <col min="14331" max="14332" width="9.140625" style="745"/>
    <col min="14333" max="14333" width="10.28515625" style="745" customWidth="1"/>
    <col min="14334" max="14343" width="9.140625" style="745"/>
    <col min="14344" max="14344" width="19.140625" style="745" bestFit="1" customWidth="1"/>
    <col min="14345" max="14566" width="9.140625" style="745"/>
    <col min="14567" max="14567" width="20.7109375" style="745" bestFit="1" customWidth="1"/>
    <col min="14568" max="14570" width="9.140625" style="745" customWidth="1"/>
    <col min="14571" max="14585" width="9.140625" style="745"/>
    <col min="14586" max="14586" width="19.5703125" style="745" bestFit="1" customWidth="1"/>
    <col min="14587" max="14588" width="9.140625" style="745"/>
    <col min="14589" max="14589" width="10.28515625" style="745" customWidth="1"/>
    <col min="14590" max="14599" width="9.140625" style="745"/>
    <col min="14600" max="14600" width="19.140625" style="745" bestFit="1" customWidth="1"/>
    <col min="14601" max="14822" width="9.140625" style="745"/>
    <col min="14823" max="14823" width="20.7109375" style="745" bestFit="1" customWidth="1"/>
    <col min="14824" max="14826" width="9.140625" style="745" customWidth="1"/>
    <col min="14827" max="14841" width="9.140625" style="745"/>
    <col min="14842" max="14842" width="19.5703125" style="745" bestFit="1" customWidth="1"/>
    <col min="14843" max="14844" width="9.140625" style="745"/>
    <col min="14845" max="14845" width="10.28515625" style="745" customWidth="1"/>
    <col min="14846" max="14855" width="9.140625" style="745"/>
    <col min="14856" max="14856" width="19.140625" style="745" bestFit="1" customWidth="1"/>
    <col min="14857" max="15078" width="9.140625" style="745"/>
    <col min="15079" max="15079" width="20.7109375" style="745" bestFit="1" customWidth="1"/>
    <col min="15080" max="15082" width="9.140625" style="745" customWidth="1"/>
    <col min="15083" max="15097" width="9.140625" style="745"/>
    <col min="15098" max="15098" width="19.5703125" style="745" bestFit="1" customWidth="1"/>
    <col min="15099" max="15100" width="9.140625" style="745"/>
    <col min="15101" max="15101" width="10.28515625" style="745" customWidth="1"/>
    <col min="15102" max="15111" width="9.140625" style="745"/>
    <col min="15112" max="15112" width="19.140625" style="745" bestFit="1" customWidth="1"/>
    <col min="15113" max="15334" width="9.140625" style="745"/>
    <col min="15335" max="15335" width="20.7109375" style="745" bestFit="1" customWidth="1"/>
    <col min="15336" max="15338" width="9.140625" style="745" customWidth="1"/>
    <col min="15339" max="15353" width="9.140625" style="745"/>
    <col min="15354" max="15354" width="19.5703125" style="745" bestFit="1" customWidth="1"/>
    <col min="15355" max="15356" width="9.140625" style="745"/>
    <col min="15357" max="15357" width="10.28515625" style="745" customWidth="1"/>
    <col min="15358" max="15367" width="9.140625" style="745"/>
    <col min="15368" max="15368" width="19.140625" style="745" bestFit="1" customWidth="1"/>
    <col min="15369" max="15590" width="9.140625" style="745"/>
    <col min="15591" max="15591" width="20.7109375" style="745" bestFit="1" customWidth="1"/>
    <col min="15592" max="15594" width="9.140625" style="745" customWidth="1"/>
    <col min="15595" max="15609" width="9.140625" style="745"/>
    <col min="15610" max="15610" width="19.5703125" style="745" bestFit="1" customWidth="1"/>
    <col min="15611" max="15612" width="9.140625" style="745"/>
    <col min="15613" max="15613" width="10.28515625" style="745" customWidth="1"/>
    <col min="15614" max="15623" width="9.140625" style="745"/>
    <col min="15624" max="15624" width="19.140625" style="745" bestFit="1" customWidth="1"/>
    <col min="15625" max="15846" width="9.140625" style="745"/>
    <col min="15847" max="15847" width="20.7109375" style="745" bestFit="1" customWidth="1"/>
    <col min="15848" max="15850" width="9.140625" style="745" customWidth="1"/>
    <col min="15851" max="15865" width="9.140625" style="745"/>
    <col min="15866" max="15866" width="19.5703125" style="745" bestFit="1" customWidth="1"/>
    <col min="15867" max="15868" width="9.140625" style="745"/>
    <col min="15869" max="15869" width="10.28515625" style="745" customWidth="1"/>
    <col min="15870" max="15879" width="9.140625" style="745"/>
    <col min="15880" max="15880" width="19.140625" style="745" bestFit="1" customWidth="1"/>
    <col min="15881" max="16102" width="9.140625" style="745"/>
    <col min="16103" max="16103" width="20.7109375" style="745" bestFit="1" customWidth="1"/>
    <col min="16104" max="16106" width="9.140625" style="745" customWidth="1"/>
    <col min="16107" max="16121" width="9.140625" style="745"/>
    <col min="16122" max="16122" width="19.5703125" style="745" bestFit="1" customWidth="1"/>
    <col min="16123" max="16124" width="9.140625" style="745"/>
    <col min="16125" max="16125" width="10.28515625" style="745" customWidth="1"/>
    <col min="16126" max="16135" width="9.140625" style="745"/>
    <col min="16136" max="16136" width="19.140625" style="745" bestFit="1" customWidth="1"/>
    <col min="16137" max="16384" width="9.140625" style="745"/>
  </cols>
  <sheetData>
    <row r="1" spans="1:32">
      <c r="B1" s="744"/>
      <c r="C1" s="744"/>
      <c r="D1" s="744"/>
      <c r="E1" s="744"/>
      <c r="F1" s="744"/>
      <c r="G1" s="744"/>
      <c r="H1" s="744"/>
      <c r="I1" s="744"/>
      <c r="J1" s="744"/>
      <c r="K1" s="744"/>
      <c r="AD1" s="745">
        <v>2015</v>
      </c>
      <c r="AE1" s="745">
        <v>2016</v>
      </c>
      <c r="AF1" s="745">
        <v>2017</v>
      </c>
    </row>
    <row r="2" spans="1:32">
      <c r="A2" s="746"/>
      <c r="B2" s="746">
        <v>2006</v>
      </c>
      <c r="C2" s="746">
        <v>2007</v>
      </c>
      <c r="D2" s="746">
        <v>2008</v>
      </c>
      <c r="E2" s="746">
        <v>2009</v>
      </c>
      <c r="F2" s="746">
        <v>2010</v>
      </c>
      <c r="G2" s="746">
        <v>2011</v>
      </c>
      <c r="H2" s="746">
        <v>2012</v>
      </c>
      <c r="I2" s="746">
        <v>2013</v>
      </c>
      <c r="J2" s="746">
        <v>2014</v>
      </c>
    </row>
    <row r="3" spans="1:32">
      <c r="A3" s="646" t="s">
        <v>736</v>
      </c>
      <c r="B3" s="747">
        <v>-3.5972804266267246</v>
      </c>
      <c r="C3" s="747">
        <v>1.366134129176686</v>
      </c>
      <c r="D3" s="747">
        <v>9.8902580570950871</v>
      </c>
      <c r="E3" s="747">
        <v>-2.9273425602212968</v>
      </c>
      <c r="F3" s="747">
        <v>0.59567134836723579</v>
      </c>
      <c r="G3" s="747">
        <v>9.7992878036561093E-2</v>
      </c>
      <c r="H3" s="747">
        <v>0.67530487766619851</v>
      </c>
      <c r="I3" s="747">
        <v>-0.32193358746743961</v>
      </c>
      <c r="J3" s="747">
        <v>-0.99493390031484275</v>
      </c>
    </row>
    <row r="4" spans="1:32">
      <c r="A4" s="646" t="s">
        <v>737</v>
      </c>
      <c r="B4" s="747">
        <v>-3.5811718090948634</v>
      </c>
      <c r="C4" s="747">
        <v>1.3662752756217031</v>
      </c>
      <c r="D4" s="747">
        <v>11.790258057095087</v>
      </c>
      <c r="E4" s="747">
        <v>-3.7273425602212966</v>
      </c>
      <c r="F4" s="747">
        <v>1.0956713483672358</v>
      </c>
      <c r="G4" s="747">
        <v>2.7979928780365615</v>
      </c>
      <c r="H4" s="747">
        <v>1.1753048776661985</v>
      </c>
      <c r="I4" s="747">
        <v>-0.1076431521559007</v>
      </c>
      <c r="J4" s="747">
        <v>-0.58588844410296659</v>
      </c>
    </row>
    <row r="5" spans="1:32">
      <c r="A5" s="646" t="s">
        <v>738</v>
      </c>
      <c r="B5" s="747">
        <v>-0.71499999999999986</v>
      </c>
      <c r="C5" s="747">
        <v>1.6270000000000002</v>
      </c>
      <c r="D5" s="747">
        <v>4.4349999999999996</v>
      </c>
      <c r="E5" s="747">
        <v>-1.706</v>
      </c>
      <c r="F5" s="747">
        <v>0.2410000000000001</v>
      </c>
      <c r="G5" s="747">
        <v>1.7410000000000001</v>
      </c>
      <c r="H5" s="747">
        <v>0.43899999999999995</v>
      </c>
      <c r="I5" s="747">
        <v>-0.1150000000000001</v>
      </c>
      <c r="J5" s="747">
        <v>-0.68899999999999983</v>
      </c>
      <c r="K5" s="748" t="s">
        <v>739</v>
      </c>
    </row>
    <row r="6" spans="1:32">
      <c r="A6" s="749" t="s">
        <v>740</v>
      </c>
      <c r="B6" s="750">
        <v>-0.57099999999999973</v>
      </c>
      <c r="C6" s="750">
        <v>1.8408000000000002</v>
      </c>
      <c r="D6" s="750">
        <v>5.6368999999999998</v>
      </c>
      <c r="E6" s="750">
        <v>-2.0470800000000002</v>
      </c>
      <c r="F6" s="750">
        <v>0.25100000000000011</v>
      </c>
      <c r="G6" s="750">
        <v>2.6550000000000002</v>
      </c>
      <c r="H6" s="750">
        <v>1.1819999999999999</v>
      </c>
      <c r="I6" s="750">
        <v>-1.8000000000000016E-2</v>
      </c>
      <c r="J6" s="750">
        <v>-0.37799999999999989</v>
      </c>
      <c r="K6" s="748" t="s">
        <v>741</v>
      </c>
    </row>
    <row r="7" spans="1:32">
      <c r="A7" s="1633"/>
      <c r="B7" s="1634"/>
      <c r="C7" s="1634"/>
      <c r="D7" s="1634"/>
      <c r="E7" s="1634"/>
      <c r="F7" s="1634"/>
      <c r="G7" s="1634"/>
      <c r="H7" s="1634"/>
      <c r="I7" s="1634"/>
      <c r="J7" s="751" t="s">
        <v>742</v>
      </c>
      <c r="K7" s="748"/>
    </row>
    <row r="8" spans="1:32">
      <c r="A8" s="1633"/>
      <c r="B8" s="1634"/>
      <c r="C8" s="1634"/>
      <c r="D8" s="1634"/>
      <c r="E8" s="1634"/>
      <c r="F8" s="1634"/>
      <c r="G8" s="1634"/>
      <c r="H8" s="1634"/>
      <c r="I8" s="1634"/>
      <c r="J8" s="1634"/>
      <c r="K8" s="748"/>
    </row>
    <row r="10" spans="1:32">
      <c r="C10" s="744" t="s">
        <v>735</v>
      </c>
    </row>
    <row r="12" spans="1:32">
      <c r="M12" s="758"/>
      <c r="N12" s="758"/>
    </row>
    <row r="13" spans="1:32">
      <c r="M13" s="758"/>
      <c r="N13" s="758"/>
    </row>
    <row r="14" spans="1:32">
      <c r="M14" s="758"/>
      <c r="N14" s="758"/>
    </row>
  </sheetData>
  <pageMargins left="0.7" right="0.7" top="0.75" bottom="0.75" header="0.3" footer="0.3"/>
  <pageSetup paperSize="9" orientation="portrait" r:id="rId1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M19"/>
  <sheetViews>
    <sheetView showGridLines="0" workbookViewId="0">
      <selection activeCell="A14" sqref="A14"/>
    </sheetView>
  </sheetViews>
  <sheetFormatPr defaultRowHeight="15"/>
  <cols>
    <col min="1" max="10" width="9.140625" style="739"/>
    <col min="11" max="11" width="17.28515625" style="739" customWidth="1"/>
    <col min="12" max="241" width="9.140625" style="739"/>
    <col min="242" max="242" width="14.85546875" style="739" bestFit="1" customWidth="1"/>
    <col min="243" max="247" width="9.140625" style="739"/>
    <col min="248" max="248" width="29.28515625" style="739" bestFit="1" customWidth="1"/>
    <col min="249" max="497" width="9.140625" style="739"/>
    <col min="498" max="498" width="14.85546875" style="739" bestFit="1" customWidth="1"/>
    <col min="499" max="503" width="9.140625" style="739"/>
    <col min="504" max="504" width="29.28515625" style="739" bestFit="1" customWidth="1"/>
    <col min="505" max="753" width="9.140625" style="739"/>
    <col min="754" max="754" width="14.85546875" style="739" bestFit="1" customWidth="1"/>
    <col min="755" max="759" width="9.140625" style="739"/>
    <col min="760" max="760" width="29.28515625" style="739" bestFit="1" customWidth="1"/>
    <col min="761" max="1009" width="9.140625" style="739"/>
    <col min="1010" max="1010" width="14.85546875" style="739" bestFit="1" customWidth="1"/>
    <col min="1011" max="1015" width="9.140625" style="739"/>
    <col min="1016" max="1016" width="29.28515625" style="739" bestFit="1" customWidth="1"/>
    <col min="1017" max="1265" width="9.140625" style="739"/>
    <col min="1266" max="1266" width="14.85546875" style="739" bestFit="1" customWidth="1"/>
    <col min="1267" max="1271" width="9.140625" style="739"/>
    <col min="1272" max="1272" width="29.28515625" style="739" bestFit="1" customWidth="1"/>
    <col min="1273" max="1521" width="9.140625" style="739"/>
    <col min="1522" max="1522" width="14.85546875" style="739" bestFit="1" customWidth="1"/>
    <col min="1523" max="1527" width="9.140625" style="739"/>
    <col min="1528" max="1528" width="29.28515625" style="739" bestFit="1" customWidth="1"/>
    <col min="1529" max="1777" width="9.140625" style="739"/>
    <col min="1778" max="1778" width="14.85546875" style="739" bestFit="1" customWidth="1"/>
    <col min="1779" max="1783" width="9.140625" style="739"/>
    <col min="1784" max="1784" width="29.28515625" style="739" bestFit="1" customWidth="1"/>
    <col min="1785" max="2033" width="9.140625" style="739"/>
    <col min="2034" max="2034" width="14.85546875" style="739" bestFit="1" customWidth="1"/>
    <col min="2035" max="2039" width="9.140625" style="739"/>
    <col min="2040" max="2040" width="29.28515625" style="739" bestFit="1" customWidth="1"/>
    <col min="2041" max="2289" width="9.140625" style="739"/>
    <col min="2290" max="2290" width="14.85546875" style="739" bestFit="1" customWidth="1"/>
    <col min="2291" max="2295" width="9.140625" style="739"/>
    <col min="2296" max="2296" width="29.28515625" style="739" bestFit="1" customWidth="1"/>
    <col min="2297" max="2545" width="9.140625" style="739"/>
    <col min="2546" max="2546" width="14.85546875" style="739" bestFit="1" customWidth="1"/>
    <col min="2547" max="2551" width="9.140625" style="739"/>
    <col min="2552" max="2552" width="29.28515625" style="739" bestFit="1" customWidth="1"/>
    <col min="2553" max="2801" width="9.140625" style="739"/>
    <col min="2802" max="2802" width="14.85546875" style="739" bestFit="1" customWidth="1"/>
    <col min="2803" max="2807" width="9.140625" style="739"/>
    <col min="2808" max="2808" width="29.28515625" style="739" bestFit="1" customWidth="1"/>
    <col min="2809" max="3057" width="9.140625" style="739"/>
    <col min="3058" max="3058" width="14.85546875" style="739" bestFit="1" customWidth="1"/>
    <col min="3059" max="3063" width="9.140625" style="739"/>
    <col min="3064" max="3064" width="29.28515625" style="739" bestFit="1" customWidth="1"/>
    <col min="3065" max="3313" width="9.140625" style="739"/>
    <col min="3314" max="3314" width="14.85546875" style="739" bestFit="1" customWidth="1"/>
    <col min="3315" max="3319" width="9.140625" style="739"/>
    <col min="3320" max="3320" width="29.28515625" style="739" bestFit="1" customWidth="1"/>
    <col min="3321" max="3569" width="9.140625" style="739"/>
    <col min="3570" max="3570" width="14.85546875" style="739" bestFit="1" customWidth="1"/>
    <col min="3571" max="3575" width="9.140625" style="739"/>
    <col min="3576" max="3576" width="29.28515625" style="739" bestFit="1" customWidth="1"/>
    <col min="3577" max="3825" width="9.140625" style="739"/>
    <col min="3826" max="3826" width="14.85546875" style="739" bestFit="1" customWidth="1"/>
    <col min="3827" max="3831" width="9.140625" style="739"/>
    <col min="3832" max="3832" width="29.28515625" style="739" bestFit="1" customWidth="1"/>
    <col min="3833" max="4081" width="9.140625" style="739"/>
    <col min="4082" max="4082" width="14.85546875" style="739" bestFit="1" customWidth="1"/>
    <col min="4083" max="4087" width="9.140625" style="739"/>
    <col min="4088" max="4088" width="29.28515625" style="739" bestFit="1" customWidth="1"/>
    <col min="4089" max="4337" width="9.140625" style="739"/>
    <col min="4338" max="4338" width="14.85546875" style="739" bestFit="1" customWidth="1"/>
    <col min="4339" max="4343" width="9.140625" style="739"/>
    <col min="4344" max="4344" width="29.28515625" style="739" bestFit="1" customWidth="1"/>
    <col min="4345" max="4593" width="9.140625" style="739"/>
    <col min="4594" max="4594" width="14.85546875" style="739" bestFit="1" customWidth="1"/>
    <col min="4595" max="4599" width="9.140625" style="739"/>
    <col min="4600" max="4600" width="29.28515625" style="739" bestFit="1" customWidth="1"/>
    <col min="4601" max="4849" width="9.140625" style="739"/>
    <col min="4850" max="4850" width="14.85546875" style="739" bestFit="1" customWidth="1"/>
    <col min="4851" max="4855" width="9.140625" style="739"/>
    <col min="4856" max="4856" width="29.28515625" style="739" bestFit="1" customWidth="1"/>
    <col min="4857" max="5105" width="9.140625" style="739"/>
    <col min="5106" max="5106" width="14.85546875" style="739" bestFit="1" customWidth="1"/>
    <col min="5107" max="5111" width="9.140625" style="739"/>
    <col min="5112" max="5112" width="29.28515625" style="739" bestFit="1" customWidth="1"/>
    <col min="5113" max="5361" width="9.140625" style="739"/>
    <col min="5362" max="5362" width="14.85546875" style="739" bestFit="1" customWidth="1"/>
    <col min="5363" max="5367" width="9.140625" style="739"/>
    <col min="5368" max="5368" width="29.28515625" style="739" bestFit="1" customWidth="1"/>
    <col min="5369" max="5617" width="9.140625" style="739"/>
    <col min="5618" max="5618" width="14.85546875" style="739" bestFit="1" customWidth="1"/>
    <col min="5619" max="5623" width="9.140625" style="739"/>
    <col min="5624" max="5624" width="29.28515625" style="739" bestFit="1" customWidth="1"/>
    <col min="5625" max="5873" width="9.140625" style="739"/>
    <col min="5874" max="5874" width="14.85546875" style="739" bestFit="1" customWidth="1"/>
    <col min="5875" max="5879" width="9.140625" style="739"/>
    <col min="5880" max="5880" width="29.28515625" style="739" bestFit="1" customWidth="1"/>
    <col min="5881" max="6129" width="9.140625" style="739"/>
    <col min="6130" max="6130" width="14.85546875" style="739" bestFit="1" customWidth="1"/>
    <col min="6131" max="6135" width="9.140625" style="739"/>
    <col min="6136" max="6136" width="29.28515625" style="739" bestFit="1" customWidth="1"/>
    <col min="6137" max="6385" width="9.140625" style="739"/>
    <col min="6386" max="6386" width="14.85546875" style="739" bestFit="1" customWidth="1"/>
    <col min="6387" max="6391" width="9.140625" style="739"/>
    <col min="6392" max="6392" width="29.28515625" style="739" bestFit="1" customWidth="1"/>
    <col min="6393" max="6641" width="9.140625" style="739"/>
    <col min="6642" max="6642" width="14.85546875" style="739" bestFit="1" customWidth="1"/>
    <col min="6643" max="6647" width="9.140625" style="739"/>
    <col min="6648" max="6648" width="29.28515625" style="739" bestFit="1" customWidth="1"/>
    <col min="6649" max="6897" width="9.140625" style="739"/>
    <col min="6898" max="6898" width="14.85546875" style="739" bestFit="1" customWidth="1"/>
    <col min="6899" max="6903" width="9.140625" style="739"/>
    <col min="6904" max="6904" width="29.28515625" style="739" bestFit="1" customWidth="1"/>
    <col min="6905" max="7153" width="9.140625" style="739"/>
    <col min="7154" max="7154" width="14.85546875" style="739" bestFit="1" customWidth="1"/>
    <col min="7155" max="7159" width="9.140625" style="739"/>
    <col min="7160" max="7160" width="29.28515625" style="739" bestFit="1" customWidth="1"/>
    <col min="7161" max="7409" width="9.140625" style="739"/>
    <col min="7410" max="7410" width="14.85546875" style="739" bestFit="1" customWidth="1"/>
    <col min="7411" max="7415" width="9.140625" style="739"/>
    <col min="7416" max="7416" width="29.28515625" style="739" bestFit="1" customWidth="1"/>
    <col min="7417" max="7665" width="9.140625" style="739"/>
    <col min="7666" max="7666" width="14.85546875" style="739" bestFit="1" customWidth="1"/>
    <col min="7667" max="7671" width="9.140625" style="739"/>
    <col min="7672" max="7672" width="29.28515625" style="739" bestFit="1" customWidth="1"/>
    <col min="7673" max="7921" width="9.140625" style="739"/>
    <col min="7922" max="7922" width="14.85546875" style="739" bestFit="1" customWidth="1"/>
    <col min="7923" max="7927" width="9.140625" style="739"/>
    <col min="7928" max="7928" width="29.28515625" style="739" bestFit="1" customWidth="1"/>
    <col min="7929" max="8177" width="9.140625" style="739"/>
    <col min="8178" max="8178" width="14.85546875" style="739" bestFit="1" customWidth="1"/>
    <col min="8179" max="8183" width="9.140625" style="739"/>
    <col min="8184" max="8184" width="29.28515625" style="739" bestFit="1" customWidth="1"/>
    <col min="8185" max="8433" width="9.140625" style="739"/>
    <col min="8434" max="8434" width="14.85546875" style="739" bestFit="1" customWidth="1"/>
    <col min="8435" max="8439" width="9.140625" style="739"/>
    <col min="8440" max="8440" width="29.28515625" style="739" bestFit="1" customWidth="1"/>
    <col min="8441" max="8689" width="9.140625" style="739"/>
    <col min="8690" max="8690" width="14.85546875" style="739" bestFit="1" customWidth="1"/>
    <col min="8691" max="8695" width="9.140625" style="739"/>
    <col min="8696" max="8696" width="29.28515625" style="739" bestFit="1" customWidth="1"/>
    <col min="8697" max="8945" width="9.140625" style="739"/>
    <col min="8946" max="8946" width="14.85546875" style="739" bestFit="1" customWidth="1"/>
    <col min="8947" max="8951" width="9.140625" style="739"/>
    <col min="8952" max="8952" width="29.28515625" style="739" bestFit="1" customWidth="1"/>
    <col min="8953" max="9201" width="9.140625" style="739"/>
    <col min="9202" max="9202" width="14.85546875" style="739" bestFit="1" customWidth="1"/>
    <col min="9203" max="9207" width="9.140625" style="739"/>
    <col min="9208" max="9208" width="29.28515625" style="739" bestFit="1" customWidth="1"/>
    <col min="9209" max="9457" width="9.140625" style="739"/>
    <col min="9458" max="9458" width="14.85546875" style="739" bestFit="1" customWidth="1"/>
    <col min="9459" max="9463" width="9.140625" style="739"/>
    <col min="9464" max="9464" width="29.28515625" style="739" bestFit="1" customWidth="1"/>
    <col min="9465" max="9713" width="9.140625" style="739"/>
    <col min="9714" max="9714" width="14.85546875" style="739" bestFit="1" customWidth="1"/>
    <col min="9715" max="9719" width="9.140625" style="739"/>
    <col min="9720" max="9720" width="29.28515625" style="739" bestFit="1" customWidth="1"/>
    <col min="9721" max="9969" width="9.140625" style="739"/>
    <col min="9970" max="9970" width="14.85546875" style="739" bestFit="1" customWidth="1"/>
    <col min="9971" max="9975" width="9.140625" style="739"/>
    <col min="9976" max="9976" width="29.28515625" style="739" bestFit="1" customWidth="1"/>
    <col min="9977" max="10225" width="9.140625" style="739"/>
    <col min="10226" max="10226" width="14.85546875" style="739" bestFit="1" customWidth="1"/>
    <col min="10227" max="10231" width="9.140625" style="739"/>
    <col min="10232" max="10232" width="29.28515625" style="739" bestFit="1" customWidth="1"/>
    <col min="10233" max="10481" width="9.140625" style="739"/>
    <col min="10482" max="10482" width="14.85546875" style="739" bestFit="1" customWidth="1"/>
    <col min="10483" max="10487" width="9.140625" style="739"/>
    <col min="10488" max="10488" width="29.28515625" style="739" bestFit="1" customWidth="1"/>
    <col min="10489" max="10737" width="9.140625" style="739"/>
    <col min="10738" max="10738" width="14.85546875" style="739" bestFit="1" customWidth="1"/>
    <col min="10739" max="10743" width="9.140625" style="739"/>
    <col min="10744" max="10744" width="29.28515625" style="739" bestFit="1" customWidth="1"/>
    <col min="10745" max="10993" width="9.140625" style="739"/>
    <col min="10994" max="10994" width="14.85546875" style="739" bestFit="1" customWidth="1"/>
    <col min="10995" max="10999" width="9.140625" style="739"/>
    <col min="11000" max="11000" width="29.28515625" style="739" bestFit="1" customWidth="1"/>
    <col min="11001" max="11249" width="9.140625" style="739"/>
    <col min="11250" max="11250" width="14.85546875" style="739" bestFit="1" customWidth="1"/>
    <col min="11251" max="11255" width="9.140625" style="739"/>
    <col min="11256" max="11256" width="29.28515625" style="739" bestFit="1" customWidth="1"/>
    <col min="11257" max="11505" width="9.140625" style="739"/>
    <col min="11506" max="11506" width="14.85546875" style="739" bestFit="1" customWidth="1"/>
    <col min="11507" max="11511" width="9.140625" style="739"/>
    <col min="11512" max="11512" width="29.28515625" style="739" bestFit="1" customWidth="1"/>
    <col min="11513" max="11761" width="9.140625" style="739"/>
    <col min="11762" max="11762" width="14.85546875" style="739" bestFit="1" customWidth="1"/>
    <col min="11763" max="11767" width="9.140625" style="739"/>
    <col min="11768" max="11768" width="29.28515625" style="739" bestFit="1" customWidth="1"/>
    <col min="11769" max="12017" width="9.140625" style="739"/>
    <col min="12018" max="12018" width="14.85546875" style="739" bestFit="1" customWidth="1"/>
    <col min="12019" max="12023" width="9.140625" style="739"/>
    <col min="12024" max="12024" width="29.28515625" style="739" bestFit="1" customWidth="1"/>
    <col min="12025" max="12273" width="9.140625" style="739"/>
    <col min="12274" max="12274" width="14.85546875" style="739" bestFit="1" customWidth="1"/>
    <col min="12275" max="12279" width="9.140625" style="739"/>
    <col min="12280" max="12280" width="29.28515625" style="739" bestFit="1" customWidth="1"/>
    <col min="12281" max="12529" width="9.140625" style="739"/>
    <col min="12530" max="12530" width="14.85546875" style="739" bestFit="1" customWidth="1"/>
    <col min="12531" max="12535" width="9.140625" style="739"/>
    <col min="12536" max="12536" width="29.28515625" style="739" bestFit="1" customWidth="1"/>
    <col min="12537" max="12785" width="9.140625" style="739"/>
    <col min="12786" max="12786" width="14.85546875" style="739" bestFit="1" customWidth="1"/>
    <col min="12787" max="12791" width="9.140625" style="739"/>
    <col min="12792" max="12792" width="29.28515625" style="739" bestFit="1" customWidth="1"/>
    <col min="12793" max="13041" width="9.140625" style="739"/>
    <col min="13042" max="13042" width="14.85546875" style="739" bestFit="1" customWidth="1"/>
    <col min="13043" max="13047" width="9.140625" style="739"/>
    <col min="13048" max="13048" width="29.28515625" style="739" bestFit="1" customWidth="1"/>
    <col min="13049" max="13297" width="9.140625" style="739"/>
    <col min="13298" max="13298" width="14.85546875" style="739" bestFit="1" customWidth="1"/>
    <col min="13299" max="13303" width="9.140625" style="739"/>
    <col min="13304" max="13304" width="29.28515625" style="739" bestFit="1" customWidth="1"/>
    <col min="13305" max="13553" width="9.140625" style="739"/>
    <col min="13554" max="13554" width="14.85546875" style="739" bestFit="1" customWidth="1"/>
    <col min="13555" max="13559" width="9.140625" style="739"/>
    <col min="13560" max="13560" width="29.28515625" style="739" bestFit="1" customWidth="1"/>
    <col min="13561" max="13809" width="9.140625" style="739"/>
    <col min="13810" max="13810" width="14.85546875" style="739" bestFit="1" customWidth="1"/>
    <col min="13811" max="13815" width="9.140625" style="739"/>
    <col min="13816" max="13816" width="29.28515625" style="739" bestFit="1" customWidth="1"/>
    <col min="13817" max="14065" width="9.140625" style="739"/>
    <col min="14066" max="14066" width="14.85546875" style="739" bestFit="1" customWidth="1"/>
    <col min="14067" max="14071" width="9.140625" style="739"/>
    <col min="14072" max="14072" width="29.28515625" style="739" bestFit="1" customWidth="1"/>
    <col min="14073" max="14321" width="9.140625" style="739"/>
    <col min="14322" max="14322" width="14.85546875" style="739" bestFit="1" customWidth="1"/>
    <col min="14323" max="14327" width="9.140625" style="739"/>
    <col min="14328" max="14328" width="29.28515625" style="739" bestFit="1" customWidth="1"/>
    <col min="14329" max="14577" width="9.140625" style="739"/>
    <col min="14578" max="14578" width="14.85546875" style="739" bestFit="1" customWidth="1"/>
    <col min="14579" max="14583" width="9.140625" style="739"/>
    <col min="14584" max="14584" width="29.28515625" style="739" bestFit="1" customWidth="1"/>
    <col min="14585" max="14833" width="9.140625" style="739"/>
    <col min="14834" max="14834" width="14.85546875" style="739" bestFit="1" customWidth="1"/>
    <col min="14835" max="14839" width="9.140625" style="739"/>
    <col min="14840" max="14840" width="29.28515625" style="739" bestFit="1" customWidth="1"/>
    <col min="14841" max="15089" width="9.140625" style="739"/>
    <col min="15090" max="15090" width="14.85546875" style="739" bestFit="1" customWidth="1"/>
    <col min="15091" max="15095" width="9.140625" style="739"/>
    <col min="15096" max="15096" width="29.28515625" style="739" bestFit="1" customWidth="1"/>
    <col min="15097" max="15345" width="9.140625" style="739"/>
    <col min="15346" max="15346" width="14.85546875" style="739" bestFit="1" customWidth="1"/>
    <col min="15347" max="15351" width="9.140625" style="739"/>
    <col min="15352" max="15352" width="29.28515625" style="739" bestFit="1" customWidth="1"/>
    <col min="15353" max="15601" width="9.140625" style="739"/>
    <col min="15602" max="15602" width="14.85546875" style="739" bestFit="1" customWidth="1"/>
    <col min="15603" max="15607" width="9.140625" style="739"/>
    <col min="15608" max="15608" width="29.28515625" style="739" bestFit="1" customWidth="1"/>
    <col min="15609" max="15857" width="9.140625" style="739"/>
    <col min="15858" max="15858" width="14.85546875" style="739" bestFit="1" customWidth="1"/>
    <col min="15859" max="15863" width="9.140625" style="739"/>
    <col min="15864" max="15864" width="29.28515625" style="739" bestFit="1" customWidth="1"/>
    <col min="15865" max="16113" width="9.140625" style="739"/>
    <col min="16114" max="16114" width="14.85546875" style="739" bestFit="1" customWidth="1"/>
    <col min="16115" max="16119" width="9.140625" style="739"/>
    <col min="16120" max="16120" width="29.28515625" style="739" bestFit="1" customWidth="1"/>
    <col min="16121" max="16384" width="9.140625" style="739"/>
  </cols>
  <sheetData>
    <row r="2" spans="1:13" ht="25.5">
      <c r="A2" s="596"/>
      <c r="B2" s="731" t="s">
        <v>724</v>
      </c>
      <c r="C2" s="731" t="s">
        <v>725</v>
      </c>
      <c r="D2" s="731" t="s">
        <v>726</v>
      </c>
      <c r="E2" s="731" t="s">
        <v>727</v>
      </c>
      <c r="F2" s="731" t="s">
        <v>728</v>
      </c>
      <c r="G2" s="731" t="s">
        <v>729</v>
      </c>
      <c r="H2" s="731" t="s">
        <v>730</v>
      </c>
      <c r="I2" s="731" t="s">
        <v>731</v>
      </c>
      <c r="J2" s="731" t="s">
        <v>732</v>
      </c>
      <c r="K2" s="732" t="s">
        <v>743</v>
      </c>
    </row>
    <row r="3" spans="1:13">
      <c r="A3" s="733">
        <v>2011</v>
      </c>
      <c r="B3" s="734"/>
      <c r="C3" s="734"/>
      <c r="D3" s="734"/>
      <c r="E3" s="734"/>
      <c r="F3" s="734"/>
      <c r="G3" s="734"/>
      <c r="H3" s="734"/>
      <c r="I3" s="734"/>
      <c r="J3" s="734"/>
      <c r="K3" s="734">
        <v>2.8191419307962633</v>
      </c>
    </row>
    <row r="4" spans="1:13">
      <c r="A4" s="733">
        <v>2012</v>
      </c>
      <c r="B4" s="734"/>
      <c r="C4" s="734"/>
      <c r="D4" s="734"/>
      <c r="E4" s="734"/>
      <c r="F4" s="734"/>
      <c r="G4" s="734"/>
      <c r="H4" s="734"/>
      <c r="I4" s="734"/>
      <c r="J4" s="734"/>
      <c r="K4" s="734">
        <v>1.6571102898000163</v>
      </c>
    </row>
    <row r="5" spans="1:13">
      <c r="A5" s="733">
        <v>2013</v>
      </c>
      <c r="B5" s="734">
        <v>1.4906461212620457</v>
      </c>
      <c r="C5" s="734"/>
      <c r="D5" s="734"/>
      <c r="E5" s="734"/>
      <c r="F5" s="734"/>
      <c r="G5" s="734"/>
      <c r="H5" s="734"/>
      <c r="I5" s="734"/>
      <c r="J5" s="734"/>
      <c r="K5" s="734">
        <v>1.4906461212620457</v>
      </c>
    </row>
    <row r="6" spans="1:13">
      <c r="A6" s="735">
        <v>2014</v>
      </c>
      <c r="B6" s="736">
        <v>2.570769752269257</v>
      </c>
      <c r="C6" s="736"/>
      <c r="D6" s="736"/>
      <c r="E6" s="736"/>
      <c r="F6" s="736"/>
      <c r="G6" s="736"/>
      <c r="H6" s="736"/>
      <c r="I6" s="736"/>
      <c r="J6" s="736"/>
      <c r="K6" s="736">
        <v>2.570769752269257</v>
      </c>
    </row>
    <row r="7" spans="1:13">
      <c r="A7" s="735">
        <v>2015</v>
      </c>
      <c r="B7" s="736">
        <v>3.8311101923579116</v>
      </c>
      <c r="C7" s="736"/>
      <c r="D7" s="736"/>
      <c r="E7" s="736"/>
      <c r="F7" s="736"/>
      <c r="G7" s="736"/>
      <c r="H7" s="736"/>
      <c r="I7" s="736"/>
      <c r="J7" s="736"/>
      <c r="K7" s="736">
        <v>3.8311101923579116</v>
      </c>
      <c r="M7" s="752"/>
    </row>
    <row r="8" spans="1:13">
      <c r="A8" s="735">
        <v>2016</v>
      </c>
      <c r="B8" s="736">
        <v>2.7664035729350935</v>
      </c>
      <c r="C8" s="736">
        <v>0.2779314025256181</v>
      </c>
      <c r="D8" s="736">
        <v>0.20040809522048675</v>
      </c>
      <c r="E8" s="736">
        <v>0.17124132801693764</v>
      </c>
      <c r="F8" s="736">
        <v>0.16005515097073836</v>
      </c>
      <c r="G8" s="736">
        <v>0.16005515097073836</v>
      </c>
      <c r="H8" s="736">
        <v>0.17124132801693764</v>
      </c>
      <c r="I8" s="736">
        <v>0.20040809522048675</v>
      </c>
      <c r="J8" s="736">
        <v>0.2779314025256181</v>
      </c>
      <c r="K8" s="736">
        <v>3.5760395496688746</v>
      </c>
    </row>
    <row r="9" spans="1:13">
      <c r="A9" s="735">
        <v>2017</v>
      </c>
      <c r="B9" s="736">
        <v>1.7109125913833634</v>
      </c>
      <c r="C9" s="736">
        <v>0.62508638873991518</v>
      </c>
      <c r="D9" s="736">
        <v>0.45073126453953805</v>
      </c>
      <c r="E9" s="736">
        <v>0.38513324640697433</v>
      </c>
      <c r="F9" s="736">
        <v>0.35997478302329999</v>
      </c>
      <c r="G9" s="736">
        <v>0.35997478302329999</v>
      </c>
      <c r="H9" s="736">
        <v>0.38513324640697433</v>
      </c>
      <c r="I9" s="736">
        <v>0.45073126453953805</v>
      </c>
      <c r="J9" s="736">
        <v>0.62508638873991518</v>
      </c>
      <c r="K9" s="736">
        <v>3.5318382740930909</v>
      </c>
    </row>
    <row r="10" spans="1:13">
      <c r="A10" s="735">
        <v>2018</v>
      </c>
      <c r="B10" s="736">
        <v>1.8201352204933947</v>
      </c>
      <c r="C10" s="736">
        <v>0.70484515885710541</v>
      </c>
      <c r="D10" s="736">
        <v>0.50824294926124347</v>
      </c>
      <c r="E10" s="736">
        <v>0.43427486045904734</v>
      </c>
      <c r="F10" s="736">
        <v>0.4059062678297734</v>
      </c>
      <c r="G10" s="736">
        <v>0.4059062678297734</v>
      </c>
      <c r="H10" s="736">
        <v>0.43427486045904734</v>
      </c>
      <c r="I10" s="736">
        <v>0.50824294926124347</v>
      </c>
      <c r="J10" s="736">
        <v>0.70484515885710541</v>
      </c>
      <c r="K10" s="736">
        <v>3.8734044569005643</v>
      </c>
    </row>
    <row r="11" spans="1:13">
      <c r="A11" s="753">
        <v>2019</v>
      </c>
      <c r="B11" s="754">
        <v>1.1596902262686384</v>
      </c>
      <c r="C11" s="754">
        <v>1.1090673885937377</v>
      </c>
      <c r="D11" s="754">
        <v>0.79971561615367803</v>
      </c>
      <c r="E11" s="754">
        <v>0.68332750728145308</v>
      </c>
      <c r="F11" s="754">
        <v>0.63868978713814584</v>
      </c>
      <c r="G11" s="754">
        <v>0.63868978713814584</v>
      </c>
      <c r="H11" s="754">
        <v>0.68332750728145308</v>
      </c>
      <c r="I11" s="754">
        <v>0.79971561615367803</v>
      </c>
      <c r="J11" s="754">
        <v>1.1090673885937377</v>
      </c>
      <c r="K11" s="754">
        <v>4.390490525435653</v>
      </c>
    </row>
    <row r="12" spans="1:13">
      <c r="K12" s="723" t="s">
        <v>744</v>
      </c>
    </row>
    <row r="14" spans="1:13">
      <c r="A14" s="744" t="s">
        <v>357</v>
      </c>
      <c r="B14" s="744"/>
      <c r="C14" s="744"/>
      <c r="D14" s="744"/>
      <c r="E14" s="744"/>
      <c r="F14" s="744"/>
      <c r="G14" s="744"/>
      <c r="H14" s="744"/>
      <c r="I14" s="744"/>
      <c r="J14" s="744"/>
      <c r="K14" s="744"/>
    </row>
    <row r="17" spans="11:12">
      <c r="K17" s="758"/>
      <c r="L17" s="758"/>
    </row>
    <row r="18" spans="11:12">
      <c r="K18" s="758"/>
      <c r="L18" s="758"/>
    </row>
    <row r="19" spans="11:12">
      <c r="K19" s="758"/>
      <c r="L19" s="758"/>
    </row>
  </sheetData>
  <pageMargins left="0.25" right="0.25" top="0.75" bottom="0.75" header="0.3" footer="0.3"/>
  <pageSetup scale="95" fitToHeight="0" orientation="portrait" horizontalDpi="4294967294" verticalDpi="0" r:id="rId1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7"/>
  <sheetViews>
    <sheetView showGridLines="0" zoomScaleNormal="100" workbookViewId="0">
      <selection activeCell="L1" sqref="L1"/>
    </sheetView>
  </sheetViews>
  <sheetFormatPr defaultRowHeight="15"/>
  <cols>
    <col min="1" max="1" width="59.140625" style="758" customWidth="1"/>
    <col min="2" max="10" width="9.140625" style="758" bestFit="1" customWidth="1"/>
    <col min="11" max="16384" width="9.140625" style="758"/>
  </cols>
  <sheetData>
    <row r="1" spans="1:12">
      <c r="A1" s="792" t="s">
        <v>358</v>
      </c>
      <c r="B1" s="794"/>
      <c r="C1" s="794"/>
      <c r="D1" s="794"/>
      <c r="E1" s="794"/>
      <c r="F1" s="794"/>
      <c r="G1" s="793"/>
      <c r="H1" s="793"/>
      <c r="I1" s="793"/>
      <c r="J1" s="793"/>
      <c r="L1" s="792" t="s">
        <v>358</v>
      </c>
    </row>
    <row r="2" spans="1:12">
      <c r="A2" s="513"/>
      <c r="B2" s="514" t="s">
        <v>536</v>
      </c>
      <c r="C2" s="514" t="s">
        <v>537</v>
      </c>
      <c r="D2" s="514" t="s">
        <v>538</v>
      </c>
      <c r="E2" s="514" t="s">
        <v>539</v>
      </c>
      <c r="F2" s="514" t="s">
        <v>540</v>
      </c>
      <c r="G2" s="514" t="s">
        <v>541</v>
      </c>
      <c r="H2" s="514" t="s">
        <v>542</v>
      </c>
      <c r="I2" s="514" t="s">
        <v>543</v>
      </c>
      <c r="J2" s="514" t="s">
        <v>544</v>
      </c>
    </row>
    <row r="3" spans="1:12">
      <c r="A3" s="791" t="s">
        <v>545</v>
      </c>
      <c r="B3" s="790">
        <v>18763.755382560004</v>
      </c>
      <c r="C3" s="790">
        <v>18977.582617170003</v>
      </c>
      <c r="D3" s="790">
        <v>20846.443533159996</v>
      </c>
      <c r="E3" s="790">
        <v>22243.595982250001</v>
      </c>
      <c r="F3" s="790">
        <v>23872.526729379999</v>
      </c>
      <c r="G3" s="790">
        <v>24978.870000000003</v>
      </c>
      <c r="H3" s="790">
        <v>25963.43636460802</v>
      </c>
      <c r="I3" s="790">
        <v>27188.527449593355</v>
      </c>
      <c r="J3" s="790">
        <v>28652.772493658154</v>
      </c>
      <c r="K3" s="769"/>
    </row>
    <row r="4" spans="1:12">
      <c r="A4" s="789" t="s">
        <v>757</v>
      </c>
      <c r="B4" s="788"/>
      <c r="C4" s="788"/>
      <c r="D4" s="788"/>
      <c r="E4" s="788"/>
      <c r="F4" s="788"/>
      <c r="G4" s="788"/>
      <c r="H4" s="787">
        <v>165.83215741242401</v>
      </c>
      <c r="I4" s="787">
        <v>215.21655964401879</v>
      </c>
      <c r="J4" s="787">
        <v>201.1591922463154</v>
      </c>
      <c r="K4" s="769"/>
    </row>
    <row r="5" spans="1:12">
      <c r="A5" s="786" t="s">
        <v>756</v>
      </c>
      <c r="B5" s="784">
        <f t="shared" ref="B5:J5" si="0">B3/B$9</f>
        <v>0.26567321630420015</v>
      </c>
      <c r="C5" s="784">
        <f t="shared" si="0"/>
        <v>0.26102708421424009</v>
      </c>
      <c r="D5" s="784">
        <f t="shared" si="0"/>
        <v>0.28106339004313069</v>
      </c>
      <c r="E5" s="784">
        <f t="shared" si="0"/>
        <v>0.29288545582476594</v>
      </c>
      <c r="F5" s="784">
        <f t="shared" si="0"/>
        <v>0.30339130322930746</v>
      </c>
      <c r="G5" s="784">
        <f t="shared" si="0"/>
        <v>0.30768939297371783</v>
      </c>
      <c r="H5" s="784">
        <f t="shared" si="0"/>
        <v>0.30670500865250649</v>
      </c>
      <c r="I5" s="784">
        <f t="shared" si="0"/>
        <v>0.30474136561066839</v>
      </c>
      <c r="J5" s="784">
        <f t="shared" si="0"/>
        <v>0.30174619712149708</v>
      </c>
    </row>
    <row r="6" spans="1:12">
      <c r="A6" s="786" t="s">
        <v>755</v>
      </c>
      <c r="B6" s="785"/>
      <c r="C6" s="785"/>
      <c r="D6" s="785"/>
      <c r="E6" s="785"/>
      <c r="F6" s="785"/>
      <c r="G6" s="785"/>
      <c r="H6" s="784">
        <f>H4/H$9</f>
        <v>1.9589684724235154E-3</v>
      </c>
      <c r="I6" s="784">
        <f>I4/I$9</f>
        <v>2.4122449591851315E-3</v>
      </c>
      <c r="J6" s="784">
        <f>J4/J$9</f>
        <v>2.1184344827291182E-3</v>
      </c>
    </row>
    <row r="7" spans="1:12">
      <c r="A7" s="783" t="s">
        <v>754</v>
      </c>
      <c r="B7" s="782">
        <f t="shared" ref="B7:J7" si="1">SUM(B5:B6)</f>
        <v>0.26567321630420015</v>
      </c>
      <c r="C7" s="782">
        <f t="shared" si="1"/>
        <v>0.26102708421424009</v>
      </c>
      <c r="D7" s="782">
        <f t="shared" si="1"/>
        <v>0.28106339004313069</v>
      </c>
      <c r="E7" s="782">
        <f t="shared" si="1"/>
        <v>0.29288545582476594</v>
      </c>
      <c r="F7" s="782">
        <f t="shared" si="1"/>
        <v>0.30339130322930746</v>
      </c>
      <c r="G7" s="782">
        <f t="shared" si="1"/>
        <v>0.30768939297371783</v>
      </c>
      <c r="H7" s="781">
        <f t="shared" si="1"/>
        <v>0.30866397712492999</v>
      </c>
      <c r="I7" s="781">
        <f t="shared" si="1"/>
        <v>0.30715361056985352</v>
      </c>
      <c r="J7" s="781">
        <f t="shared" si="1"/>
        <v>0.30386463160422622</v>
      </c>
      <c r="K7" s="769"/>
    </row>
    <row r="8" spans="1:12">
      <c r="A8" s="777"/>
      <c r="B8" s="776"/>
      <c r="C8" s="775"/>
      <c r="D8" s="775"/>
      <c r="E8" s="775"/>
      <c r="F8" s="775"/>
      <c r="G8" s="775"/>
      <c r="H8" s="774"/>
      <c r="I8" s="774"/>
      <c r="J8" s="774"/>
      <c r="K8" s="769"/>
    </row>
    <row r="9" spans="1:12">
      <c r="A9" s="780" t="s">
        <v>753</v>
      </c>
      <c r="B9" s="779">
        <v>70627.199999999997</v>
      </c>
      <c r="C9" s="779">
        <v>72703.5</v>
      </c>
      <c r="D9" s="779">
        <v>74169.899999999994</v>
      </c>
      <c r="E9" s="779">
        <v>75946.399999999994</v>
      </c>
      <c r="F9" s="779">
        <v>78685.600000000006</v>
      </c>
      <c r="G9" s="778">
        <v>81182.096524639201</v>
      </c>
      <c r="H9" s="778">
        <v>84652.795461923204</v>
      </c>
      <c r="I9" s="778">
        <v>89218.368484733001</v>
      </c>
      <c r="J9" s="778">
        <v>94956.532234675396</v>
      </c>
      <c r="K9" s="769"/>
    </row>
    <row r="10" spans="1:12">
      <c r="A10" s="777"/>
      <c r="B10" s="776"/>
      <c r="C10" s="775"/>
      <c r="D10" s="775"/>
      <c r="E10" s="775"/>
      <c r="F10" s="775"/>
      <c r="G10" s="775"/>
      <c r="H10" s="774"/>
      <c r="I10" s="774"/>
      <c r="J10" s="774"/>
      <c r="K10" s="769"/>
    </row>
    <row r="11" spans="1:12">
      <c r="A11" s="759"/>
      <c r="B11" s="773"/>
      <c r="C11" s="773"/>
      <c r="D11" s="773"/>
      <c r="E11" s="773"/>
      <c r="F11" s="773"/>
      <c r="G11" s="773"/>
      <c r="H11" s="773"/>
      <c r="I11" s="773"/>
      <c r="J11" s="773"/>
      <c r="K11" s="769"/>
    </row>
    <row r="12" spans="1:12">
      <c r="B12" s="772"/>
      <c r="C12" s="772"/>
      <c r="D12" s="772"/>
      <c r="E12" s="772"/>
      <c r="F12" s="772"/>
      <c r="G12" s="772"/>
      <c r="H12" s="772"/>
      <c r="I12" s="772"/>
      <c r="J12" s="772"/>
      <c r="K12" s="769"/>
    </row>
    <row r="13" spans="1:12">
      <c r="K13" s="769"/>
    </row>
    <row r="14" spans="1:12">
      <c r="K14" s="769"/>
    </row>
    <row r="15" spans="1:12">
      <c r="B15" s="515"/>
      <c r="C15" s="515"/>
      <c r="D15" s="515"/>
      <c r="E15" s="515"/>
      <c r="F15" s="515"/>
      <c r="G15" s="515"/>
      <c r="H15" s="515"/>
      <c r="I15" s="515"/>
      <c r="J15" s="515"/>
      <c r="K15" s="769"/>
    </row>
    <row r="16" spans="1:12">
      <c r="B16" s="769"/>
      <c r="C16" s="769"/>
      <c r="D16" s="769"/>
      <c r="E16" s="769"/>
      <c r="F16" s="769"/>
      <c r="G16" s="769"/>
      <c r="H16" s="771"/>
      <c r="I16" s="771"/>
      <c r="J16" s="771"/>
      <c r="K16" s="769"/>
    </row>
    <row r="17" spans="2:11">
      <c r="B17" s="769"/>
      <c r="C17" s="769"/>
      <c r="D17" s="769"/>
      <c r="E17" s="769"/>
      <c r="F17" s="769"/>
      <c r="G17" s="769"/>
      <c r="H17" s="771"/>
      <c r="I17" s="771"/>
      <c r="J17" s="771"/>
      <c r="K17" s="769"/>
    </row>
    <row r="18" spans="2:11">
      <c r="B18" s="769"/>
      <c r="K18" s="769"/>
    </row>
    <row r="19" spans="2:11">
      <c r="B19" s="769"/>
      <c r="C19" s="769"/>
      <c r="D19" s="769"/>
      <c r="E19" s="769"/>
      <c r="F19" s="769"/>
      <c r="G19" s="769"/>
      <c r="H19" s="769"/>
      <c r="I19" s="769"/>
      <c r="J19" s="769"/>
    </row>
    <row r="20" spans="2:11">
      <c r="B20" s="769"/>
      <c r="C20" s="769"/>
      <c r="D20" s="769"/>
      <c r="E20" s="769"/>
      <c r="F20" s="769"/>
      <c r="G20" s="769"/>
      <c r="H20" s="769"/>
      <c r="I20" s="769"/>
      <c r="J20" s="769"/>
      <c r="K20" s="769"/>
    </row>
    <row r="21" spans="2:11">
      <c r="K21" s="769"/>
    </row>
    <row r="22" spans="2:11">
      <c r="B22" s="770"/>
      <c r="C22" s="770"/>
      <c r="D22" s="770"/>
      <c r="E22" s="770"/>
      <c r="F22" s="770"/>
      <c r="G22" s="770"/>
      <c r="H22" s="770"/>
      <c r="I22" s="770"/>
      <c r="J22" s="770"/>
      <c r="K22" s="769"/>
    </row>
    <row r="23" spans="2:11">
      <c r="B23" s="770"/>
      <c r="C23" s="770"/>
      <c r="D23" s="770"/>
      <c r="E23" s="770"/>
      <c r="F23" s="770"/>
      <c r="G23" s="770"/>
      <c r="H23" s="770"/>
      <c r="I23" s="770"/>
      <c r="J23" s="770"/>
      <c r="K23" s="769"/>
    </row>
    <row r="26" spans="2:11">
      <c r="C26" s="768"/>
      <c r="D26" s="768"/>
      <c r="E26" s="768"/>
      <c r="F26" s="768"/>
      <c r="G26" s="768"/>
      <c r="H26" s="768"/>
      <c r="I26" s="768"/>
      <c r="J26" s="768"/>
    </row>
    <row r="27" spans="2:11">
      <c r="C27" s="768"/>
      <c r="D27" s="768"/>
      <c r="E27" s="768"/>
      <c r="F27" s="768"/>
      <c r="G27" s="768"/>
      <c r="H27" s="768"/>
      <c r="I27" s="768"/>
      <c r="J27" s="768"/>
    </row>
  </sheetData>
  <pageMargins left="0.7" right="0.7" top="0.75" bottom="0.75" header="0.3" footer="0.3"/>
  <pageSetup paperSize="9" orientation="portrait" verticalDpi="0" r:id="rId1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2"/>
  <sheetViews>
    <sheetView showGridLines="0" zoomScaleNormal="100" workbookViewId="0">
      <selection activeCell="F1" sqref="F1"/>
    </sheetView>
  </sheetViews>
  <sheetFormatPr defaultRowHeight="12"/>
  <cols>
    <col min="1" max="1" width="58.28515625" style="512" bestFit="1" customWidth="1"/>
    <col min="2" max="4" width="10.7109375" style="512" customWidth="1"/>
    <col min="5" max="16384" width="9.140625" style="512"/>
  </cols>
  <sheetData>
    <row r="1" spans="1:6" s="26" customFormat="1" ht="15.75" customHeight="1">
      <c r="A1" s="505" t="s">
        <v>524</v>
      </c>
      <c r="B1" s="505">
        <v>2017</v>
      </c>
      <c r="C1" s="505">
        <v>2018</v>
      </c>
      <c r="D1" s="505">
        <v>2019</v>
      </c>
      <c r="E1" s="508"/>
      <c r="F1" s="531" t="s">
        <v>359</v>
      </c>
    </row>
    <row r="2" spans="1:6" s="26" customFormat="1" ht="15.75" customHeight="1">
      <c r="A2" s="506" t="s">
        <v>525</v>
      </c>
      <c r="B2" s="507">
        <f>SUM(B3:B4)</f>
        <v>167.16399999999999</v>
      </c>
      <c r="C2" s="507">
        <f t="shared" ref="C2:D2" si="0">SUM(C3:C4)</f>
        <v>171.904</v>
      </c>
      <c r="D2" s="507">
        <f t="shared" si="0"/>
        <v>133.3125</v>
      </c>
      <c r="E2" s="508"/>
    </row>
    <row r="3" spans="1:6" s="26" customFormat="1" ht="15.75" customHeight="1">
      <c r="A3" s="509" t="s">
        <v>526</v>
      </c>
      <c r="B3" s="510">
        <v>90.663494998666152</v>
      </c>
      <c r="C3" s="510">
        <v>93.329465241656578</v>
      </c>
      <c r="D3" s="510">
        <v>52.01350941071783</v>
      </c>
      <c r="E3" s="508"/>
    </row>
    <row r="4" spans="1:6" s="26" customFormat="1" ht="15.75" customHeight="1">
      <c r="A4" s="509" t="s">
        <v>527</v>
      </c>
      <c r="B4" s="510">
        <v>76.500505001333835</v>
      </c>
      <c r="C4" s="510">
        <v>78.574534758343418</v>
      </c>
      <c r="D4" s="510">
        <v>81.29899058928217</v>
      </c>
      <c r="E4" s="508"/>
    </row>
    <row r="5" spans="1:6" s="26" customFormat="1" ht="15.75" customHeight="1">
      <c r="A5" s="506" t="s">
        <v>528</v>
      </c>
      <c r="B5" s="507">
        <v>50.043340000000001</v>
      </c>
      <c r="C5" s="507">
        <v>51.972124999999998</v>
      </c>
      <c r="D5" s="507">
        <v>54.791239999999995</v>
      </c>
    </row>
    <row r="6" spans="1:6" s="26" customFormat="1" ht="15.75" customHeight="1">
      <c r="A6" s="506" t="s">
        <v>529</v>
      </c>
      <c r="B6" s="507">
        <v>0</v>
      </c>
      <c r="C6" s="507">
        <v>50.5</v>
      </c>
      <c r="D6" s="507">
        <v>50.300000000000004</v>
      </c>
      <c r="E6" s="508"/>
    </row>
    <row r="7" spans="1:6" s="26" customFormat="1" ht="15.75" customHeight="1">
      <c r="A7" s="506" t="s">
        <v>530</v>
      </c>
      <c r="B7" s="507">
        <v>29.565999999999999</v>
      </c>
      <c r="C7" s="507">
        <v>32.475000000000001</v>
      </c>
      <c r="D7" s="507">
        <v>68.343999999999994</v>
      </c>
      <c r="E7" s="508"/>
    </row>
    <row r="8" spans="1:6" s="26" customFormat="1" ht="15.75" customHeight="1">
      <c r="A8" s="506" t="s">
        <v>247</v>
      </c>
      <c r="B8" s="507">
        <v>-8.7750000000000004</v>
      </c>
      <c r="C8" s="507">
        <v>-8.7750000000000004</v>
      </c>
      <c r="D8" s="507">
        <v>-8.7750000000000004</v>
      </c>
    </row>
    <row r="9" spans="1:6" s="26" customFormat="1" ht="15.75" customHeight="1">
      <c r="A9" s="506" t="s">
        <v>531</v>
      </c>
      <c r="B9" s="507">
        <v>-13.4</v>
      </c>
      <c r="C9" s="507">
        <v>-20.6</v>
      </c>
      <c r="D9" s="507">
        <v>-24.6</v>
      </c>
    </row>
    <row r="10" spans="1:6" s="26" customFormat="1" ht="15.75" customHeight="1">
      <c r="A10" s="506" t="s">
        <v>532</v>
      </c>
      <c r="B10" s="507">
        <v>-141.14071871277457</v>
      </c>
      <c r="C10" s="507">
        <v>-146.95564233908163</v>
      </c>
      <c r="D10" s="507">
        <v>-159.80496023430584</v>
      </c>
      <c r="E10" s="508"/>
    </row>
    <row r="11" spans="1:6" s="26" customFormat="1" ht="15.75" customHeight="1">
      <c r="A11" s="506" t="s">
        <v>533</v>
      </c>
      <c r="B11" s="507">
        <v>17.899999999999999</v>
      </c>
      <c r="C11" s="507">
        <v>17.899999999999999</v>
      </c>
      <c r="D11" s="507">
        <v>17.899999999999999</v>
      </c>
      <c r="E11" s="508"/>
    </row>
    <row r="12" spans="1:6" s="44" customFormat="1" ht="15.75" customHeight="1">
      <c r="A12" s="506" t="s">
        <v>534</v>
      </c>
      <c r="B12" s="507">
        <v>64.474536125198995</v>
      </c>
      <c r="C12" s="507">
        <v>66.796076983100804</v>
      </c>
      <c r="D12" s="507">
        <v>69.691412480621395</v>
      </c>
    </row>
    <row r="13" spans="1:6" s="44" customFormat="1" ht="15.75" customHeight="1">
      <c r="A13" s="505" t="s">
        <v>535</v>
      </c>
      <c r="B13" s="511">
        <f>SUM(B3:B12)</f>
        <v>165.83215741242441</v>
      </c>
      <c r="C13" s="511">
        <f t="shared" ref="C13:D13" si="1">SUM(C3:C12)</f>
        <v>215.21655964401918</v>
      </c>
      <c r="D13" s="511">
        <f t="shared" si="1"/>
        <v>201.15919224631557</v>
      </c>
    </row>
    <row r="14" spans="1:6" s="26" customFormat="1" ht="15.75" customHeight="1">
      <c r="B14" s="512"/>
      <c r="C14" s="512"/>
      <c r="D14" s="542" t="s">
        <v>562</v>
      </c>
    </row>
    <row r="15" spans="1:6" s="26" customFormat="1">
      <c r="A15" s="512"/>
      <c r="B15" s="512"/>
      <c r="C15" s="512"/>
      <c r="D15" s="512"/>
    </row>
    <row r="18" spans="1:4" s="26" customFormat="1" ht="20.25" customHeight="1">
      <c r="A18" s="512"/>
      <c r="B18" s="512"/>
      <c r="C18" s="512"/>
      <c r="D18" s="512"/>
    </row>
    <row r="19" spans="1:4" s="26" customFormat="1" ht="14.25" customHeight="1">
      <c r="A19" s="512"/>
      <c r="B19" s="512"/>
      <c r="C19" s="512"/>
      <c r="D19" s="512"/>
    </row>
    <row r="20" spans="1:4" s="26" customFormat="1" ht="14.25" customHeight="1">
      <c r="A20" s="512"/>
      <c r="B20" s="512"/>
      <c r="C20" s="512"/>
      <c r="D20" s="512"/>
    </row>
    <row r="21" spans="1:4" s="26" customFormat="1" ht="14.25" customHeight="1">
      <c r="A21" s="512"/>
      <c r="B21" s="512"/>
      <c r="C21" s="512"/>
      <c r="D21" s="512"/>
    </row>
    <row r="22" spans="1:4" s="26" customFormat="1" ht="14.25" customHeight="1">
      <c r="A22" s="512"/>
      <c r="B22" s="512"/>
      <c r="C22" s="512"/>
      <c r="D22" s="512"/>
    </row>
  </sheetData>
  <pageMargins left="0.7" right="0.7" top="0.75" bottom="0.75" header="0.3" footer="0.3"/>
  <pageSetup paperSize="9" scale="67" orientation="portrait" r:id="rId1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4"/>
  <sheetViews>
    <sheetView showGridLines="0" zoomScaleNormal="100" workbookViewId="0">
      <selection activeCell="H2" sqref="H2"/>
    </sheetView>
  </sheetViews>
  <sheetFormatPr defaultRowHeight="12"/>
  <cols>
    <col min="1" max="1" width="9.140625" style="527"/>
    <col min="2" max="2" width="9.140625" style="518"/>
    <col min="3" max="6" width="9.140625" style="519"/>
    <col min="7" max="16384" width="9.140625" style="517"/>
  </cols>
  <sheetData>
    <row r="1" spans="1:8" s="521" customFormat="1" ht="24">
      <c r="A1" s="520"/>
      <c r="B1" s="520" t="s">
        <v>546</v>
      </c>
      <c r="C1" s="520" t="s">
        <v>547</v>
      </c>
      <c r="D1" s="520" t="s">
        <v>548</v>
      </c>
      <c r="E1" s="520" t="s">
        <v>549</v>
      </c>
      <c r="F1" s="520" t="s">
        <v>550</v>
      </c>
    </row>
    <row r="2" spans="1:8">
      <c r="A2" s="526">
        <v>2004</v>
      </c>
      <c r="B2" s="523">
        <v>16</v>
      </c>
      <c r="C2" s="524">
        <v>7</v>
      </c>
      <c r="D2" s="524">
        <v>1</v>
      </c>
      <c r="E2" s="524">
        <v>8</v>
      </c>
      <c r="F2" s="524">
        <v>0</v>
      </c>
      <c r="H2" s="531" t="s">
        <v>360</v>
      </c>
    </row>
    <row r="3" spans="1:8">
      <c r="A3" s="526">
        <v>2005</v>
      </c>
      <c r="B3" s="523">
        <v>14</v>
      </c>
      <c r="C3" s="524">
        <v>4</v>
      </c>
      <c r="D3" s="524">
        <v>2</v>
      </c>
      <c r="E3" s="524">
        <v>5</v>
      </c>
      <c r="F3" s="524">
        <v>3</v>
      </c>
    </row>
    <row r="4" spans="1:8">
      <c r="A4" s="526">
        <v>2006</v>
      </c>
      <c r="B4" s="523">
        <v>11</v>
      </c>
      <c r="C4" s="524">
        <v>1</v>
      </c>
      <c r="D4" s="524">
        <v>1</v>
      </c>
      <c r="E4" s="524">
        <v>6</v>
      </c>
      <c r="F4" s="524">
        <v>3</v>
      </c>
    </row>
    <row r="5" spans="1:8">
      <c r="A5" s="526">
        <v>2007</v>
      </c>
      <c r="B5" s="523">
        <v>17</v>
      </c>
      <c r="C5" s="524">
        <v>7</v>
      </c>
      <c r="D5" s="524">
        <v>2</v>
      </c>
      <c r="E5" s="524">
        <v>4</v>
      </c>
      <c r="F5" s="524">
        <v>4</v>
      </c>
    </row>
    <row r="6" spans="1:8">
      <c r="A6" s="526">
        <v>2008</v>
      </c>
      <c r="B6" s="523">
        <v>14</v>
      </c>
      <c r="C6" s="524">
        <v>5</v>
      </c>
      <c r="D6" s="524">
        <v>2</v>
      </c>
      <c r="E6" s="524">
        <v>4</v>
      </c>
      <c r="F6" s="524">
        <v>3</v>
      </c>
    </row>
    <row r="7" spans="1:8">
      <c r="A7" s="526">
        <v>2009</v>
      </c>
      <c r="B7" s="523">
        <v>18</v>
      </c>
      <c r="C7" s="524">
        <v>5</v>
      </c>
      <c r="D7" s="524">
        <v>4</v>
      </c>
      <c r="E7" s="524">
        <v>6</v>
      </c>
      <c r="F7" s="524">
        <v>3</v>
      </c>
    </row>
    <row r="8" spans="1:8">
      <c r="A8" s="526">
        <v>2010</v>
      </c>
      <c r="B8" s="523">
        <v>12</v>
      </c>
      <c r="C8" s="524">
        <v>2</v>
      </c>
      <c r="D8" s="524">
        <v>2</v>
      </c>
      <c r="E8" s="524">
        <v>4</v>
      </c>
      <c r="F8" s="524">
        <v>4</v>
      </c>
    </row>
    <row r="9" spans="1:8">
      <c r="A9" s="526">
        <v>2011</v>
      </c>
      <c r="B9" s="523">
        <v>18</v>
      </c>
      <c r="C9" s="524">
        <v>8</v>
      </c>
      <c r="D9" s="524">
        <v>2</v>
      </c>
      <c r="E9" s="524">
        <v>6</v>
      </c>
      <c r="F9" s="524">
        <v>2</v>
      </c>
    </row>
    <row r="10" spans="1:8">
      <c r="A10" s="526">
        <v>2012</v>
      </c>
      <c r="B10" s="523">
        <v>15</v>
      </c>
      <c r="C10" s="524">
        <v>6</v>
      </c>
      <c r="D10" s="524">
        <v>2</v>
      </c>
      <c r="E10" s="524">
        <v>3</v>
      </c>
      <c r="F10" s="524">
        <v>4</v>
      </c>
    </row>
    <row r="11" spans="1:8">
      <c r="A11" s="526">
        <v>2013</v>
      </c>
      <c r="B11" s="523">
        <v>13</v>
      </c>
      <c r="C11" s="524">
        <v>4</v>
      </c>
      <c r="D11" s="524">
        <v>1</v>
      </c>
      <c r="E11" s="524">
        <v>3</v>
      </c>
      <c r="F11" s="524">
        <v>5</v>
      </c>
    </row>
    <row r="12" spans="1:8">
      <c r="A12" s="526">
        <v>2014</v>
      </c>
      <c r="B12" s="523">
        <v>13</v>
      </c>
      <c r="C12" s="524">
        <v>5</v>
      </c>
      <c r="D12" s="524">
        <v>1</v>
      </c>
      <c r="E12" s="524">
        <v>5</v>
      </c>
      <c r="F12" s="524">
        <v>2</v>
      </c>
    </row>
    <row r="13" spans="1:8">
      <c r="A13" s="528">
        <v>2015</v>
      </c>
      <c r="B13" s="529">
        <v>33</v>
      </c>
      <c r="C13" s="530">
        <v>12</v>
      </c>
      <c r="D13" s="530">
        <v>2</v>
      </c>
      <c r="E13" s="530">
        <v>11</v>
      </c>
      <c r="F13" s="530">
        <v>8</v>
      </c>
    </row>
    <row r="14" spans="1:8">
      <c r="F14" s="541"/>
    </row>
  </sheetData>
  <pageMargins left="0.7" right="0.7" top="0.75" bottom="0.75" header="0.3" footer="0.3"/>
  <pageSetup paperSize="9" orientation="portrait" verticalDpi="0" r:id="rId1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7"/>
  <sheetViews>
    <sheetView showGridLines="0" zoomScaleNormal="100" workbookViewId="0"/>
  </sheetViews>
  <sheetFormatPr defaultRowHeight="12.75"/>
  <sheetData>
    <row r="1" spans="1:13">
      <c r="A1" s="531" t="s">
        <v>552</v>
      </c>
    </row>
    <row r="2" spans="1:13" ht="15">
      <c r="A2" s="516"/>
    </row>
    <row r="3" spans="1:13">
      <c r="K3" s="132"/>
      <c r="L3" s="132"/>
      <c r="M3" s="132"/>
    </row>
    <row r="4" spans="1:13">
      <c r="K4" s="132"/>
      <c r="L4" s="132"/>
      <c r="M4" s="132"/>
    </row>
    <row r="5" spans="1:13">
      <c r="K5" s="132"/>
      <c r="L5" s="132"/>
      <c r="M5" s="132"/>
    </row>
    <row r="6" spans="1:13">
      <c r="K6" s="132"/>
      <c r="L6" s="132"/>
      <c r="M6" s="132"/>
    </row>
    <row r="7" spans="1:13">
      <c r="K7" s="132"/>
      <c r="L7" s="132"/>
      <c r="M7" s="132"/>
    </row>
  </sheetData>
  <pageMargins left="0.7" right="0.7" top="0.75" bottom="0.75" header="0.3" footer="0.3"/>
  <drawing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zoomScaleNormal="100" workbookViewId="0"/>
  </sheetViews>
  <sheetFormatPr defaultRowHeight="12.75"/>
  <sheetData>
    <row r="1" spans="1:1">
      <c r="A1" s="531" t="s">
        <v>551</v>
      </c>
    </row>
  </sheetData>
  <pageMargins left="0.7" right="0.7" top="0.75" bottom="0.75" header="0.3" footer="0.3"/>
  <drawing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workbookViewId="0"/>
  </sheetViews>
  <sheetFormatPr defaultRowHeight="12.75"/>
  <sheetData>
    <row r="1" spans="1:1" ht="15">
      <c r="A1" s="525" t="s">
        <v>363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8"/>
  <sheetViews>
    <sheetView showGridLines="0" workbookViewId="0"/>
  </sheetViews>
  <sheetFormatPr defaultRowHeight="12.75"/>
  <cols>
    <col min="1" max="1" width="48.5703125" style="605" bestFit="1" customWidth="1"/>
    <col min="2" max="9" width="7.42578125" style="605" customWidth="1"/>
    <col min="10" max="16384" width="9.140625" style="605"/>
  </cols>
  <sheetData>
    <row r="1" spans="1:13">
      <c r="A1" s="555" t="s">
        <v>303</v>
      </c>
      <c r="B1" s="555"/>
      <c r="C1" s="555"/>
      <c r="D1" s="555"/>
      <c r="E1" s="555"/>
      <c r="F1" s="555"/>
      <c r="G1" s="555"/>
      <c r="H1" s="555"/>
      <c r="I1" s="555"/>
    </row>
    <row r="2" spans="1:13">
      <c r="A2" s="606" t="s">
        <v>569</v>
      </c>
      <c r="B2" s="607">
        <v>2012</v>
      </c>
      <c r="C2" s="608">
        <v>2013</v>
      </c>
      <c r="D2" s="608">
        <v>2014</v>
      </c>
      <c r="E2" s="608">
        <v>2015</v>
      </c>
      <c r="F2" s="608">
        <v>2016</v>
      </c>
      <c r="G2" s="608">
        <v>2017</v>
      </c>
      <c r="H2" s="608">
        <v>2018</v>
      </c>
      <c r="I2" s="608">
        <v>2019</v>
      </c>
      <c r="L2" s="109"/>
      <c r="M2" s="109"/>
    </row>
    <row r="3" spans="1:13">
      <c r="A3" s="609" t="s">
        <v>615</v>
      </c>
      <c r="B3" s="610">
        <v>72.703500000000005</v>
      </c>
      <c r="C3" s="611">
        <v>74.169899999999998</v>
      </c>
      <c r="D3" s="611">
        <v>75.946399999999997</v>
      </c>
      <c r="E3" s="611">
        <v>78.685600000000008</v>
      </c>
      <c r="F3" s="612">
        <v>81.182096524639164</v>
      </c>
      <c r="G3" s="612">
        <v>84.652795461923233</v>
      </c>
      <c r="H3" s="612">
        <v>89.21836848473302</v>
      </c>
      <c r="I3" s="613">
        <v>94.956532234675365</v>
      </c>
      <c r="L3" s="109"/>
      <c r="M3" s="109"/>
    </row>
    <row r="4" spans="1:13">
      <c r="A4" s="609" t="s">
        <v>616</v>
      </c>
      <c r="B4" s="610">
        <v>72.420003000000008</v>
      </c>
      <c r="C4" s="611">
        <v>73.835087999999999</v>
      </c>
      <c r="D4" s="611">
        <v>75.560457</v>
      </c>
      <c r="E4" s="611">
        <v>78.070813000000001</v>
      </c>
      <c r="F4" s="612">
        <v>80.547803876732885</v>
      </c>
      <c r="G4" s="612">
        <v>83.991385519523988</v>
      </c>
      <c r="H4" s="612">
        <v>88.52128676831191</v>
      </c>
      <c r="I4" s="613">
        <v>94.214617048377477</v>
      </c>
      <c r="L4" s="109"/>
      <c r="M4" s="109"/>
    </row>
    <row r="5" spans="1:13">
      <c r="A5" s="614" t="s">
        <v>617</v>
      </c>
      <c r="B5" s="615">
        <v>0.283496999999997</v>
      </c>
      <c r="C5" s="616">
        <v>0.33481199999999944</v>
      </c>
      <c r="D5" s="616">
        <v>0.38594299999999748</v>
      </c>
      <c r="E5" s="616">
        <v>0.61478700000000686</v>
      </c>
      <c r="F5" s="617">
        <v>0.63429264790627826</v>
      </c>
      <c r="G5" s="617">
        <v>0.66140994239924567</v>
      </c>
      <c r="H5" s="617">
        <v>0.69708171642110983</v>
      </c>
      <c r="I5" s="618">
        <v>0.74191518629788789</v>
      </c>
      <c r="L5" s="595"/>
      <c r="M5" s="595"/>
    </row>
    <row r="6" spans="1:13">
      <c r="A6" s="609" t="s">
        <v>618</v>
      </c>
      <c r="B6" s="610">
        <v>1.6571102898000163</v>
      </c>
      <c r="C6" s="611">
        <v>1.4906461212620457</v>
      </c>
      <c r="D6" s="611">
        <v>2.570769752269257</v>
      </c>
      <c r="E6" s="611">
        <v>3.8311101923579116</v>
      </c>
      <c r="F6" s="612">
        <v>3.5760395496688746</v>
      </c>
      <c r="G6" s="612">
        <v>3.5318382740930909</v>
      </c>
      <c r="H6" s="612">
        <v>3.8734044569005643</v>
      </c>
      <c r="I6" s="613">
        <v>4.390490525435653</v>
      </c>
      <c r="L6" s="595"/>
      <c r="M6" s="595"/>
    </row>
    <row r="7" spans="1:13">
      <c r="A7" s="619" t="s">
        <v>619</v>
      </c>
      <c r="B7" s="620">
        <v>0.13374881608977773</v>
      </c>
      <c r="C7" s="621">
        <v>6.2714523168533098E-2</v>
      </c>
      <c r="D7" s="621">
        <v>4.8836164801817183E-2</v>
      </c>
      <c r="E7" s="621">
        <v>0.23610712643469256</v>
      </c>
      <c r="F7" s="622" t="s">
        <v>1</v>
      </c>
      <c r="G7" s="622" t="s">
        <v>1</v>
      </c>
      <c r="H7" s="622" t="s">
        <v>1</v>
      </c>
      <c r="I7" s="623" t="s">
        <v>1</v>
      </c>
    </row>
    <row r="8" spans="1:13">
      <c r="A8" s="624"/>
      <c r="B8" s="625"/>
      <c r="C8" s="625"/>
      <c r="D8" s="625"/>
      <c r="E8" s="625"/>
      <c r="F8" s="625"/>
      <c r="G8" s="625"/>
      <c r="H8" s="625"/>
      <c r="I8" s="626" t="s">
        <v>620</v>
      </c>
    </row>
  </sheetData>
  <pageMargins left="0.25" right="0.25" top="0.75" bottom="0.75" header="0.3" footer="0.3"/>
  <pageSetup scale="96" fitToHeight="0" orientation="portrait" horizontalDpi="4294967294" verticalDpi="4294967293" r:id="rId1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workbookViewId="0"/>
  </sheetViews>
  <sheetFormatPr defaultRowHeight="12.75"/>
  <sheetData>
    <row r="1" spans="1:1">
      <c r="A1" s="128" t="s">
        <v>364</v>
      </c>
    </row>
  </sheetData>
  <pageMargins left="0.7" right="0.7" top="0.75" bottom="0.75" header="0.3" footer="0.3"/>
  <drawing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10"/>
  <sheetViews>
    <sheetView showGridLines="0" workbookViewId="0">
      <selection sqref="A1:F1"/>
    </sheetView>
  </sheetViews>
  <sheetFormatPr defaultRowHeight="15"/>
  <cols>
    <col min="1" max="1" width="46.7109375" style="758" customWidth="1"/>
    <col min="2" max="16384" width="9.140625" style="758"/>
  </cols>
  <sheetData>
    <row r="1" spans="1:19">
      <c r="A1" s="1701" t="s">
        <v>816</v>
      </c>
      <c r="B1" s="1701"/>
      <c r="C1" s="1701"/>
      <c r="D1" s="1701"/>
      <c r="E1" s="1701"/>
      <c r="F1" s="1701"/>
      <c r="H1" s="792" t="s">
        <v>816</v>
      </c>
    </row>
    <row r="2" spans="1:19">
      <c r="A2" s="884"/>
      <c r="B2" s="884">
        <v>2015</v>
      </c>
      <c r="C2" s="884">
        <v>2016</v>
      </c>
      <c r="D2" s="884">
        <v>2017</v>
      </c>
      <c r="E2" s="884">
        <v>2018</v>
      </c>
      <c r="F2" s="884">
        <v>2019</v>
      </c>
      <c r="Q2" s="132"/>
      <c r="R2" s="132"/>
      <c r="S2" s="132"/>
    </row>
    <row r="3" spans="1:19">
      <c r="A3" s="764" t="s">
        <v>815</v>
      </c>
      <c r="B3" s="895">
        <v>41293</v>
      </c>
      <c r="C3" s="895">
        <v>43089</v>
      </c>
      <c r="D3" s="895">
        <v>44284</v>
      </c>
      <c r="E3" s="895">
        <v>45502</v>
      </c>
      <c r="F3" s="895">
        <v>46223</v>
      </c>
      <c r="Q3" s="132"/>
      <c r="R3" s="132"/>
      <c r="S3" s="132"/>
    </row>
    <row r="4" spans="1:19">
      <c r="A4" s="889" t="s">
        <v>185</v>
      </c>
      <c r="B4" s="888">
        <v>52.891725362204191</v>
      </c>
      <c r="C4" s="888">
        <v>53.494940800548285</v>
      </c>
      <c r="D4" s="888">
        <v>52.724454687922815</v>
      </c>
      <c r="E4" s="888">
        <v>51.40232554356453</v>
      </c>
      <c r="F4" s="888">
        <v>49.061389249467865</v>
      </c>
      <c r="Q4" s="132"/>
      <c r="R4" s="132"/>
      <c r="S4" s="132"/>
    </row>
    <row r="5" spans="1:19">
      <c r="A5" s="880" t="s">
        <v>814</v>
      </c>
      <c r="B5" s="893">
        <v>41293</v>
      </c>
      <c r="C5" s="893">
        <v>43415.932277338463</v>
      </c>
      <c r="D5" s="893">
        <v>44679.763382327139</v>
      </c>
      <c r="E5" s="893">
        <v>46076.791234043056</v>
      </c>
      <c r="F5" s="893">
        <v>46794.258274491047</v>
      </c>
      <c r="Q5" s="132"/>
      <c r="R5" s="132"/>
      <c r="S5" s="132"/>
    </row>
    <row r="6" spans="1:19">
      <c r="A6" s="889" t="s">
        <v>185</v>
      </c>
      <c r="B6" s="888">
        <v>52.478465947673691</v>
      </c>
      <c r="C6" s="888">
        <v>53.900826823013638</v>
      </c>
      <c r="D6" s="888">
        <v>53.195649894287335</v>
      </c>
      <c r="E6" s="888">
        <v>52.051650982707173</v>
      </c>
      <c r="F6" s="888">
        <v>49.667726453171319</v>
      </c>
      <c r="Q6" s="132"/>
      <c r="R6" s="132"/>
      <c r="S6" s="132"/>
    </row>
    <row r="7" spans="1:19">
      <c r="A7" s="897" t="s">
        <v>813</v>
      </c>
      <c r="B7" s="893">
        <v>41293</v>
      </c>
      <c r="C7" s="893">
        <v>43415.932277338463</v>
      </c>
      <c r="D7" s="893">
        <v>45136.07783007362</v>
      </c>
      <c r="E7" s="893">
        <v>46535.285788023168</v>
      </c>
      <c r="F7" s="893">
        <v>47252.776641373195</v>
      </c>
    </row>
    <row r="8" spans="1:19" s="896" customFormat="1">
      <c r="A8" s="889" t="s">
        <v>185</v>
      </c>
      <c r="B8" s="888">
        <v>52.478465947673691</v>
      </c>
      <c r="C8" s="888">
        <v>53.47968298656194</v>
      </c>
      <c r="D8" s="888">
        <v>53.31905815369219</v>
      </c>
      <c r="E8" s="888">
        <v>52.158856799453254</v>
      </c>
      <c r="F8" s="888">
        <v>49.762528943645954</v>
      </c>
    </row>
    <row r="9" spans="1:19">
      <c r="A9" s="880"/>
      <c r="B9" s="880"/>
      <c r="C9" s="880"/>
      <c r="D9" s="880"/>
      <c r="E9" s="880"/>
      <c r="F9" s="880"/>
    </row>
    <row r="10" spans="1:19">
      <c r="A10" s="880"/>
      <c r="B10" s="880"/>
      <c r="C10" s="880"/>
      <c r="D10" s="880"/>
      <c r="E10" s="880"/>
      <c r="F10" s="880"/>
    </row>
  </sheetData>
  <mergeCells count="1">
    <mergeCell ref="A1:F1"/>
  </mergeCells>
  <pageMargins left="0.7" right="0.7" top="0.75" bottom="0.75" header="0.3" footer="0.3"/>
  <pageSetup paperSize="9" scale="51" orientation="portrait" r:id="rId1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1"/>
  <sheetViews>
    <sheetView showGridLines="0" workbookViewId="0">
      <selection activeCell="H1" sqref="H1"/>
    </sheetView>
  </sheetViews>
  <sheetFormatPr defaultRowHeight="15"/>
  <cols>
    <col min="1" max="1" width="31.28515625" style="758" customWidth="1"/>
    <col min="2" max="4" width="9.140625" style="758"/>
    <col min="5" max="5" width="10.85546875" style="758" customWidth="1"/>
    <col min="6" max="16384" width="9.140625" style="758"/>
  </cols>
  <sheetData>
    <row r="1" spans="1:19">
      <c r="A1" s="792" t="s">
        <v>824</v>
      </c>
      <c r="B1" s="906"/>
      <c r="C1" s="906"/>
      <c r="D1" s="906"/>
      <c r="E1" s="906"/>
      <c r="F1" s="906"/>
      <c r="H1" s="792" t="s">
        <v>824</v>
      </c>
    </row>
    <row r="2" spans="1:19">
      <c r="A2" s="905"/>
      <c r="B2" s="905">
        <v>2017</v>
      </c>
      <c r="C2" s="905">
        <v>2018</v>
      </c>
      <c r="D2" s="905">
        <v>2019</v>
      </c>
      <c r="E2" s="905" t="s">
        <v>823</v>
      </c>
      <c r="G2" s="898"/>
      <c r="Q2" s="132"/>
      <c r="R2" s="132"/>
      <c r="S2" s="132"/>
    </row>
    <row r="3" spans="1:19">
      <c r="A3" s="904" t="s">
        <v>822</v>
      </c>
      <c r="B3" s="903">
        <f>SUM(B4:B10)</f>
        <v>0.75460367410668905</v>
      </c>
      <c r="C3" s="903">
        <f>SUM(C4:C10)</f>
        <v>0.77492767998381318</v>
      </c>
      <c r="D3" s="903">
        <f>SUM(D4:D10)</f>
        <v>0.52927861826432587</v>
      </c>
      <c r="E3" s="903">
        <f>SUM(E4:E10)</f>
        <v>2.0588099723548279</v>
      </c>
      <c r="G3" s="898"/>
      <c r="Q3" s="132"/>
      <c r="R3" s="132"/>
      <c r="S3" s="132"/>
    </row>
    <row r="4" spans="1:19">
      <c r="A4" s="898" t="s">
        <v>55</v>
      </c>
      <c r="B4" s="900">
        <v>-4.0088335148855236E-2</v>
      </c>
      <c r="C4" s="900">
        <v>-0.13277069236707817</v>
      </c>
      <c r="D4" s="900">
        <v>-0.34151315422418804</v>
      </c>
      <c r="E4" s="900">
        <v>-0.51437218174012145</v>
      </c>
      <c r="G4" s="898"/>
      <c r="Q4" s="132"/>
      <c r="R4" s="132"/>
      <c r="S4" s="132"/>
    </row>
    <row r="5" spans="1:19">
      <c r="A5" s="898" t="s">
        <v>821</v>
      </c>
      <c r="B5" s="900">
        <v>-0.11978357435130516</v>
      </c>
      <c r="C5" s="900">
        <v>-7.6478058538177685E-2</v>
      </c>
      <c r="D5" s="900">
        <v>-0.12199751719228402</v>
      </c>
      <c r="E5" s="900">
        <v>-0.31825915008176686</v>
      </c>
      <c r="G5" s="898"/>
      <c r="Q5" s="132"/>
      <c r="R5" s="132"/>
      <c r="S5" s="132"/>
    </row>
    <row r="6" spans="1:19">
      <c r="A6" s="898" t="s">
        <v>820</v>
      </c>
      <c r="B6" s="900">
        <v>0.30963285212556357</v>
      </c>
      <c r="C6" s="900">
        <v>0.30614953404420753</v>
      </c>
      <c r="D6" s="900">
        <v>0.37192917512978063</v>
      </c>
      <c r="E6" s="900">
        <v>0.98771156129955173</v>
      </c>
      <c r="G6" s="898"/>
      <c r="Q6" s="132"/>
      <c r="R6" s="132"/>
      <c r="S6" s="132"/>
    </row>
    <row r="7" spans="1:19">
      <c r="A7" s="898" t="s">
        <v>819</v>
      </c>
      <c r="B7" s="900">
        <v>0.3036805391847075</v>
      </c>
      <c r="C7" s="900">
        <v>0.2406721429108698</v>
      </c>
      <c r="D7" s="900">
        <v>0.32486436203322988</v>
      </c>
      <c r="E7" s="900">
        <v>0.86921704412880718</v>
      </c>
      <c r="G7" s="898"/>
    </row>
    <row r="8" spans="1:19">
      <c r="A8" s="898" t="s">
        <v>818</v>
      </c>
      <c r="B8" s="900">
        <v>0.16912656289676953</v>
      </c>
      <c r="C8" s="900">
        <v>0.31218219362200372</v>
      </c>
      <c r="D8" s="900">
        <v>0.19367860638634848</v>
      </c>
      <c r="E8" s="900">
        <v>0.67498736290512173</v>
      </c>
      <c r="G8" s="898"/>
    </row>
    <row r="9" spans="1:19">
      <c r="A9" s="898" t="s">
        <v>817</v>
      </c>
      <c r="B9" s="900">
        <v>0.19062779088977599</v>
      </c>
      <c r="C9" s="900">
        <v>7.5115789384042841E-2</v>
      </c>
      <c r="D9" s="900">
        <v>7.639295522539169E-2</v>
      </c>
      <c r="E9" s="900">
        <v>0.34213653549921053</v>
      </c>
      <c r="G9" s="898"/>
    </row>
    <row r="10" spans="1:19">
      <c r="A10" s="902" t="s">
        <v>247</v>
      </c>
      <c r="B10" s="901">
        <v>-5.8592161489967154E-2</v>
      </c>
      <c r="C10" s="901">
        <v>5.0056770927945138E-2</v>
      </c>
      <c r="D10" s="901">
        <v>2.5924190906047251E-2</v>
      </c>
      <c r="E10" s="901">
        <v>1.7388800344025235E-2</v>
      </c>
      <c r="G10" s="898"/>
    </row>
    <row r="11" spans="1:19">
      <c r="A11" s="898"/>
      <c r="B11" s="900"/>
      <c r="C11" s="900"/>
      <c r="D11" s="900"/>
      <c r="E11" s="899" t="s">
        <v>5</v>
      </c>
      <c r="G11" s="898"/>
    </row>
  </sheetData>
  <pageMargins left="0.7" right="0.7" top="0.75" bottom="0.75" header="0.3" footer="0.3"/>
  <pageSetup paperSize="9" orientation="portrait" verticalDpi="0" r:id="rId1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8"/>
  <sheetViews>
    <sheetView showGridLines="0" workbookViewId="0"/>
  </sheetViews>
  <sheetFormatPr defaultRowHeight="15"/>
  <cols>
    <col min="1" max="1" width="32.140625" style="758" customWidth="1"/>
    <col min="2" max="16384" width="9.140625" style="758"/>
  </cols>
  <sheetData>
    <row r="1" spans="1:19">
      <c r="A1" s="792" t="s">
        <v>831</v>
      </c>
      <c r="H1" s="792" t="s">
        <v>831</v>
      </c>
    </row>
    <row r="2" spans="1:19">
      <c r="A2" s="920"/>
      <c r="B2" s="919" t="s">
        <v>238</v>
      </c>
      <c r="C2" s="919"/>
      <c r="D2" s="919" t="s">
        <v>237</v>
      </c>
      <c r="E2" s="918"/>
    </row>
    <row r="3" spans="1:19">
      <c r="A3" s="917" t="s">
        <v>830</v>
      </c>
      <c r="B3" s="916">
        <v>424.98282188268774</v>
      </c>
      <c r="C3" s="915"/>
      <c r="D3" s="915">
        <f>B3/B17*100</f>
        <v>0.50061365849008532</v>
      </c>
      <c r="E3" s="759"/>
      <c r="Q3" s="132"/>
      <c r="R3" s="132"/>
      <c r="S3" s="132"/>
    </row>
    <row r="4" spans="1:19">
      <c r="A4" s="759" t="s">
        <v>247</v>
      </c>
      <c r="B4" s="913">
        <v>-99.272224529274695</v>
      </c>
      <c r="C4" s="914"/>
      <c r="D4" s="911">
        <f>D3-D5-D14-D10-D13-D11-D6-D7-D9-D8-D12</f>
        <v>-0.11693891834942867</v>
      </c>
      <c r="E4" s="907"/>
      <c r="Q4" s="132"/>
      <c r="R4" s="132"/>
      <c r="S4" s="132"/>
    </row>
    <row r="5" spans="1:19">
      <c r="A5" s="759" t="s">
        <v>138</v>
      </c>
      <c r="B5" s="913">
        <v>-20.517132502938132</v>
      </c>
      <c r="C5" s="914"/>
      <c r="D5" s="912">
        <f>B5/B17*100</f>
        <v>-2.4168404545200532E-2</v>
      </c>
      <c r="E5" s="759"/>
      <c r="Q5" s="132"/>
      <c r="R5" s="132"/>
      <c r="S5" s="132"/>
    </row>
    <row r="6" spans="1:19">
      <c r="A6" s="759" t="s">
        <v>829</v>
      </c>
      <c r="B6" s="913">
        <v>-106.19078913612009</v>
      </c>
      <c r="C6" s="914"/>
      <c r="D6" s="911">
        <f>B6/B17*100</f>
        <v>-0.12508872526159825</v>
      </c>
      <c r="E6" s="907"/>
      <c r="Q6" s="132"/>
      <c r="R6" s="132"/>
      <c r="S6" s="132"/>
    </row>
    <row r="7" spans="1:19">
      <c r="A7" s="759" t="s">
        <v>828</v>
      </c>
      <c r="B7" s="913">
        <v>-111.10999999999967</v>
      </c>
      <c r="C7" s="911"/>
      <c r="D7" s="912">
        <f>(B7)/B17*100</f>
        <v>-0.13088336923459801</v>
      </c>
      <c r="E7" s="759"/>
      <c r="Q7" s="132"/>
      <c r="R7" s="132"/>
      <c r="S7" s="132"/>
    </row>
    <row r="8" spans="1:19">
      <c r="A8" s="759" t="s">
        <v>827</v>
      </c>
      <c r="B8" s="913">
        <v>-232.9966</v>
      </c>
      <c r="C8" s="911"/>
      <c r="D8" s="911">
        <f>B8/B17*100</f>
        <v>-0.27446116486550287</v>
      </c>
      <c r="E8" s="759"/>
    </row>
    <row r="9" spans="1:19">
      <c r="A9" s="759" t="s">
        <v>54</v>
      </c>
      <c r="B9" s="913">
        <v>152.0419833123116</v>
      </c>
      <c r="C9" s="911"/>
      <c r="D9" s="911">
        <f>B9/B17*100</f>
        <v>0.17909969436617698</v>
      </c>
      <c r="E9" s="759"/>
    </row>
    <row r="10" spans="1:19">
      <c r="A10" s="759" t="s">
        <v>251</v>
      </c>
      <c r="B10" s="913">
        <v>270.7479060474472</v>
      </c>
      <c r="C10" s="914"/>
      <c r="D10" s="912">
        <f>B10/B17*100</f>
        <v>0.31893077271804859</v>
      </c>
      <c r="E10" s="759"/>
    </row>
    <row r="11" spans="1:19">
      <c r="A11" s="759" t="s">
        <v>135</v>
      </c>
      <c r="B11" s="913">
        <v>283.32433193908935</v>
      </c>
      <c r="C11" s="914"/>
      <c r="D11" s="912">
        <f>B11/B17*100</f>
        <v>0.33374532580622573</v>
      </c>
      <c r="E11" s="759"/>
    </row>
    <row r="12" spans="1:19">
      <c r="A12" s="759" t="s">
        <v>826</v>
      </c>
      <c r="B12" s="913">
        <v>61.319000000000003</v>
      </c>
      <c r="C12" s="914"/>
      <c r="D12" s="912">
        <f>B12/B17*100</f>
        <v>7.2231458177448818E-2</v>
      </c>
      <c r="E12" s="759"/>
    </row>
    <row r="13" spans="1:19">
      <c r="A13" s="759" t="s">
        <v>55</v>
      </c>
      <c r="B13" s="913">
        <v>90.67552372759215</v>
      </c>
      <c r="C13" s="912"/>
      <c r="D13" s="911">
        <f>B13/B17*100</f>
        <v>0.10681233059651724</v>
      </c>
      <c r="E13" s="759"/>
    </row>
    <row r="14" spans="1:19">
      <c r="A14" s="762" t="s">
        <v>825</v>
      </c>
      <c r="B14" s="910">
        <v>136.96082302458012</v>
      </c>
      <c r="C14" s="909"/>
      <c r="D14" s="908">
        <f>B14/B17*100</f>
        <v>0.16133465908199626</v>
      </c>
      <c r="E14" s="762"/>
    </row>
    <row r="15" spans="1:19">
      <c r="A15" s="759"/>
      <c r="B15" s="907"/>
      <c r="C15" s="907"/>
      <c r="D15" s="759"/>
      <c r="E15" s="759"/>
    </row>
    <row r="16" spans="1:19">
      <c r="A16" s="759"/>
      <c r="B16" s="759"/>
      <c r="C16" s="759"/>
      <c r="D16" s="759"/>
      <c r="E16" s="759"/>
    </row>
    <row r="17" spans="1:3">
      <c r="A17" s="759" t="s">
        <v>20</v>
      </c>
      <c r="B17" s="778">
        <v>84892.374523797494</v>
      </c>
    </row>
    <row r="18" spans="1:3">
      <c r="B18" s="759"/>
      <c r="C18" s="759"/>
    </row>
  </sheetData>
  <pageMargins left="0.7" right="0.7" top="0.75" bottom="0.75" header="0.3" footer="0.3"/>
  <pageSetup paperSize="9" orientation="portrait" verticalDpi="0" r:id="rId1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7"/>
  <sheetViews>
    <sheetView showGridLines="0" workbookViewId="0">
      <selection activeCell="H1" sqref="H1"/>
    </sheetView>
  </sheetViews>
  <sheetFormatPr defaultColWidth="9.140625" defaultRowHeight="12.75"/>
  <cols>
    <col min="1" max="1" width="39.28515625" style="927" customWidth="1"/>
    <col min="2" max="16384" width="9.140625" style="927"/>
  </cols>
  <sheetData>
    <row r="1" spans="1:19">
      <c r="A1" s="792" t="s">
        <v>840</v>
      </c>
      <c r="H1" s="792" t="s">
        <v>840</v>
      </c>
    </row>
    <row r="2" spans="1:19">
      <c r="A2" s="935"/>
      <c r="B2" s="935">
        <v>2015</v>
      </c>
      <c r="C2" s="935">
        <v>2016</v>
      </c>
      <c r="D2" s="935">
        <v>2017</v>
      </c>
      <c r="E2" s="935">
        <v>2018</v>
      </c>
      <c r="F2" s="935">
        <v>2019</v>
      </c>
    </row>
    <row r="3" spans="1:19">
      <c r="A3" s="927" t="s">
        <v>839</v>
      </c>
      <c r="B3" s="934">
        <v>41293</v>
      </c>
      <c r="C3" s="934">
        <v>43404.183049521402</v>
      </c>
      <c r="D3" s="934">
        <v>43720.347920477507</v>
      </c>
      <c r="E3" s="934">
        <v>44848.953241765274</v>
      </c>
      <c r="F3" s="934">
        <v>48641.733158902331</v>
      </c>
      <c r="G3" s="933"/>
      <c r="Q3" s="132"/>
      <c r="R3" s="132"/>
      <c r="S3" s="132"/>
    </row>
    <row r="4" spans="1:19">
      <c r="A4" s="929" t="s">
        <v>185</v>
      </c>
      <c r="B4" s="928">
        <v>52.478471283182692</v>
      </c>
      <c r="C4" s="928">
        <v>53.465215740453345</v>
      </c>
      <c r="D4" s="928">
        <v>51.500912968598357</v>
      </c>
      <c r="E4" s="928">
        <v>50.07856626299688</v>
      </c>
      <c r="F4" s="928">
        <v>50.793927110053531</v>
      </c>
      <c r="G4" s="932"/>
      <c r="Q4" s="132"/>
      <c r="R4" s="132"/>
      <c r="S4" s="132"/>
    </row>
    <row r="5" spans="1:19">
      <c r="A5" s="931" t="s">
        <v>838</v>
      </c>
      <c r="B5" s="930">
        <v>41293</v>
      </c>
      <c r="C5" s="930">
        <v>43089</v>
      </c>
      <c r="D5" s="930">
        <v>44284</v>
      </c>
      <c r="E5" s="930">
        <v>45502</v>
      </c>
      <c r="F5" s="930">
        <v>46223</v>
      </c>
      <c r="Q5" s="132"/>
      <c r="R5" s="132"/>
      <c r="S5" s="132"/>
    </row>
    <row r="6" spans="1:19">
      <c r="A6" s="929" t="s">
        <v>185</v>
      </c>
      <c r="B6" s="928">
        <v>52.478471283182692</v>
      </c>
      <c r="C6" s="928">
        <v>53.494943375238059</v>
      </c>
      <c r="D6" s="928">
        <v>52.724445598001701</v>
      </c>
      <c r="E6" s="928">
        <v>51.402317860221217</v>
      </c>
      <c r="F6" s="928">
        <v>49.061398127254158</v>
      </c>
      <c r="Q6" s="132"/>
      <c r="R6" s="132"/>
      <c r="S6" s="132"/>
    </row>
    <row r="7" spans="1:19">
      <c r="Q7" s="132"/>
      <c r="R7" s="132"/>
      <c r="S7" s="132"/>
    </row>
  </sheetData>
  <pageMargins left="0.7" right="0.7" top="0.75" bottom="0.75" header="0.3" footer="0.3"/>
  <pageSetup paperSize="9" scale="53" orientation="portrait" r:id="rId1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13"/>
  <sheetViews>
    <sheetView showGridLines="0" workbookViewId="0">
      <selection activeCell="G1" sqref="G1:M1"/>
    </sheetView>
  </sheetViews>
  <sheetFormatPr defaultColWidth="9.140625" defaultRowHeight="12.75"/>
  <cols>
    <col min="1" max="1" width="39.28515625" style="927" customWidth="1"/>
    <col min="2" max="16384" width="9.140625" style="927"/>
  </cols>
  <sheetData>
    <row r="1" spans="1:17">
      <c r="A1" s="1787" t="s">
        <v>846</v>
      </c>
      <c r="B1" s="1787"/>
      <c r="C1" s="1787"/>
      <c r="D1" s="1787"/>
      <c r="E1" s="1787"/>
      <c r="G1" s="1787" t="s">
        <v>846</v>
      </c>
      <c r="H1" s="1787"/>
      <c r="I1" s="1787"/>
      <c r="J1" s="1787"/>
      <c r="K1" s="1787"/>
      <c r="L1" s="1787"/>
      <c r="M1" s="1787"/>
    </row>
    <row r="2" spans="1:17">
      <c r="A2" s="940"/>
      <c r="B2" s="935">
        <v>2016</v>
      </c>
      <c r="C2" s="935">
        <v>2017</v>
      </c>
      <c r="D2" s="935">
        <v>2018</v>
      </c>
      <c r="E2" s="935">
        <v>2019</v>
      </c>
    </row>
    <row r="3" spans="1:17">
      <c r="A3" s="759" t="s">
        <v>845</v>
      </c>
      <c r="B3" s="939">
        <v>0.98674445727065319</v>
      </c>
      <c r="C3" s="939">
        <v>-1.9643027718549888</v>
      </c>
      <c r="D3" s="939">
        <v>-1.4223467056014769</v>
      </c>
      <c r="E3" s="939">
        <v>0.71536084705665104</v>
      </c>
      <c r="O3" s="132"/>
      <c r="P3" s="132"/>
      <c r="Q3" s="132"/>
    </row>
    <row r="4" spans="1:17">
      <c r="A4" s="759" t="s">
        <v>844</v>
      </c>
      <c r="B4" s="939">
        <v>-0.57862567062952641</v>
      </c>
      <c r="C4" s="939">
        <v>-0.49121069774374948</v>
      </c>
      <c r="D4" s="939">
        <v>-0.53486703172900218</v>
      </c>
      <c r="E4" s="939">
        <v>-0.51731133193779166</v>
      </c>
      <c r="O4" s="132"/>
      <c r="P4" s="132"/>
      <c r="Q4" s="132"/>
    </row>
    <row r="5" spans="1:17">
      <c r="A5" s="938" t="s">
        <v>843</v>
      </c>
      <c r="B5" s="937">
        <v>0.60835330541423949</v>
      </c>
      <c r="C5" s="937">
        <v>1.6850156923623807</v>
      </c>
      <c r="D5" s="937">
        <v>0.63508599954999523</v>
      </c>
      <c r="E5" s="937">
        <v>-2.5389692480859183</v>
      </c>
      <c r="O5" s="132"/>
      <c r="P5" s="132"/>
      <c r="Q5" s="132"/>
    </row>
    <row r="6" spans="1:17">
      <c r="A6" s="762" t="s">
        <v>842</v>
      </c>
      <c r="B6" s="761">
        <v>1.0164720920553663</v>
      </c>
      <c r="C6" s="761">
        <v>-0.77049777723635771</v>
      </c>
      <c r="D6" s="761">
        <v>-1.3221277377804839</v>
      </c>
      <c r="E6" s="761">
        <v>-2.340919732967059</v>
      </c>
      <c r="O6" s="132"/>
      <c r="P6" s="132"/>
      <c r="Q6" s="132"/>
    </row>
    <row r="7" spans="1:17" ht="15">
      <c r="A7" s="758"/>
      <c r="B7" s="758"/>
      <c r="C7" s="1788" t="s">
        <v>841</v>
      </c>
      <c r="D7" s="1788"/>
      <c r="E7" s="1788"/>
      <c r="O7" s="132"/>
      <c r="P7" s="132"/>
      <c r="Q7" s="132"/>
    </row>
    <row r="8" spans="1:17">
      <c r="B8" s="933"/>
      <c r="C8" s="933"/>
      <c r="D8" s="933"/>
      <c r="E8" s="933"/>
    </row>
    <row r="10" spans="1:17">
      <c r="E10" s="936"/>
    </row>
    <row r="13" spans="1:17">
      <c r="E13" s="936"/>
    </row>
  </sheetData>
  <mergeCells count="3">
    <mergeCell ref="G1:M1"/>
    <mergeCell ref="A1:E1"/>
    <mergeCell ref="C7:E7"/>
  </mergeCells>
  <pageMargins left="0.7" right="0.7" top="0.75" bottom="0.75" header="0.3" footer="0.3"/>
  <pageSetup paperSize="9" scale="59" orientation="portrait" r:id="rId1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8"/>
  <sheetViews>
    <sheetView showGridLines="0" workbookViewId="0">
      <selection activeCell="W3" sqref="W3:Z3"/>
    </sheetView>
  </sheetViews>
  <sheetFormatPr defaultRowHeight="15" customHeight="1"/>
  <cols>
    <col min="1" max="5" width="10.7109375" style="7" customWidth="1"/>
    <col min="6" max="16384" width="9.140625" style="7"/>
  </cols>
  <sheetData>
    <row r="1" spans="1:26" ht="15" customHeight="1">
      <c r="B1" s="272">
        <v>1995</v>
      </c>
      <c r="C1" s="272" t="s">
        <v>159</v>
      </c>
      <c r="D1" s="272" t="s">
        <v>160</v>
      </c>
      <c r="E1" s="272" t="s">
        <v>161</v>
      </c>
      <c r="F1" s="272" t="s">
        <v>162</v>
      </c>
      <c r="G1" s="272" t="s">
        <v>163</v>
      </c>
      <c r="H1" s="272" t="s">
        <v>164</v>
      </c>
      <c r="I1" s="272" t="s">
        <v>165</v>
      </c>
      <c r="J1" s="272" t="s">
        <v>166</v>
      </c>
      <c r="K1" s="272" t="s">
        <v>167</v>
      </c>
      <c r="L1" s="272" t="s">
        <v>168</v>
      </c>
      <c r="M1" s="272" t="s">
        <v>169</v>
      </c>
      <c r="N1" s="272" t="s">
        <v>170</v>
      </c>
      <c r="O1" s="272" t="s">
        <v>171</v>
      </c>
      <c r="P1" s="272" t="s">
        <v>172</v>
      </c>
      <c r="Q1" s="272" t="s">
        <v>173</v>
      </c>
      <c r="R1" s="272" t="s">
        <v>174</v>
      </c>
      <c r="S1" s="272" t="s">
        <v>175</v>
      </c>
      <c r="T1" s="272" t="s">
        <v>176</v>
      </c>
      <c r="U1" s="272" t="s">
        <v>177</v>
      </c>
      <c r="V1" s="272" t="s">
        <v>178</v>
      </c>
      <c r="W1" s="120" t="s">
        <v>114</v>
      </c>
      <c r="X1" s="33" t="s">
        <v>221</v>
      </c>
      <c r="Y1" s="33" t="s">
        <v>222</v>
      </c>
      <c r="Z1" s="33" t="s">
        <v>223</v>
      </c>
    </row>
    <row r="2" spans="1:26" ht="15" customHeight="1">
      <c r="A2" s="7" t="s">
        <v>179</v>
      </c>
      <c r="B2" s="273">
        <v>-3.3</v>
      </c>
      <c r="C2" s="273">
        <v>-9.6999999999999993</v>
      </c>
      <c r="D2" s="273">
        <v>-6.2</v>
      </c>
      <c r="E2" s="273">
        <v>-5.2</v>
      </c>
      <c r="F2" s="273">
        <v>-7.3</v>
      </c>
      <c r="G2" s="273">
        <v>-12</v>
      </c>
      <c r="H2" s="273">
        <v>-6.4</v>
      </c>
      <c r="I2" s="273">
        <v>-8.1</v>
      </c>
      <c r="J2" s="273">
        <v>-2.7</v>
      </c>
      <c r="K2" s="273">
        <v>-2.2999999999999998</v>
      </c>
      <c r="L2" s="273">
        <v>-2.9</v>
      </c>
      <c r="M2" s="273">
        <v>-3.6</v>
      </c>
      <c r="N2" s="273">
        <v>-1.9</v>
      </c>
      <c r="O2" s="273">
        <v>-2.4</v>
      </c>
      <c r="P2" s="273">
        <v>-7.8</v>
      </c>
      <c r="Q2" s="273">
        <v>-7.5</v>
      </c>
      <c r="R2" s="273">
        <v>-4.3</v>
      </c>
      <c r="S2" s="273">
        <v>-4.3</v>
      </c>
      <c r="T2" s="273">
        <v>-2.7</v>
      </c>
      <c r="U2" s="273">
        <v>-2.7</v>
      </c>
      <c r="V2" s="273">
        <v>-2.7</v>
      </c>
      <c r="W2" s="273">
        <v>-1.970000324279477</v>
      </c>
      <c r="X2" s="273">
        <v>-1.2900001435861632</v>
      </c>
      <c r="Y2" s="273">
        <v>-0.44000038092532345</v>
      </c>
      <c r="Z2" s="273">
        <v>0.15999958902343381</v>
      </c>
    </row>
    <row r="3" spans="1:26" ht="15" customHeight="1">
      <c r="A3" s="7" t="s">
        <v>17</v>
      </c>
      <c r="B3" s="273">
        <f t="shared" ref="B3:U4" si="0">B2</f>
        <v>-3.3</v>
      </c>
      <c r="C3" s="273">
        <f t="shared" si="0"/>
        <v>-9.6999999999999993</v>
      </c>
      <c r="D3" s="273">
        <f t="shared" si="0"/>
        <v>-6.2</v>
      </c>
      <c r="E3" s="273">
        <f t="shared" si="0"/>
        <v>-5.2</v>
      </c>
      <c r="F3" s="273">
        <f t="shared" si="0"/>
        <v>-7.3</v>
      </c>
      <c r="G3" s="273">
        <f t="shared" si="0"/>
        <v>-12</v>
      </c>
      <c r="H3" s="273">
        <f t="shared" si="0"/>
        <v>-6.4</v>
      </c>
      <c r="I3" s="273">
        <f t="shared" si="0"/>
        <v>-8.1</v>
      </c>
      <c r="J3" s="273">
        <f t="shared" si="0"/>
        <v>-2.7</v>
      </c>
      <c r="K3" s="273">
        <f t="shared" si="0"/>
        <v>-2.2999999999999998</v>
      </c>
      <c r="L3" s="273">
        <f t="shared" si="0"/>
        <v>-2.9</v>
      </c>
      <c r="M3" s="273">
        <f t="shared" si="0"/>
        <v>-3.6</v>
      </c>
      <c r="N3" s="273">
        <f t="shared" si="0"/>
        <v>-1.9</v>
      </c>
      <c r="O3" s="273">
        <f t="shared" si="0"/>
        <v>-2.4</v>
      </c>
      <c r="P3" s="273">
        <f t="shared" si="0"/>
        <v>-7.8</v>
      </c>
      <c r="Q3" s="273">
        <f t="shared" si="0"/>
        <v>-7.5</v>
      </c>
      <c r="R3" s="273">
        <f t="shared" si="0"/>
        <v>-4.3</v>
      </c>
      <c r="S3" s="273">
        <f t="shared" si="0"/>
        <v>-4.3</v>
      </c>
      <c r="T3" s="273">
        <f t="shared" si="0"/>
        <v>-2.7</v>
      </c>
      <c r="U3" s="273">
        <f t="shared" si="0"/>
        <v>-2.7</v>
      </c>
      <c r="V3" s="273">
        <v>-2.7073322035670961</v>
      </c>
      <c r="W3" s="274">
        <v>-2.5472177835214453</v>
      </c>
      <c r="X3" s="274">
        <v>-1.5551103190106681</v>
      </c>
      <c r="Y3" s="274">
        <v>-0.80228009968841574</v>
      </c>
      <c r="Z3" s="274">
        <v>3.5488464429228308E-3</v>
      </c>
    </row>
    <row r="4" spans="1:26" ht="15" customHeight="1">
      <c r="A4" s="7" t="s">
        <v>180</v>
      </c>
      <c r="B4" s="273">
        <f>B3</f>
        <v>-3.3</v>
      </c>
      <c r="C4" s="273">
        <f t="shared" si="0"/>
        <v>-9.6999999999999993</v>
      </c>
      <c r="D4" s="273">
        <f t="shared" si="0"/>
        <v>-6.2</v>
      </c>
      <c r="E4" s="273">
        <f t="shared" si="0"/>
        <v>-5.2</v>
      </c>
      <c r="F4" s="273">
        <f t="shared" si="0"/>
        <v>-7.3</v>
      </c>
      <c r="G4" s="273">
        <f t="shared" si="0"/>
        <v>-12</v>
      </c>
      <c r="H4" s="273">
        <f t="shared" si="0"/>
        <v>-6.4</v>
      </c>
      <c r="I4" s="273">
        <f t="shared" si="0"/>
        <v>-8.1</v>
      </c>
      <c r="J4" s="273">
        <f t="shared" si="0"/>
        <v>-2.7</v>
      </c>
      <c r="K4" s="273">
        <f t="shared" si="0"/>
        <v>-2.2999999999999998</v>
      </c>
      <c r="L4" s="273">
        <f t="shared" si="0"/>
        <v>-2.9</v>
      </c>
      <c r="M4" s="273">
        <f t="shared" si="0"/>
        <v>-3.6</v>
      </c>
      <c r="N4" s="273">
        <f t="shared" si="0"/>
        <v>-1.9</v>
      </c>
      <c r="O4" s="273">
        <f t="shared" si="0"/>
        <v>-2.4</v>
      </c>
      <c r="P4" s="273">
        <f t="shared" si="0"/>
        <v>-7.8</v>
      </c>
      <c r="Q4" s="273">
        <f t="shared" si="0"/>
        <v>-7.5</v>
      </c>
      <c r="R4" s="273">
        <f t="shared" si="0"/>
        <v>-4.3</v>
      </c>
      <c r="S4" s="273">
        <f t="shared" si="0"/>
        <v>-4.3</v>
      </c>
      <c r="T4" s="273">
        <f>T3</f>
        <v>-2.7</v>
      </c>
      <c r="U4" s="273">
        <f>U3</f>
        <v>-2.7</v>
      </c>
      <c r="V4" s="273">
        <v>-2.7073322035670961</v>
      </c>
      <c r="W4" s="30">
        <v>-2.5324364536682773</v>
      </c>
      <c r="X4" s="30">
        <v>-1.778322665899863</v>
      </c>
      <c r="Y4" s="30">
        <v>-1.0033949859160498</v>
      </c>
      <c r="Z4" s="30">
        <v>-0.47411636765172394</v>
      </c>
    </row>
    <row r="5" spans="1:26" ht="15" customHeight="1">
      <c r="B5" s="273">
        <v>-3.3</v>
      </c>
      <c r="C5" s="273">
        <v>-9.6999999999999993</v>
      </c>
      <c r="D5" s="273">
        <v>-6.2</v>
      </c>
      <c r="E5" s="273">
        <v>-5.2</v>
      </c>
      <c r="F5" s="273">
        <v>-7.3</v>
      </c>
      <c r="G5" s="273">
        <v>-12</v>
      </c>
      <c r="H5" s="273">
        <v>-6.4</v>
      </c>
      <c r="I5" s="273">
        <v>-8.1</v>
      </c>
      <c r="J5" s="273">
        <v>-2.7</v>
      </c>
      <c r="K5" s="273">
        <v>-2.2999999999999998</v>
      </c>
      <c r="L5" s="273">
        <v>-2.9</v>
      </c>
      <c r="M5" s="273">
        <v>-3.6</v>
      </c>
      <c r="N5" s="273">
        <v>-1.9</v>
      </c>
      <c r="O5" s="273">
        <v>-2.4</v>
      </c>
      <c r="P5" s="273">
        <v>-7.8</v>
      </c>
      <c r="Q5" s="273">
        <v>-7.5</v>
      </c>
      <c r="R5" s="273">
        <v>-4.3</v>
      </c>
      <c r="S5" s="273">
        <v>-4.3</v>
      </c>
      <c r="T5" s="273">
        <v>-2.7</v>
      </c>
      <c r="U5" s="273">
        <v>-2.7</v>
      </c>
      <c r="V5" s="273">
        <v>-2.7</v>
      </c>
    </row>
    <row r="6" spans="1:26" ht="15" customHeight="1">
      <c r="K6" s="273">
        <v>-3</v>
      </c>
      <c r="L6" s="273">
        <v>-3</v>
      </c>
      <c r="M6" s="273">
        <v>-3</v>
      </c>
      <c r="N6" s="273">
        <v>-3</v>
      </c>
      <c r="O6" s="273">
        <v>-3</v>
      </c>
      <c r="P6" s="273">
        <v>-3</v>
      </c>
      <c r="Q6" s="273">
        <v>-3</v>
      </c>
      <c r="R6" s="273">
        <v>-3</v>
      </c>
      <c r="S6" s="273">
        <v>-3</v>
      </c>
      <c r="T6" s="273">
        <v>-3</v>
      </c>
      <c r="U6" s="273">
        <v>-3</v>
      </c>
      <c r="V6" s="273">
        <v>-3</v>
      </c>
      <c r="W6" s="273">
        <v>-3</v>
      </c>
      <c r="X6" s="273">
        <v>-3</v>
      </c>
      <c r="Y6" s="273">
        <v>-3</v>
      </c>
      <c r="Z6" s="273">
        <v>-3</v>
      </c>
    </row>
    <row r="8" spans="1:26" ht="15" customHeight="1">
      <c r="D8" s="128" t="s">
        <v>190</v>
      </c>
    </row>
  </sheetData>
  <pageMargins left="0.7" right="0.7" top="0.75" bottom="0.75" header="0.3" footer="0.3"/>
  <pageSetup paperSize="9" orientation="portrait" verticalDpi="0" r:id="rId1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57"/>
  <sheetViews>
    <sheetView showGridLines="0" workbookViewId="0"/>
  </sheetViews>
  <sheetFormatPr defaultRowHeight="12.75"/>
  <cols>
    <col min="1" max="1" width="31.7109375" style="7" customWidth="1"/>
    <col min="2" max="3" width="7.7109375" style="7" customWidth="1"/>
    <col min="4" max="11" width="9.140625" style="7"/>
    <col min="12" max="12" width="9.85546875" style="7" customWidth="1"/>
    <col min="13" max="15" width="9.140625" style="7"/>
    <col min="16" max="16" width="26.7109375" style="7" customWidth="1"/>
    <col min="17" max="16384" width="9.140625" style="7"/>
  </cols>
  <sheetData>
    <row r="1" spans="1:13">
      <c r="A1" s="128" t="s">
        <v>216</v>
      </c>
      <c r="B1" s="128"/>
      <c r="C1" s="128"/>
    </row>
    <row r="2" spans="1:13">
      <c r="A2" s="302"/>
      <c r="B2" s="302">
        <v>2008</v>
      </c>
      <c r="C2" s="302">
        <v>2009</v>
      </c>
      <c r="D2" s="302">
        <v>2010</v>
      </c>
      <c r="E2" s="302">
        <v>2011</v>
      </c>
      <c r="F2" s="302">
        <v>2012</v>
      </c>
      <c r="G2" s="302">
        <v>2013</v>
      </c>
      <c r="H2" s="302">
        <v>2014</v>
      </c>
      <c r="I2" s="302">
        <v>2015</v>
      </c>
      <c r="J2" s="302">
        <v>2016</v>
      </c>
      <c r="K2" s="302">
        <v>2017</v>
      </c>
      <c r="L2" s="302">
        <v>2018</v>
      </c>
      <c r="M2" s="302">
        <v>2019</v>
      </c>
    </row>
    <row r="3" spans="1:13">
      <c r="A3" s="7" t="s">
        <v>191</v>
      </c>
      <c r="B3" s="7">
        <v>-2.2999999999999998</v>
      </c>
      <c r="C3" s="7">
        <v>-1.8</v>
      </c>
      <c r="D3" s="7">
        <v>-0.8</v>
      </c>
    </row>
    <row r="4" spans="1:13">
      <c r="A4" s="7" t="s">
        <v>192</v>
      </c>
      <c r="C4" s="7">
        <v>-1.7</v>
      </c>
      <c r="D4" s="7">
        <v>-0.8</v>
      </c>
      <c r="E4" s="303">
        <v>0</v>
      </c>
    </row>
    <row r="5" spans="1:13">
      <c r="A5" s="7" t="s">
        <v>193</v>
      </c>
      <c r="D5" s="304">
        <v>-5.5</v>
      </c>
      <c r="E5" s="304">
        <v>-4.2</v>
      </c>
      <c r="F5" s="304">
        <v>-3</v>
      </c>
      <c r="G5" s="304"/>
      <c r="H5" s="304"/>
      <c r="I5" s="304"/>
      <c r="J5" s="304"/>
      <c r="K5" s="304"/>
      <c r="L5" s="304"/>
    </row>
    <row r="6" spans="1:13">
      <c r="A6" s="7" t="s">
        <v>194</v>
      </c>
      <c r="D6" s="304">
        <v>-7.8</v>
      </c>
      <c r="E6" s="304">
        <v>-4.9000000000000004</v>
      </c>
      <c r="F6" s="304">
        <v>-3.8</v>
      </c>
      <c r="G6" s="304">
        <v>-2.9</v>
      </c>
      <c r="H6" s="304"/>
      <c r="I6" s="304"/>
      <c r="J6" s="304"/>
      <c r="K6" s="304"/>
      <c r="L6" s="304"/>
    </row>
    <row r="7" spans="1:13">
      <c r="A7" s="7" t="s">
        <v>195</v>
      </c>
      <c r="D7" s="304">
        <v>-7.7</v>
      </c>
      <c r="E7" s="304">
        <v>-4.9000000000000004</v>
      </c>
      <c r="F7" s="304">
        <v>-4.5999999999999996</v>
      </c>
      <c r="G7" s="304">
        <v>-4.5999999999999996</v>
      </c>
      <c r="H7" s="304">
        <v>-4.7</v>
      </c>
      <c r="I7" s="304"/>
      <c r="J7" s="304"/>
      <c r="K7" s="304"/>
      <c r="L7" s="304"/>
    </row>
    <row r="8" spans="1:13">
      <c r="A8" s="7" t="s">
        <v>196</v>
      </c>
      <c r="D8" s="304">
        <v>-7.7</v>
      </c>
      <c r="E8" s="304">
        <v>-4.8</v>
      </c>
      <c r="F8" s="304">
        <v>-5.3</v>
      </c>
      <c r="G8" s="304">
        <v>-2.9</v>
      </c>
      <c r="H8" s="304">
        <v>-2.6</v>
      </c>
      <c r="I8" s="304">
        <v>-1.9</v>
      </c>
      <c r="J8" s="304"/>
      <c r="K8" s="304"/>
      <c r="L8" s="304"/>
    </row>
    <row r="9" spans="1:13">
      <c r="A9" s="7" t="s">
        <v>197</v>
      </c>
      <c r="D9" s="304"/>
      <c r="E9" s="304">
        <v>-5.0599999999999996</v>
      </c>
      <c r="F9" s="304">
        <v>-4.3499999999999996</v>
      </c>
      <c r="G9" s="304">
        <v>-2.98</v>
      </c>
      <c r="H9" s="304">
        <v>-2.64</v>
      </c>
      <c r="I9" s="304">
        <v>-2.93</v>
      </c>
      <c r="J9" s="304">
        <v>-2.38</v>
      </c>
      <c r="K9" s="304"/>
      <c r="L9" s="304"/>
    </row>
    <row r="10" spans="1:13">
      <c r="A10" s="7" t="s">
        <v>198</v>
      </c>
      <c r="D10" s="304"/>
      <c r="E10" s="304"/>
      <c r="F10" s="304">
        <v>-4.22</v>
      </c>
      <c r="G10" s="304">
        <v>-2.63</v>
      </c>
      <c r="H10" s="304">
        <v>-2.93</v>
      </c>
      <c r="I10" s="304">
        <v>-2.4900000000000002</v>
      </c>
      <c r="J10" s="304">
        <v>-1.21</v>
      </c>
      <c r="K10" s="304">
        <v>-0.61</v>
      </c>
      <c r="L10" s="304"/>
    </row>
    <row r="11" spans="1:13">
      <c r="A11" s="43" t="s">
        <v>199</v>
      </c>
      <c r="B11" s="43"/>
      <c r="C11" s="43"/>
      <c r="D11" s="305"/>
      <c r="E11" s="305"/>
      <c r="F11" s="305"/>
      <c r="G11" s="305"/>
      <c r="H11" s="305"/>
      <c r="I11" s="305">
        <v>-2.74</v>
      </c>
      <c r="J11" s="305">
        <v>-1.93</v>
      </c>
      <c r="K11" s="305">
        <v>-0.88402204180423205</v>
      </c>
      <c r="L11" s="305">
        <v>-0.4141580916484604</v>
      </c>
    </row>
    <row r="12" spans="1:13">
      <c r="A12" s="306" t="s">
        <v>133</v>
      </c>
      <c r="B12" s="306"/>
      <c r="C12" s="306"/>
      <c r="D12" s="307"/>
      <c r="E12" s="307"/>
      <c r="F12" s="307"/>
      <c r="G12" s="307"/>
      <c r="H12" s="307"/>
      <c r="I12" s="307"/>
      <c r="J12" s="307"/>
      <c r="K12" s="307">
        <v>-1.2900001435861632</v>
      </c>
      <c r="L12" s="307">
        <v>-0.44000038092532345</v>
      </c>
      <c r="M12" s="307">
        <v>0.15999958902343381</v>
      </c>
    </row>
    <row r="13" spans="1:13">
      <c r="A13" s="7" t="s">
        <v>193</v>
      </c>
      <c r="D13" s="304">
        <v>-5.5</v>
      </c>
      <c r="E13" s="304">
        <v>-4.2</v>
      </c>
      <c r="F13" s="304">
        <v>-3</v>
      </c>
      <c r="G13" s="304"/>
      <c r="H13" s="304"/>
      <c r="I13" s="304"/>
      <c r="J13" s="304"/>
      <c r="K13" s="304"/>
      <c r="L13" s="304"/>
    </row>
    <row r="14" spans="1:13">
      <c r="A14" s="7" t="s">
        <v>194</v>
      </c>
      <c r="D14" s="304">
        <v>-7.8</v>
      </c>
      <c r="E14" s="304">
        <v>-4.9000000000000004</v>
      </c>
      <c r="F14" s="304">
        <v>-3.8</v>
      </c>
      <c r="G14" s="304">
        <v>-2.9</v>
      </c>
      <c r="H14" s="304"/>
      <c r="I14" s="304"/>
      <c r="J14" s="304"/>
      <c r="K14" s="304"/>
      <c r="L14" s="304"/>
    </row>
    <row r="15" spans="1:13">
      <c r="A15" s="7" t="s">
        <v>200</v>
      </c>
      <c r="F15" s="304">
        <v>-4.5999999999999996</v>
      </c>
      <c r="G15" s="304">
        <v>-2.9</v>
      </c>
      <c r="H15" s="304">
        <v>-2.8</v>
      </c>
      <c r="I15" s="304"/>
      <c r="J15" s="304"/>
      <c r="K15" s="304"/>
      <c r="L15" s="304"/>
    </row>
    <row r="16" spans="1:13">
      <c r="A16" s="7" t="s">
        <v>201</v>
      </c>
      <c r="F16" s="304"/>
      <c r="G16" s="304">
        <v>-2.9</v>
      </c>
      <c r="H16" s="304">
        <v>-2.4</v>
      </c>
      <c r="I16" s="304">
        <v>-1.9</v>
      </c>
      <c r="J16" s="304"/>
      <c r="K16" s="304"/>
      <c r="L16" s="304"/>
    </row>
    <row r="17" spans="1:21">
      <c r="A17" s="7" t="s">
        <v>202</v>
      </c>
      <c r="F17" s="304"/>
      <c r="G17" s="304"/>
      <c r="H17" s="304">
        <v>-2.64</v>
      </c>
      <c r="I17" s="304">
        <v>-2.57</v>
      </c>
      <c r="J17" s="304">
        <v>-1.5</v>
      </c>
      <c r="K17" s="304"/>
      <c r="L17" s="304"/>
    </row>
    <row r="18" spans="1:21">
      <c r="A18" s="7" t="s">
        <v>203</v>
      </c>
      <c r="F18" s="304"/>
      <c r="G18" s="304"/>
      <c r="H18" s="304"/>
      <c r="I18" s="304">
        <v>-2.4900000000000002</v>
      </c>
      <c r="J18" s="304">
        <v>-1.43</v>
      </c>
      <c r="K18" s="304">
        <v>-0.39</v>
      </c>
      <c r="L18" s="304"/>
    </row>
    <row r="19" spans="1:21">
      <c r="A19" s="7" t="s">
        <v>204</v>
      </c>
      <c r="F19" s="304"/>
      <c r="G19" s="304"/>
      <c r="H19" s="304"/>
      <c r="I19" s="304"/>
      <c r="J19" s="304">
        <v>-1.93</v>
      </c>
      <c r="K19" s="304">
        <v>-0.42</v>
      </c>
      <c r="L19" s="304">
        <v>0</v>
      </c>
    </row>
    <row r="20" spans="1:21">
      <c r="A20" s="308" t="s">
        <v>205</v>
      </c>
      <c r="B20" s="308"/>
      <c r="C20" s="308"/>
      <c r="D20" s="308"/>
      <c r="E20" s="308"/>
      <c r="F20" s="308"/>
      <c r="G20" s="308"/>
      <c r="H20" s="308"/>
      <c r="I20" s="308"/>
      <c r="J20" s="308"/>
      <c r="K20" s="309">
        <f>K12</f>
        <v>-1.2900001435861632</v>
      </c>
      <c r="L20" s="309">
        <f>L12</f>
        <v>-0.44000038092532345</v>
      </c>
      <c r="M20" s="309">
        <f>M12</f>
        <v>0.15999958902343381</v>
      </c>
    </row>
    <row r="21" spans="1:21">
      <c r="A21" s="310"/>
      <c r="B21" s="310"/>
      <c r="C21" s="310"/>
      <c r="D21" s="310"/>
      <c r="E21" s="310"/>
      <c r="F21" s="310"/>
      <c r="G21" s="310"/>
      <c r="H21" s="310"/>
      <c r="I21" s="310"/>
      <c r="J21" s="310"/>
      <c r="K21" s="310"/>
      <c r="L21" s="311" t="s">
        <v>115</v>
      </c>
      <c r="P21" s="128" t="s">
        <v>215</v>
      </c>
    </row>
    <row r="22" spans="1:21">
      <c r="A22" s="43"/>
      <c r="B22" s="43"/>
      <c r="C22" s="43"/>
      <c r="D22" s="43"/>
      <c r="E22" s="43"/>
      <c r="F22" s="43"/>
      <c r="G22" s="43"/>
      <c r="H22" s="43"/>
      <c r="I22" s="305"/>
      <c r="J22" s="43"/>
      <c r="K22" s="43"/>
      <c r="L22" s="256"/>
    </row>
    <row r="23" spans="1:21">
      <c r="P23" s="21"/>
      <c r="Q23" s="127"/>
      <c r="R23" s="127"/>
      <c r="S23" s="127"/>
      <c r="T23" s="127"/>
      <c r="U23" s="6"/>
    </row>
    <row r="24" spans="1:21">
      <c r="A24" s="302"/>
      <c r="B24" s="302">
        <v>2008</v>
      </c>
      <c r="C24" s="302">
        <v>2009</v>
      </c>
      <c r="D24" s="302">
        <v>2010</v>
      </c>
      <c r="E24" s="302">
        <v>2011</v>
      </c>
      <c r="F24" s="302">
        <v>2012</v>
      </c>
      <c r="G24" s="302">
        <v>2013</v>
      </c>
      <c r="H24" s="302">
        <v>2014</v>
      </c>
      <c r="I24" s="302">
        <v>2015</v>
      </c>
      <c r="J24" s="302">
        <v>2016</v>
      </c>
      <c r="K24" s="302">
        <v>2017</v>
      </c>
      <c r="L24" s="302">
        <v>2018</v>
      </c>
      <c r="M24" s="302">
        <v>2019</v>
      </c>
      <c r="P24" s="21"/>
      <c r="Q24" s="127"/>
      <c r="R24" s="127"/>
      <c r="S24" s="127"/>
      <c r="T24" s="127"/>
      <c r="U24" s="127"/>
    </row>
    <row r="25" spans="1:21">
      <c r="A25" s="7" t="s">
        <v>206</v>
      </c>
      <c r="D25" s="304">
        <f>D3</f>
        <v>-0.8</v>
      </c>
      <c r="E25" s="304">
        <f>E4</f>
        <v>0</v>
      </c>
      <c r="F25" s="304">
        <f>F13</f>
        <v>-3</v>
      </c>
      <c r="G25" s="304">
        <f>G14</f>
        <v>-2.9</v>
      </c>
      <c r="H25" s="304">
        <f>H15</f>
        <v>-2.8</v>
      </c>
      <c r="I25" s="304">
        <f>I16</f>
        <v>-1.9</v>
      </c>
      <c r="J25" s="304">
        <f>J17</f>
        <v>-1.5</v>
      </c>
      <c r="K25" s="304">
        <f>K18</f>
        <v>-0.39</v>
      </c>
      <c r="L25" s="304">
        <f>L19</f>
        <v>0</v>
      </c>
      <c r="M25" s="304">
        <f>M20</f>
        <v>0.15999958902343381</v>
      </c>
      <c r="P25" s="143"/>
      <c r="Q25" s="174"/>
      <c r="R25" s="174"/>
      <c r="S25" s="174"/>
      <c r="T25" s="174"/>
      <c r="U25" s="174"/>
    </row>
    <row r="26" spans="1:21">
      <c r="A26" s="7" t="s">
        <v>207</v>
      </c>
      <c r="D26" s="304">
        <f>D5</f>
        <v>-5.5</v>
      </c>
      <c r="E26" s="304">
        <f>E14</f>
        <v>-4.9000000000000004</v>
      </c>
      <c r="F26" s="304">
        <f>F15</f>
        <v>-4.5999999999999996</v>
      </c>
      <c r="G26" s="304">
        <f>G16</f>
        <v>-2.9</v>
      </c>
      <c r="H26" s="304">
        <f>H17</f>
        <v>-2.64</v>
      </c>
      <c r="I26" s="304">
        <f>I18</f>
        <v>-2.4900000000000002</v>
      </c>
      <c r="J26" s="304">
        <f>J19</f>
        <v>-1.93</v>
      </c>
      <c r="K26" s="304">
        <f>K20</f>
        <v>-1.2900001435861632</v>
      </c>
    </row>
    <row r="27" spans="1:21">
      <c r="A27" s="7" t="s">
        <v>208</v>
      </c>
      <c r="D27" s="304">
        <f t="shared" ref="D27:K27" si="0">D26-D25</f>
        <v>-4.7</v>
      </c>
      <c r="E27" s="304">
        <f t="shared" si="0"/>
        <v>-4.9000000000000004</v>
      </c>
      <c r="F27" s="304">
        <f t="shared" si="0"/>
        <v>-1.5999999999999996</v>
      </c>
      <c r="G27" s="304">
        <f t="shared" si="0"/>
        <v>0</v>
      </c>
      <c r="H27" s="304">
        <f t="shared" si="0"/>
        <v>0.1599999999999997</v>
      </c>
      <c r="I27" s="304">
        <f t="shared" si="0"/>
        <v>-0.5900000000000003</v>
      </c>
      <c r="J27" s="304">
        <f t="shared" si="0"/>
        <v>-0.42999999999999994</v>
      </c>
      <c r="K27" s="304">
        <f t="shared" si="0"/>
        <v>-0.9000001435861632</v>
      </c>
    </row>
    <row r="28" spans="1:21">
      <c r="A28" s="308" t="s">
        <v>209</v>
      </c>
      <c r="B28" s="308">
        <v>-2.4</v>
      </c>
      <c r="C28" s="308">
        <v>-7.8</v>
      </c>
      <c r="D28" s="308">
        <v>-7.5</v>
      </c>
      <c r="E28" s="308">
        <v>-4.3</v>
      </c>
      <c r="F28" s="308">
        <v>-4.3</v>
      </c>
      <c r="G28" s="308">
        <v>-2.7</v>
      </c>
      <c r="H28" s="308">
        <v>-2.7</v>
      </c>
      <c r="I28" s="308">
        <v>-2.7</v>
      </c>
      <c r="J28" s="308">
        <v>-1.970000324279477</v>
      </c>
      <c r="K28" s="308"/>
      <c r="L28" s="308"/>
    </row>
    <row r="29" spans="1:21">
      <c r="B29" s="312"/>
      <c r="C29" s="312"/>
      <c r="D29" s="312"/>
      <c r="E29" s="312"/>
      <c r="F29" s="312"/>
      <c r="G29" s="312"/>
      <c r="H29" s="312"/>
      <c r="I29" s="312"/>
      <c r="J29" s="312"/>
    </row>
    <row r="37" spans="8:9">
      <c r="H37" s="313"/>
    </row>
    <row r="38" spans="8:9">
      <c r="H38" s="313"/>
    </row>
    <row r="39" spans="8:9">
      <c r="H39" s="313"/>
      <c r="I39" s="313"/>
    </row>
    <row r="40" spans="8:9">
      <c r="H40" s="313"/>
      <c r="I40" s="313"/>
    </row>
    <row r="41" spans="8:9">
      <c r="H41" s="313"/>
      <c r="I41" s="313"/>
    </row>
    <row r="53" spans="1:7">
      <c r="A53" s="313" t="s">
        <v>210</v>
      </c>
      <c r="B53" s="313"/>
      <c r="C53" s="313"/>
      <c r="D53" s="313"/>
      <c r="E53" s="313"/>
      <c r="F53" s="313"/>
      <c r="G53" s="313"/>
    </row>
    <row r="54" spans="1:7">
      <c r="A54" s="313" t="s">
        <v>211</v>
      </c>
      <c r="B54" s="313"/>
      <c r="C54" s="313"/>
      <c r="D54" s="313"/>
      <c r="E54" s="313"/>
      <c r="F54" s="313"/>
      <c r="G54" s="313"/>
    </row>
    <row r="55" spans="1:7">
      <c r="A55" s="313" t="s">
        <v>212</v>
      </c>
      <c r="B55" s="313"/>
      <c r="C55" s="313"/>
      <c r="D55" s="313"/>
      <c r="E55" s="313"/>
      <c r="F55" s="313"/>
      <c r="G55" s="313"/>
    </row>
    <row r="56" spans="1:7">
      <c r="A56" s="313" t="s">
        <v>213</v>
      </c>
      <c r="B56" s="313"/>
      <c r="C56" s="313"/>
      <c r="D56" s="313"/>
      <c r="E56" s="313"/>
      <c r="F56" s="313"/>
      <c r="G56" s="313"/>
    </row>
    <row r="57" spans="1:7">
      <c r="A57" s="313" t="s">
        <v>214</v>
      </c>
      <c r="B57" s="313"/>
      <c r="C57" s="313"/>
      <c r="D57" s="313"/>
      <c r="E57" s="313"/>
      <c r="F57" s="313"/>
      <c r="G57" s="313"/>
    </row>
  </sheetData>
  <pageMargins left="0.7" right="0.7" top="0.75" bottom="0.75" header="0.3" footer="0.3"/>
  <pageSetup paperSize="9" scale="52" orientation="landscape" r:id="rId1"/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27"/>
  <sheetViews>
    <sheetView showGridLines="0" workbookViewId="0">
      <selection activeCell="J1" sqref="J1"/>
    </sheetView>
  </sheetViews>
  <sheetFormatPr defaultRowHeight="15"/>
  <cols>
    <col min="1" max="1" width="24.28515625" style="758" customWidth="1"/>
    <col min="2" max="6" width="11.28515625" style="758" customWidth="1"/>
    <col min="7" max="7" width="11.28515625" style="758" bestFit="1" customWidth="1"/>
    <col min="8" max="8" width="18.42578125" style="758" customWidth="1"/>
    <col min="9" max="16384" width="9.140625" style="758"/>
  </cols>
  <sheetData>
    <row r="1" spans="1:21">
      <c r="A1" s="1699" t="s">
        <v>858</v>
      </c>
      <c r="B1" s="1699"/>
      <c r="C1" s="1699"/>
      <c r="D1" s="1699"/>
      <c r="E1" s="1699"/>
      <c r="F1" s="1699"/>
      <c r="G1" s="1699"/>
      <c r="H1" s="1699"/>
      <c r="J1" s="792" t="s">
        <v>372</v>
      </c>
    </row>
    <row r="2" spans="1:21" ht="24">
      <c r="A2" s="884"/>
      <c r="B2" s="951" t="s">
        <v>857</v>
      </c>
      <c r="C2" s="951" t="s">
        <v>856</v>
      </c>
      <c r="D2" s="951" t="s">
        <v>855</v>
      </c>
      <c r="E2" s="951" t="s">
        <v>854</v>
      </c>
      <c r="F2" s="951" t="s">
        <v>853</v>
      </c>
      <c r="G2" s="950" t="s">
        <v>852</v>
      </c>
      <c r="H2" s="950" t="s">
        <v>851</v>
      </c>
      <c r="I2" s="759"/>
      <c r="J2" s="759"/>
      <c r="K2" s="759"/>
      <c r="L2" s="759"/>
      <c r="M2" s="759"/>
      <c r="N2" s="759"/>
      <c r="O2" s="759"/>
      <c r="P2" s="759"/>
      <c r="Q2" s="759"/>
      <c r="R2" s="759"/>
      <c r="S2" s="132"/>
      <c r="T2" s="132"/>
      <c r="U2" s="132"/>
    </row>
    <row r="3" spans="1:21">
      <c r="A3" s="759" t="s">
        <v>850</v>
      </c>
      <c r="B3" s="949">
        <v>-0.54</v>
      </c>
      <c r="C3" s="949">
        <v>-0.6112619805921754</v>
      </c>
      <c r="D3" s="949">
        <v>-0.88</v>
      </c>
      <c r="E3" s="949">
        <v>-0.42003956237186713</v>
      </c>
      <c r="F3" s="949">
        <v>-1.29</v>
      </c>
      <c r="G3" s="949">
        <v>-1.29</v>
      </c>
      <c r="H3" s="947">
        <f>G3-B3</f>
        <v>-0.75</v>
      </c>
      <c r="I3" s="759"/>
      <c r="J3" s="759"/>
      <c r="K3" s="759"/>
      <c r="L3" s="759"/>
      <c r="M3" s="759"/>
      <c r="N3" s="759"/>
      <c r="O3" s="759"/>
      <c r="P3" s="759"/>
      <c r="Q3" s="759"/>
      <c r="R3" s="759"/>
      <c r="S3" s="132"/>
      <c r="T3" s="132"/>
      <c r="U3" s="132"/>
    </row>
    <row r="4" spans="1:21">
      <c r="A4" s="938" t="s">
        <v>849</v>
      </c>
      <c r="B4" s="948">
        <v>25.952726558789742</v>
      </c>
      <c r="C4" s="948">
        <v>26.916777420027056</v>
      </c>
      <c r="D4" s="948">
        <v>27.076845310783881</v>
      </c>
      <c r="E4" s="948">
        <v>27.805190307037623</v>
      </c>
      <c r="F4" s="948">
        <v>28.337563469666442</v>
      </c>
      <c r="G4" s="948">
        <v>29.31636086508534</v>
      </c>
      <c r="H4" s="947">
        <f>G4-B4</f>
        <v>3.363634306295598</v>
      </c>
      <c r="I4" s="759"/>
      <c r="J4" s="759"/>
      <c r="K4" s="759"/>
      <c r="L4" s="759"/>
      <c r="M4" s="759"/>
      <c r="N4" s="759"/>
      <c r="O4" s="759"/>
      <c r="P4" s="759"/>
      <c r="Q4" s="759"/>
      <c r="R4" s="759"/>
      <c r="S4" s="132"/>
      <c r="T4" s="132"/>
      <c r="U4" s="132"/>
    </row>
    <row r="5" spans="1:21">
      <c r="A5" s="762" t="s">
        <v>848</v>
      </c>
      <c r="B5" s="946">
        <v>0</v>
      </c>
      <c r="C5" s="945">
        <f>C4-$B4</f>
        <v>0.96405086123731465</v>
      </c>
      <c r="D5" s="945">
        <f>D4-$B4</f>
        <v>1.1241187519941391</v>
      </c>
      <c r="E5" s="945">
        <f>E4-$B4</f>
        <v>1.8524637482478816</v>
      </c>
      <c r="F5" s="945">
        <f>F4-$B4</f>
        <v>2.3848369108767002</v>
      </c>
      <c r="G5" s="944">
        <f>G4-$B4</f>
        <v>3.363634306295598</v>
      </c>
      <c r="H5" s="943" t="s">
        <v>1</v>
      </c>
      <c r="I5" s="759"/>
      <c r="J5" s="759"/>
      <c r="K5" s="759"/>
      <c r="L5" s="759"/>
      <c r="M5" s="759"/>
      <c r="N5" s="759"/>
      <c r="O5" s="759"/>
      <c r="P5" s="759"/>
      <c r="Q5" s="759"/>
      <c r="R5" s="759"/>
      <c r="S5" s="132"/>
      <c r="T5" s="132"/>
      <c r="U5" s="132"/>
    </row>
    <row r="6" spans="1:21" ht="30" customHeight="1">
      <c r="A6" s="1702" t="s">
        <v>847</v>
      </c>
      <c r="B6" s="1702"/>
      <c r="C6" s="1702"/>
      <c r="D6" s="1702"/>
      <c r="E6" s="1702"/>
      <c r="F6" s="1702"/>
      <c r="G6" s="1702"/>
      <c r="H6" s="1702"/>
      <c r="I6" s="759"/>
      <c r="J6" s="759"/>
      <c r="K6" s="759"/>
      <c r="L6" s="759"/>
      <c r="M6" s="759"/>
      <c r="N6" s="759"/>
      <c r="O6" s="759"/>
      <c r="P6" s="759"/>
      <c r="Q6" s="759"/>
      <c r="R6" s="759"/>
      <c r="S6" s="132"/>
      <c r="T6" s="132"/>
      <c r="U6" s="132"/>
    </row>
    <row r="7" spans="1:21">
      <c r="A7" s="759"/>
      <c r="B7" s="759"/>
      <c r="C7" s="759"/>
      <c r="D7" s="759"/>
      <c r="E7" s="759"/>
      <c r="F7" s="759"/>
      <c r="G7" s="759"/>
      <c r="H7" s="759"/>
      <c r="I7" s="759"/>
      <c r="J7" s="759"/>
      <c r="K7" s="759"/>
      <c r="L7" s="759"/>
      <c r="M7" s="759"/>
      <c r="N7" s="759"/>
      <c r="O7" s="759"/>
      <c r="P7" s="759"/>
      <c r="Q7" s="759"/>
      <c r="R7" s="759"/>
      <c r="S7" s="759"/>
      <c r="T7" s="759"/>
    </row>
    <row r="8" spans="1:21">
      <c r="A8" s="759"/>
      <c r="B8" s="759"/>
      <c r="C8" s="759"/>
      <c r="D8" s="759"/>
      <c r="E8" s="759"/>
      <c r="F8" s="759"/>
      <c r="G8" s="759"/>
      <c r="H8" s="759"/>
      <c r="I8" s="759"/>
      <c r="J8" s="759"/>
      <c r="K8" s="759"/>
      <c r="L8" s="759"/>
      <c r="M8" s="759"/>
      <c r="N8" s="759"/>
      <c r="O8" s="759"/>
      <c r="P8" s="759"/>
      <c r="Q8" s="759"/>
      <c r="R8" s="759"/>
      <c r="S8" s="759"/>
      <c r="T8" s="759"/>
    </row>
    <row r="9" spans="1:21">
      <c r="A9" s="759"/>
      <c r="B9" s="759"/>
      <c r="C9" s="759"/>
      <c r="D9" s="759"/>
      <c r="E9" s="759"/>
      <c r="F9" s="759"/>
      <c r="G9" s="759"/>
      <c r="H9" s="759"/>
      <c r="I9" s="759"/>
      <c r="J9" s="759"/>
      <c r="K9" s="759"/>
      <c r="L9" s="759"/>
      <c r="M9" s="759"/>
      <c r="N9" s="759"/>
      <c r="O9" s="759"/>
      <c r="P9" s="759"/>
      <c r="Q9" s="759"/>
      <c r="R9" s="759"/>
      <c r="S9" s="759"/>
      <c r="T9" s="759"/>
    </row>
    <row r="10" spans="1:21">
      <c r="A10" s="759"/>
      <c r="B10" s="759"/>
      <c r="C10" s="759"/>
      <c r="D10" s="759"/>
      <c r="E10" s="759"/>
      <c r="F10" s="759"/>
      <c r="G10" s="759"/>
      <c r="H10" s="759"/>
      <c r="I10" s="759"/>
      <c r="J10" s="759"/>
      <c r="K10" s="759"/>
      <c r="L10" s="759"/>
      <c r="M10" s="759"/>
      <c r="N10" s="759"/>
      <c r="O10" s="759"/>
      <c r="P10" s="759"/>
      <c r="Q10" s="759"/>
      <c r="R10" s="759"/>
      <c r="S10" s="759"/>
      <c r="T10" s="759"/>
    </row>
    <row r="11" spans="1:21">
      <c r="A11" s="759"/>
      <c r="B11" s="759"/>
      <c r="C11" s="759"/>
      <c r="D11" s="759"/>
      <c r="E11" s="759"/>
      <c r="F11" s="759"/>
      <c r="G11" s="759"/>
      <c r="H11" s="759"/>
      <c r="I11" s="759"/>
      <c r="J11" s="759"/>
      <c r="K11" s="759"/>
      <c r="L11" s="759"/>
      <c r="M11" s="759"/>
      <c r="N11" s="759"/>
      <c r="O11" s="759"/>
      <c r="P11" s="759"/>
      <c r="Q11" s="759"/>
      <c r="R11" s="759"/>
      <c r="S11" s="759"/>
      <c r="T11" s="759"/>
    </row>
    <row r="12" spans="1:21">
      <c r="A12" s="1701"/>
      <c r="B12" s="1701"/>
      <c r="C12" s="1701"/>
      <c r="D12" s="1701"/>
      <c r="E12" s="1701"/>
      <c r="F12" s="759"/>
      <c r="G12" s="759"/>
      <c r="H12" s="759"/>
      <c r="I12" s="759"/>
      <c r="J12" s="759"/>
      <c r="K12" s="759"/>
      <c r="L12" s="759"/>
      <c r="M12" s="759"/>
      <c r="N12" s="759"/>
      <c r="O12" s="759"/>
      <c r="P12" s="759"/>
      <c r="Q12" s="759"/>
      <c r="R12" s="759"/>
      <c r="S12" s="759"/>
      <c r="T12" s="759"/>
    </row>
    <row r="13" spans="1:21">
      <c r="A13" s="759"/>
      <c r="B13" s="759"/>
      <c r="C13" s="759"/>
      <c r="D13" s="759"/>
      <c r="E13" s="759"/>
      <c r="F13" s="759"/>
      <c r="G13" s="759"/>
      <c r="H13" s="759"/>
      <c r="I13" s="759"/>
      <c r="J13" s="759"/>
      <c r="K13" s="759"/>
      <c r="L13" s="759"/>
      <c r="M13" s="759"/>
      <c r="N13" s="759"/>
      <c r="O13" s="759"/>
      <c r="P13" s="759"/>
      <c r="Q13" s="759"/>
      <c r="R13" s="759"/>
      <c r="S13" s="759"/>
      <c r="T13" s="759"/>
    </row>
    <row r="14" spans="1:21">
      <c r="A14" s="759"/>
      <c r="B14" s="759"/>
      <c r="C14" s="759"/>
      <c r="D14" s="759"/>
      <c r="E14" s="759"/>
      <c r="F14" s="759"/>
      <c r="G14" s="759"/>
      <c r="H14" s="759"/>
      <c r="I14" s="759"/>
      <c r="J14" s="759"/>
      <c r="K14" s="759"/>
      <c r="L14" s="759"/>
      <c r="M14" s="759"/>
      <c r="N14" s="759"/>
      <c r="O14" s="759"/>
      <c r="P14" s="759"/>
      <c r="Q14" s="759"/>
      <c r="R14" s="759"/>
      <c r="S14" s="759"/>
      <c r="T14" s="759"/>
    </row>
    <row r="15" spans="1:21">
      <c r="A15" s="759"/>
      <c r="B15" s="759"/>
      <c r="C15" s="759"/>
      <c r="D15" s="759"/>
      <c r="E15" s="759"/>
      <c r="F15" s="759"/>
      <c r="G15" s="759"/>
      <c r="H15" s="759"/>
      <c r="I15" s="759"/>
      <c r="J15" s="759"/>
      <c r="K15" s="759"/>
      <c r="L15" s="759"/>
      <c r="M15" s="759"/>
      <c r="N15" s="759"/>
      <c r="O15" s="759"/>
      <c r="P15" s="759"/>
      <c r="Q15" s="759"/>
      <c r="R15" s="759"/>
      <c r="S15" s="759"/>
      <c r="T15" s="759"/>
    </row>
    <row r="16" spans="1:21">
      <c r="A16" s="759"/>
      <c r="B16" s="759"/>
      <c r="C16" s="759"/>
      <c r="D16" s="759"/>
      <c r="E16" s="759"/>
      <c r="F16" s="759"/>
      <c r="G16" s="759"/>
      <c r="H16" s="759"/>
      <c r="I16" s="759"/>
      <c r="J16" s="759"/>
      <c r="K16" s="759"/>
      <c r="L16" s="759"/>
      <c r="M16" s="759"/>
      <c r="N16" s="759"/>
      <c r="O16" s="759"/>
      <c r="P16" s="759"/>
      <c r="Q16" s="759"/>
      <c r="R16" s="759"/>
      <c r="S16" s="759"/>
      <c r="T16" s="759"/>
    </row>
    <row r="17" spans="1:20">
      <c r="A17" s="759"/>
      <c r="B17" s="759"/>
      <c r="C17" s="759"/>
      <c r="D17" s="759"/>
      <c r="E17" s="759"/>
      <c r="F17" s="759"/>
      <c r="G17" s="759"/>
      <c r="H17" s="759"/>
      <c r="I17" s="759"/>
      <c r="J17" s="759"/>
      <c r="K17" s="759"/>
      <c r="L17" s="759"/>
      <c r="M17" s="759"/>
      <c r="N17" s="759"/>
      <c r="O17" s="759"/>
      <c r="P17" s="759"/>
      <c r="Q17" s="759"/>
      <c r="R17" s="759"/>
      <c r="S17" s="759"/>
      <c r="T17" s="759"/>
    </row>
    <row r="26" spans="1:20">
      <c r="A26" s="942"/>
      <c r="B26" s="942"/>
      <c r="C26" s="942"/>
      <c r="D26" s="942"/>
      <c r="E26" s="942"/>
      <c r="F26" s="942"/>
      <c r="G26" s="942"/>
      <c r="H26" s="942"/>
    </row>
    <row r="27" spans="1:20" ht="33.75" customHeight="1">
      <c r="A27" s="1694"/>
      <c r="B27" s="1694"/>
      <c r="C27" s="1694"/>
      <c r="D27" s="1694"/>
      <c r="E27" s="1694"/>
      <c r="F27" s="941"/>
      <c r="G27" s="941"/>
      <c r="H27" s="941"/>
    </row>
  </sheetData>
  <mergeCells count="4">
    <mergeCell ref="A1:H1"/>
    <mergeCell ref="A6:H6"/>
    <mergeCell ref="A12:E12"/>
    <mergeCell ref="A27:E27"/>
  </mergeCells>
  <pageMargins left="0.7" right="0.7" top="0.75" bottom="0.75" header="0.3" footer="0.3"/>
  <pageSetup paperSize="9" orientation="portrait" verticalDpi="0" r:id="rId1"/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H65"/>
  <sheetViews>
    <sheetView showGridLines="0" topLeftCell="J1" workbookViewId="0">
      <selection activeCell="K1" sqref="K1"/>
    </sheetView>
  </sheetViews>
  <sheetFormatPr defaultRowHeight="15"/>
  <cols>
    <col min="1" max="1" width="52.7109375" style="758" customWidth="1"/>
    <col min="2" max="6" width="9.140625" style="758"/>
    <col min="7" max="7" width="9.140625" style="758" customWidth="1"/>
    <col min="8" max="16384" width="9.140625" style="758"/>
  </cols>
  <sheetData>
    <row r="1" spans="1:34">
      <c r="A1" s="962"/>
      <c r="B1" s="961"/>
      <c r="C1" s="961"/>
      <c r="D1" s="961"/>
      <c r="E1" s="961"/>
      <c r="F1" s="961"/>
      <c r="G1" s="961"/>
      <c r="K1" s="792" t="s">
        <v>869</v>
      </c>
      <c r="U1" s="1787" t="s">
        <v>868</v>
      </c>
      <c r="V1" s="1787"/>
      <c r="W1" s="1787"/>
      <c r="X1" s="1787"/>
      <c r="Y1" s="1787"/>
      <c r="Z1" s="1787"/>
      <c r="AA1" s="1787"/>
      <c r="AB1" s="1787"/>
      <c r="AC1" s="1787"/>
      <c r="AD1" s="1787"/>
    </row>
    <row r="2" spans="1:34">
      <c r="A2" s="884"/>
      <c r="B2" s="951">
        <v>2010</v>
      </c>
      <c r="C2" s="951">
        <v>2011</v>
      </c>
      <c r="D2" s="951">
        <v>2012</v>
      </c>
      <c r="E2" s="951">
        <v>2013</v>
      </c>
      <c r="F2" s="951">
        <v>2014</v>
      </c>
      <c r="G2" s="951">
        <v>2015</v>
      </c>
      <c r="H2" s="951">
        <v>2016</v>
      </c>
      <c r="I2" s="951">
        <v>2017</v>
      </c>
      <c r="AF2" s="132"/>
      <c r="AG2" s="132"/>
      <c r="AH2" s="132"/>
    </row>
    <row r="3" spans="1:34">
      <c r="A3" s="958" t="s">
        <v>864</v>
      </c>
      <c r="B3" s="765">
        <v>-89.936760340300211</v>
      </c>
      <c r="C3" s="765">
        <v>350.09400363509826</v>
      </c>
      <c r="D3" s="765">
        <v>236.88093355275038</v>
      </c>
      <c r="E3" s="765">
        <v>520.25074559799828</v>
      </c>
      <c r="F3" s="765">
        <v>1438.4061206978402</v>
      </c>
      <c r="G3" s="765">
        <v>926.94111803526175</v>
      </c>
      <c r="H3" s="765">
        <v>665.09200000000033</v>
      </c>
      <c r="I3" s="765">
        <v>811.70619899999997</v>
      </c>
      <c r="AF3" s="132"/>
      <c r="AG3" s="132"/>
      <c r="AH3" s="132"/>
    </row>
    <row r="4" spans="1:34">
      <c r="A4" s="958" t="s">
        <v>863</v>
      </c>
      <c r="B4" s="765">
        <v>-1095.0702396596998</v>
      </c>
      <c r="C4" s="765">
        <v>78.114996364901742</v>
      </c>
      <c r="D4" s="765">
        <v>-72.041933552750379</v>
      </c>
      <c r="E4" s="765">
        <v>-351.12974559799829</v>
      </c>
      <c r="F4" s="765">
        <v>-1494.12212069784</v>
      </c>
      <c r="G4" s="765">
        <v>-1117.1401180352618</v>
      </c>
      <c r="H4" s="765">
        <v>-695.37900000000036</v>
      </c>
      <c r="I4" s="765">
        <v>-1142.844214035915</v>
      </c>
      <c r="AF4" s="132"/>
      <c r="AG4" s="132"/>
      <c r="AH4" s="132"/>
    </row>
    <row r="5" spans="1:34">
      <c r="A5" s="958" t="s">
        <v>867</v>
      </c>
      <c r="B5" s="765">
        <v>-3873.1</v>
      </c>
      <c r="C5" s="765">
        <v>-3448.9</v>
      </c>
      <c r="D5" s="765">
        <v>-3323.7240000000002</v>
      </c>
      <c r="E5" s="765">
        <v>-2186.5329999999999</v>
      </c>
      <c r="F5" s="765">
        <v>-2000.4</v>
      </c>
      <c r="G5" s="765">
        <v>-1940.1</v>
      </c>
      <c r="H5" s="765">
        <v>-1556.5050000000001</v>
      </c>
      <c r="I5" s="765">
        <v>-752.351</v>
      </c>
      <c r="AF5" s="132"/>
      <c r="AG5" s="132"/>
      <c r="AH5" s="132"/>
    </row>
    <row r="6" spans="1:34">
      <c r="A6" s="958" t="s">
        <v>866</v>
      </c>
      <c r="B6" s="765">
        <f t="shared" ref="B6:I6" si="0">B3+B5</f>
        <v>-3963.0367603403001</v>
      </c>
      <c r="C6" s="765">
        <f t="shared" si="0"/>
        <v>-3098.8059963649021</v>
      </c>
      <c r="D6" s="765">
        <f t="shared" si="0"/>
        <v>-3086.8430664472498</v>
      </c>
      <c r="E6" s="765">
        <f t="shared" si="0"/>
        <v>-1666.2822544020016</v>
      </c>
      <c r="F6" s="765">
        <f t="shared" si="0"/>
        <v>-561.99387930215994</v>
      </c>
      <c r="G6" s="765">
        <f t="shared" si="0"/>
        <v>-1013.1588819647382</v>
      </c>
      <c r="H6" s="765">
        <f t="shared" si="0"/>
        <v>-891.41299999999978</v>
      </c>
      <c r="I6" s="765">
        <f t="shared" si="0"/>
        <v>59.355198999999971</v>
      </c>
      <c r="K6" s="795"/>
      <c r="L6" s="795"/>
      <c r="M6" s="795"/>
      <c r="N6" s="795"/>
      <c r="O6" s="795"/>
      <c r="AF6" s="132"/>
      <c r="AG6" s="132"/>
      <c r="AH6" s="132"/>
    </row>
    <row r="7" spans="1:34">
      <c r="A7" s="952"/>
      <c r="B7" s="765"/>
      <c r="C7" s="765"/>
      <c r="D7" s="765"/>
      <c r="E7" s="765"/>
      <c r="F7" s="765"/>
      <c r="G7" s="765"/>
      <c r="H7" s="765"/>
      <c r="I7" s="765"/>
    </row>
    <row r="8" spans="1:34">
      <c r="A8" s="960" t="s">
        <v>865</v>
      </c>
      <c r="B8" s="763">
        <f t="shared" ref="B8:I8" si="1">B9+B10</f>
        <v>-1.7535577775377234</v>
      </c>
      <c r="C8" s="763">
        <f t="shared" si="1"/>
        <v>0.60629474196909983</v>
      </c>
      <c r="D8" s="763">
        <f t="shared" si="1"/>
        <v>0.2267277366289106</v>
      </c>
      <c r="E8" s="763">
        <f t="shared" si="1"/>
        <v>0.22801837403043546</v>
      </c>
      <c r="F8" s="763">
        <f t="shared" si="1"/>
        <v>-7.3362266019192157E-2</v>
      </c>
      <c r="G8" s="763">
        <f t="shared" si="1"/>
        <v>-0.24172021310125369</v>
      </c>
      <c r="H8" s="763">
        <f t="shared" si="1"/>
        <v>-3.760127526760515E-2</v>
      </c>
      <c r="I8" s="763">
        <f t="shared" si="1"/>
        <v>-0.39425228658638267</v>
      </c>
    </row>
    <row r="9" spans="1:34">
      <c r="A9" s="958" t="s">
        <v>864</v>
      </c>
      <c r="B9" s="954">
        <f t="shared" ref="B9:I10" si="2">B3/B$16*100</f>
        <v>-0.13308723541825468</v>
      </c>
      <c r="C9" s="954">
        <f t="shared" si="2"/>
        <v>0.49569288267848405</v>
      </c>
      <c r="D9" s="954">
        <f t="shared" si="2"/>
        <v>0.32581778532360944</v>
      </c>
      <c r="E9" s="954">
        <f t="shared" si="2"/>
        <v>0.70143110021450517</v>
      </c>
      <c r="F9" s="954">
        <f t="shared" si="2"/>
        <v>1.8939753835571407</v>
      </c>
      <c r="G9" s="954">
        <f t="shared" si="2"/>
        <v>1.1780314543388646</v>
      </c>
      <c r="H9" s="954">
        <f t="shared" si="2"/>
        <v>0.82571094430884551</v>
      </c>
      <c r="I9" s="954">
        <f t="shared" si="2"/>
        <v>0.96641584614615317</v>
      </c>
    </row>
    <row r="10" spans="1:34">
      <c r="A10" s="958" t="s">
        <v>863</v>
      </c>
      <c r="B10" s="954">
        <f t="shared" si="2"/>
        <v>-1.6204705421194687</v>
      </c>
      <c r="C10" s="954">
        <f t="shared" si="2"/>
        <v>0.11060185929061572</v>
      </c>
      <c r="D10" s="954">
        <f t="shared" si="2"/>
        <v>-9.909004869469884E-2</v>
      </c>
      <c r="E10" s="954">
        <f t="shared" si="2"/>
        <v>-0.47341272618406971</v>
      </c>
      <c r="F10" s="954">
        <f t="shared" si="2"/>
        <v>-1.9673376495763328</v>
      </c>
      <c r="G10" s="954">
        <f t="shared" si="2"/>
        <v>-1.4197516674401183</v>
      </c>
      <c r="H10" s="954">
        <f t="shared" si="2"/>
        <v>-0.86331221957645066</v>
      </c>
      <c r="I10" s="954">
        <f t="shared" si="2"/>
        <v>-1.3606681327325358</v>
      </c>
    </row>
    <row r="11" spans="1:34">
      <c r="A11" s="958" t="s">
        <v>862</v>
      </c>
      <c r="B11" s="763">
        <f t="shared" ref="B11:I11" si="3">B14-B12</f>
        <v>-1.9849202320897703</v>
      </c>
      <c r="C11" s="763">
        <f t="shared" si="3"/>
        <v>0.62304862715780907</v>
      </c>
      <c r="D11" s="763">
        <f t="shared" si="3"/>
        <v>0.25511289002592719</v>
      </c>
      <c r="E11" s="763">
        <f t="shared" si="3"/>
        <v>0.18001251181409161</v>
      </c>
      <c r="F11" s="763">
        <f t="shared" si="3"/>
        <v>-6.7325166169824868E-2</v>
      </c>
      <c r="G11" s="763">
        <f t="shared" si="3"/>
        <v>-0.21736576959443621</v>
      </c>
      <c r="H11" s="763">
        <f t="shared" si="3"/>
        <v>-4.0000000000000036E-2</v>
      </c>
      <c r="I11" s="763">
        <f t="shared" si="3"/>
        <v>-0.41000000000000003</v>
      </c>
    </row>
    <row r="12" spans="1:34">
      <c r="A12" s="958" t="s">
        <v>861</v>
      </c>
      <c r="B12" s="959">
        <v>-5.5</v>
      </c>
      <c r="C12" s="954">
        <v>-4.9000000000000004</v>
      </c>
      <c r="D12" s="954">
        <v>-4.5999999999999996</v>
      </c>
      <c r="E12" s="954">
        <v>-2.9</v>
      </c>
      <c r="F12" s="954">
        <v>-2.64</v>
      </c>
      <c r="G12" s="954">
        <v>-2.4900000000000002</v>
      </c>
      <c r="H12" s="954">
        <v>-1.93</v>
      </c>
      <c r="I12" s="954">
        <v>-0.88</v>
      </c>
      <c r="K12" s="959"/>
      <c r="L12" s="954"/>
      <c r="M12" s="954"/>
      <c r="N12" s="954"/>
      <c r="O12" s="954"/>
    </row>
    <row r="13" spans="1:34">
      <c r="A13" s="958" t="s">
        <v>860</v>
      </c>
      <c r="B13" s="954">
        <f t="shared" ref="B13:I13" si="4">B6/B16*100</f>
        <v>-5.8644496899703</v>
      </c>
      <c r="C13" s="763">
        <f t="shared" si="4"/>
        <v>-4.3875532321328077</v>
      </c>
      <c r="D13" s="763">
        <f t="shared" si="4"/>
        <v>-4.2457970612793741</v>
      </c>
      <c r="E13" s="763">
        <f t="shared" si="4"/>
        <v>-2.2465747620018388</v>
      </c>
      <c r="F13" s="763">
        <f t="shared" si="4"/>
        <v>-0.73998751659349227</v>
      </c>
      <c r="G13" s="763">
        <f t="shared" si="4"/>
        <v>-1.2876039351097763</v>
      </c>
      <c r="H13" s="763">
        <f t="shared" si="4"/>
        <v>-1.1066882025331539</v>
      </c>
      <c r="I13" s="763">
        <f t="shared" si="4"/>
        <v>7.0668186266689179E-2</v>
      </c>
      <c r="K13" s="957"/>
      <c r="L13" s="957"/>
      <c r="M13" s="957"/>
      <c r="N13" s="957"/>
      <c r="O13" s="957"/>
    </row>
    <row r="14" spans="1:34">
      <c r="A14" s="956" t="s">
        <v>859</v>
      </c>
      <c r="B14" s="955">
        <v>-7.4849202320897703</v>
      </c>
      <c r="C14" s="955">
        <v>-4.2769513728421913</v>
      </c>
      <c r="D14" s="955">
        <v>-4.3448871099740725</v>
      </c>
      <c r="E14" s="955">
        <v>-2.7199874881859083</v>
      </c>
      <c r="F14" s="955">
        <v>-2.707325166169825</v>
      </c>
      <c r="G14" s="955">
        <v>-2.7073657695944364</v>
      </c>
      <c r="H14" s="955">
        <v>-1.97</v>
      </c>
      <c r="I14" s="955">
        <v>-1.29</v>
      </c>
      <c r="K14" s="954"/>
      <c r="L14" s="954"/>
      <c r="M14" s="954"/>
      <c r="N14" s="954"/>
      <c r="O14" s="954"/>
    </row>
    <row r="15" spans="1:34">
      <c r="A15" s="765"/>
      <c r="B15" s="954"/>
      <c r="C15" s="954"/>
      <c r="D15" s="954"/>
      <c r="E15" s="954"/>
      <c r="F15" s="954"/>
      <c r="G15" s="954"/>
      <c r="H15" s="954"/>
      <c r="I15" s="954"/>
      <c r="J15" s="953"/>
      <c r="K15" s="953"/>
    </row>
    <row r="16" spans="1:34">
      <c r="A16" s="765" t="s">
        <v>20</v>
      </c>
      <c r="B16" s="765">
        <v>67577.3</v>
      </c>
      <c r="C16" s="765">
        <v>70627.199999999997</v>
      </c>
      <c r="D16" s="765">
        <v>72703.5</v>
      </c>
      <c r="E16" s="765">
        <v>74169.899999999994</v>
      </c>
      <c r="F16" s="765">
        <v>75946.399999999994</v>
      </c>
      <c r="G16" s="765">
        <v>78685.600000000006</v>
      </c>
      <c r="H16" s="765">
        <v>80547.8</v>
      </c>
      <c r="I16" s="765">
        <v>83991.4</v>
      </c>
      <c r="J16" s="765"/>
    </row>
    <row r="17" spans="1:7">
      <c r="A17" s="952"/>
      <c r="B17" s="765"/>
      <c r="C17" s="765"/>
      <c r="D17" s="765"/>
      <c r="E17" s="765"/>
      <c r="F17" s="765"/>
      <c r="G17" s="765"/>
    </row>
    <row r="18" spans="1:7">
      <c r="A18" s="952"/>
      <c r="B18" s="765"/>
      <c r="C18" s="765"/>
      <c r="D18" s="765"/>
      <c r="E18" s="765"/>
      <c r="F18" s="765"/>
      <c r="G18" s="765"/>
    </row>
    <row r="19" spans="1:7">
      <c r="A19" s="952"/>
      <c r="B19" s="765"/>
      <c r="C19" s="765"/>
      <c r="D19" s="765"/>
      <c r="E19" s="765"/>
      <c r="F19" s="765"/>
      <c r="G19" s="765"/>
    </row>
    <row r="20" spans="1:7">
      <c r="A20" s="952"/>
      <c r="B20" s="765"/>
      <c r="C20" s="765"/>
      <c r="D20" s="765"/>
      <c r="E20" s="765"/>
      <c r="F20" s="765"/>
      <c r="G20" s="765"/>
    </row>
    <row r="21" spans="1:7">
      <c r="A21" s="952"/>
      <c r="B21" s="765"/>
      <c r="C21" s="765"/>
      <c r="D21" s="765"/>
      <c r="E21" s="765"/>
      <c r="F21" s="765"/>
      <c r="G21" s="765"/>
    </row>
    <row r="22" spans="1:7">
      <c r="A22" s="952"/>
      <c r="B22" s="765"/>
      <c r="C22" s="765"/>
      <c r="D22" s="765"/>
      <c r="E22" s="765"/>
      <c r="F22" s="765"/>
      <c r="G22" s="765"/>
    </row>
    <row r="23" spans="1:7">
      <c r="A23" s="952"/>
      <c r="B23" s="765"/>
      <c r="C23" s="765"/>
      <c r="D23" s="765"/>
      <c r="E23" s="765"/>
      <c r="F23" s="765"/>
      <c r="G23" s="765"/>
    </row>
    <row r="24" spans="1:7">
      <c r="A24" s="952"/>
      <c r="B24" s="765"/>
      <c r="C24" s="765"/>
      <c r="D24" s="765"/>
      <c r="E24" s="765"/>
      <c r="F24" s="765"/>
      <c r="G24" s="765"/>
    </row>
    <row r="25" spans="1:7">
      <c r="A25" s="952"/>
      <c r="B25" s="765"/>
      <c r="C25" s="765"/>
      <c r="D25" s="765"/>
      <c r="E25" s="765"/>
      <c r="F25" s="765"/>
      <c r="G25" s="765"/>
    </row>
    <row r="26" spans="1:7">
      <c r="A26" s="952"/>
      <c r="B26" s="765"/>
      <c r="C26" s="765"/>
      <c r="D26" s="765"/>
      <c r="E26" s="765"/>
      <c r="F26" s="765"/>
      <c r="G26" s="765"/>
    </row>
    <row r="27" spans="1:7">
      <c r="A27" s="952"/>
      <c r="B27" s="765"/>
      <c r="C27" s="765"/>
      <c r="D27" s="765"/>
      <c r="E27" s="765"/>
      <c r="F27" s="765"/>
      <c r="G27" s="765"/>
    </row>
    <row r="28" spans="1:7">
      <c r="A28" s="952"/>
      <c r="B28" s="765"/>
      <c r="C28" s="765"/>
      <c r="D28" s="765"/>
      <c r="E28" s="765"/>
      <c r="F28" s="765"/>
      <c r="G28" s="765"/>
    </row>
    <row r="29" spans="1:7">
      <c r="A29" s="952"/>
      <c r="B29" s="765"/>
      <c r="C29" s="765"/>
      <c r="D29" s="765"/>
      <c r="E29" s="765"/>
      <c r="F29" s="765"/>
      <c r="G29" s="765"/>
    </row>
    <row r="30" spans="1:7">
      <c r="A30" s="952"/>
      <c r="B30" s="765"/>
      <c r="C30" s="765"/>
      <c r="D30" s="765"/>
      <c r="E30" s="765"/>
      <c r="F30" s="765"/>
      <c r="G30" s="765"/>
    </row>
    <row r="31" spans="1:7">
      <c r="A31" s="952"/>
      <c r="B31" s="765"/>
      <c r="C31" s="765"/>
      <c r="D31" s="765"/>
      <c r="E31" s="765"/>
      <c r="F31" s="765"/>
      <c r="G31" s="765"/>
    </row>
    <row r="32" spans="1:7">
      <c r="A32" s="952"/>
      <c r="B32" s="765"/>
      <c r="C32" s="765"/>
      <c r="D32" s="765"/>
      <c r="E32" s="765"/>
      <c r="F32" s="765"/>
      <c r="G32" s="765"/>
    </row>
    <row r="33" spans="1:7">
      <c r="A33" s="952"/>
      <c r="B33" s="765"/>
      <c r="C33" s="765"/>
      <c r="D33" s="765"/>
      <c r="E33" s="765"/>
      <c r="F33" s="765"/>
      <c r="G33" s="765"/>
    </row>
    <row r="34" spans="1:7">
      <c r="A34" s="952"/>
      <c r="B34" s="765"/>
      <c r="C34" s="765"/>
      <c r="D34" s="765"/>
      <c r="E34" s="765"/>
      <c r="F34" s="765"/>
      <c r="G34" s="765"/>
    </row>
    <row r="35" spans="1:7">
      <c r="A35" s="952"/>
      <c r="B35" s="765"/>
      <c r="C35" s="765"/>
      <c r="D35" s="765"/>
      <c r="E35" s="765"/>
      <c r="F35" s="765"/>
      <c r="G35" s="765"/>
    </row>
    <row r="36" spans="1:7">
      <c r="A36" s="952"/>
      <c r="B36" s="765"/>
      <c r="C36" s="765"/>
      <c r="D36" s="765"/>
      <c r="E36" s="765"/>
      <c r="F36" s="765"/>
      <c r="G36" s="765"/>
    </row>
    <row r="37" spans="1:7">
      <c r="A37" s="952"/>
      <c r="B37" s="765"/>
      <c r="C37" s="765"/>
      <c r="D37" s="765"/>
      <c r="E37" s="765"/>
      <c r="F37" s="765"/>
      <c r="G37" s="765"/>
    </row>
    <row r="38" spans="1:7">
      <c r="A38" s="952"/>
      <c r="B38" s="765"/>
      <c r="C38" s="765"/>
      <c r="D38" s="765"/>
      <c r="E38" s="765"/>
      <c r="F38" s="765"/>
      <c r="G38" s="765"/>
    </row>
    <row r="39" spans="1:7">
      <c r="A39" s="952"/>
      <c r="B39" s="765"/>
      <c r="C39" s="765"/>
      <c r="D39" s="765"/>
      <c r="E39" s="765"/>
      <c r="F39" s="765"/>
      <c r="G39" s="765"/>
    </row>
    <row r="40" spans="1:7">
      <c r="A40" s="952"/>
      <c r="B40" s="765"/>
      <c r="C40" s="765"/>
      <c r="D40" s="765"/>
      <c r="E40" s="765"/>
      <c r="F40" s="765"/>
      <c r="G40" s="765"/>
    </row>
    <row r="41" spans="1:7">
      <c r="A41" s="952"/>
      <c r="B41" s="765"/>
      <c r="C41" s="765"/>
      <c r="D41" s="765"/>
      <c r="E41" s="765"/>
      <c r="F41" s="765"/>
      <c r="G41" s="765"/>
    </row>
    <row r="42" spans="1:7">
      <c r="A42" s="952"/>
      <c r="B42" s="765"/>
      <c r="C42" s="765"/>
      <c r="D42" s="765"/>
      <c r="E42" s="765"/>
      <c r="F42" s="765"/>
      <c r="G42" s="765"/>
    </row>
    <row r="43" spans="1:7">
      <c r="A43" s="952"/>
      <c r="B43" s="765"/>
      <c r="C43" s="765"/>
      <c r="D43" s="765"/>
      <c r="E43" s="765"/>
      <c r="F43" s="765"/>
      <c r="G43" s="765"/>
    </row>
    <row r="44" spans="1:7">
      <c r="A44" s="952"/>
      <c r="B44" s="765"/>
      <c r="C44" s="765"/>
      <c r="D44" s="765"/>
      <c r="E44" s="765"/>
      <c r="F44" s="765"/>
      <c r="G44" s="765"/>
    </row>
    <row r="45" spans="1:7">
      <c r="A45" s="952"/>
      <c r="B45" s="765"/>
      <c r="C45" s="765"/>
      <c r="D45" s="765"/>
      <c r="E45" s="765"/>
      <c r="F45" s="765"/>
      <c r="G45" s="765"/>
    </row>
    <row r="46" spans="1:7">
      <c r="A46" s="952"/>
      <c r="B46" s="765"/>
      <c r="C46" s="765"/>
      <c r="D46" s="765"/>
      <c r="E46" s="765"/>
      <c r="F46" s="765"/>
      <c r="G46" s="765"/>
    </row>
    <row r="47" spans="1:7">
      <c r="A47" s="952"/>
      <c r="B47" s="765"/>
      <c r="C47" s="765"/>
      <c r="D47" s="765"/>
      <c r="E47" s="765"/>
      <c r="F47" s="765"/>
      <c r="G47" s="765"/>
    </row>
    <row r="48" spans="1:7">
      <c r="A48" s="952"/>
      <c r="B48" s="765"/>
      <c r="C48" s="765"/>
      <c r="D48" s="765"/>
      <c r="E48" s="765"/>
      <c r="F48" s="765"/>
      <c r="G48" s="765"/>
    </row>
    <row r="49" spans="1:7">
      <c r="A49" s="952"/>
      <c r="B49" s="765"/>
      <c r="C49" s="765"/>
      <c r="D49" s="765"/>
      <c r="E49" s="765"/>
      <c r="F49" s="765"/>
      <c r="G49" s="765"/>
    </row>
    <row r="50" spans="1:7">
      <c r="A50" s="952"/>
      <c r="B50" s="765"/>
      <c r="C50" s="765"/>
      <c r="D50" s="765"/>
      <c r="E50" s="765"/>
      <c r="F50" s="765"/>
      <c r="G50" s="765"/>
    </row>
    <row r="51" spans="1:7">
      <c r="A51" s="952"/>
      <c r="B51" s="765"/>
      <c r="C51" s="765"/>
      <c r="D51" s="765"/>
      <c r="E51" s="765"/>
      <c r="F51" s="765"/>
      <c r="G51" s="765"/>
    </row>
    <row r="52" spans="1:7">
      <c r="A52" s="952"/>
      <c r="B52" s="765"/>
      <c r="C52" s="765"/>
      <c r="D52" s="765"/>
      <c r="E52" s="765"/>
      <c r="F52" s="765"/>
      <c r="G52" s="765"/>
    </row>
    <row r="53" spans="1:7">
      <c r="A53" s="952"/>
      <c r="B53" s="765"/>
      <c r="C53" s="765"/>
      <c r="D53" s="765"/>
      <c r="E53" s="765"/>
      <c r="F53" s="765"/>
      <c r="G53" s="765"/>
    </row>
    <row r="54" spans="1:7">
      <c r="A54" s="952"/>
      <c r="B54" s="765"/>
      <c r="C54" s="765"/>
      <c r="D54" s="765"/>
      <c r="E54" s="765"/>
      <c r="F54" s="765"/>
      <c r="G54" s="765"/>
    </row>
    <row r="55" spans="1:7">
      <c r="A55" s="952"/>
      <c r="B55" s="765"/>
      <c r="C55" s="765"/>
      <c r="D55" s="765"/>
      <c r="E55" s="765"/>
      <c r="F55" s="765"/>
      <c r="G55" s="765"/>
    </row>
    <row r="56" spans="1:7">
      <c r="A56" s="952"/>
      <c r="B56" s="765"/>
      <c r="C56" s="765"/>
      <c r="D56" s="765"/>
      <c r="E56" s="765"/>
      <c r="F56" s="765"/>
      <c r="G56" s="765"/>
    </row>
    <row r="57" spans="1:7">
      <c r="A57" s="952"/>
      <c r="B57" s="765"/>
      <c r="C57" s="765"/>
      <c r="D57" s="765"/>
      <c r="E57" s="765"/>
      <c r="F57" s="765"/>
      <c r="G57" s="765"/>
    </row>
    <row r="58" spans="1:7">
      <c r="A58" s="952"/>
      <c r="B58" s="765"/>
      <c r="C58" s="765"/>
      <c r="D58" s="765"/>
      <c r="E58" s="765"/>
      <c r="F58" s="765"/>
      <c r="G58" s="765"/>
    </row>
    <row r="59" spans="1:7">
      <c r="A59" s="952"/>
      <c r="B59" s="765"/>
      <c r="C59" s="765"/>
      <c r="D59" s="765"/>
      <c r="E59" s="765"/>
      <c r="F59" s="765"/>
      <c r="G59" s="765"/>
    </row>
    <row r="60" spans="1:7">
      <c r="A60" s="952"/>
      <c r="B60" s="765"/>
      <c r="C60" s="765"/>
      <c r="D60" s="765"/>
      <c r="E60" s="765"/>
      <c r="F60" s="765"/>
      <c r="G60" s="765"/>
    </row>
    <row r="61" spans="1:7">
      <c r="A61" s="952"/>
      <c r="B61" s="765"/>
      <c r="C61" s="765"/>
      <c r="D61" s="765"/>
      <c r="E61" s="765"/>
      <c r="F61" s="765"/>
      <c r="G61" s="765"/>
    </row>
    <row r="62" spans="1:7">
      <c r="A62" s="952"/>
      <c r="B62" s="765"/>
      <c r="C62" s="765"/>
      <c r="D62" s="765"/>
      <c r="E62" s="765"/>
      <c r="F62" s="765"/>
      <c r="G62" s="765"/>
    </row>
    <row r="63" spans="1:7">
      <c r="A63" s="952"/>
      <c r="B63" s="765"/>
      <c r="C63" s="765"/>
      <c r="D63" s="765"/>
      <c r="E63" s="765"/>
      <c r="F63" s="765"/>
      <c r="G63" s="765"/>
    </row>
    <row r="64" spans="1:7">
      <c r="A64" s="952"/>
      <c r="B64" s="765"/>
      <c r="C64" s="765"/>
      <c r="D64" s="765"/>
      <c r="E64" s="765"/>
      <c r="F64" s="765"/>
      <c r="G64" s="765"/>
    </row>
    <row r="65" spans="1:7">
      <c r="A65" s="952"/>
      <c r="B65" s="765"/>
      <c r="C65" s="765"/>
      <c r="D65" s="765"/>
      <c r="E65" s="765"/>
      <c r="F65" s="765"/>
      <c r="G65" s="765"/>
    </row>
  </sheetData>
  <mergeCells count="1">
    <mergeCell ref="U1:AD1"/>
  </mergeCells>
  <pageMargins left="0.7" right="0.7" top="0.75" bottom="0.75" header="0.3" footer="0.3"/>
  <pageSetup paperSize="9" scale="45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37"/>
  <sheetViews>
    <sheetView showGridLines="0" workbookViewId="0">
      <selection sqref="A1:E1"/>
    </sheetView>
  </sheetViews>
  <sheetFormatPr defaultRowHeight="15"/>
  <cols>
    <col min="1" max="1" width="60.42578125" style="758" customWidth="1"/>
    <col min="2" max="2" width="9.140625" style="758" customWidth="1"/>
    <col min="3" max="3" width="9.140625" style="758"/>
    <col min="4" max="4" width="9" style="758" customWidth="1"/>
    <col min="5" max="13" width="9.140625" style="758"/>
    <col min="14" max="14" width="9.42578125" style="758" bestFit="1" customWidth="1"/>
    <col min="15" max="16384" width="9.140625" style="758"/>
  </cols>
  <sheetData>
    <row r="1" spans="1:9">
      <c r="A1" s="1695" t="s">
        <v>792</v>
      </c>
      <c r="B1" s="1695"/>
      <c r="C1" s="1695"/>
      <c r="D1" s="1695"/>
      <c r="E1" s="1695"/>
    </row>
    <row r="2" spans="1:9">
      <c r="A2" s="875"/>
      <c r="B2" s="874">
        <v>2016</v>
      </c>
      <c r="C2" s="874">
        <v>2017</v>
      </c>
      <c r="D2" s="873">
        <v>2018</v>
      </c>
      <c r="E2" s="872">
        <v>2019</v>
      </c>
      <c r="H2" s="109"/>
      <c r="I2" s="109"/>
    </row>
    <row r="3" spans="1:9">
      <c r="A3" s="871" t="s">
        <v>791</v>
      </c>
      <c r="B3" s="869">
        <f>-1586.916</f>
        <v>-1586.9159999999999</v>
      </c>
      <c r="C3" s="870">
        <v>-1083.5</v>
      </c>
      <c r="D3" s="870">
        <v>-389.5</v>
      </c>
      <c r="E3" s="869">
        <v>150.69999999999999</v>
      </c>
      <c r="H3" s="109"/>
      <c r="I3" s="109"/>
    </row>
    <row r="4" spans="1:9">
      <c r="A4" s="868" t="s">
        <v>790</v>
      </c>
      <c r="B4" s="866">
        <v>-1.970154273142632</v>
      </c>
      <c r="C4" s="867">
        <v>-1.2900132475468424</v>
      </c>
      <c r="D4" s="867">
        <v>-0.44000716010765212</v>
      </c>
      <c r="E4" s="866">
        <v>0.15995394846493752</v>
      </c>
      <c r="H4" s="109"/>
      <c r="I4" s="109"/>
    </row>
    <row r="5" spans="1:9">
      <c r="A5" s="865" t="s">
        <v>789</v>
      </c>
      <c r="B5" s="864">
        <f>B6+B10+B15+B18+B11</f>
        <v>-594.6565521013772</v>
      </c>
      <c r="C5" s="863">
        <f>C6+C15+C18+C11+C10</f>
        <v>-854.09704084745465</v>
      </c>
      <c r="D5" s="863">
        <f>D6+D15+D18+D11+D10</f>
        <v>-954.17866896673343</v>
      </c>
      <c r="E5" s="862">
        <f>E6+E15+E18+E11+E10</f>
        <v>-1042.5274530348622</v>
      </c>
      <c r="H5" s="595"/>
      <c r="I5" s="595"/>
    </row>
    <row r="6" spans="1:9">
      <c r="A6" s="828" t="s">
        <v>788</v>
      </c>
      <c r="B6" s="825">
        <f>SUM(B7:B9)</f>
        <v>-197.82713908991801</v>
      </c>
      <c r="C6" s="827">
        <f>SUM(C7:C9)</f>
        <v>-193.31872197955451</v>
      </c>
      <c r="D6" s="826">
        <f>SUM(D7:D9)</f>
        <v>-174.12823476262679</v>
      </c>
      <c r="E6" s="825">
        <f>SUM(E7:E9)</f>
        <v>-178.3915580955271</v>
      </c>
      <c r="H6" s="595"/>
      <c r="I6" s="595"/>
    </row>
    <row r="7" spans="1:9">
      <c r="A7" s="823" t="s">
        <v>787</v>
      </c>
      <c r="B7" s="861">
        <v>-168</v>
      </c>
      <c r="C7" s="860">
        <v>-115</v>
      </c>
      <c r="D7" s="859">
        <v>-117</v>
      </c>
      <c r="E7" s="858">
        <v>-123</v>
      </c>
      <c r="F7" s="857"/>
    </row>
    <row r="8" spans="1:9">
      <c r="A8" s="823" t="s">
        <v>786</v>
      </c>
      <c r="B8" s="820">
        <v>-29.827139089917999</v>
      </c>
      <c r="C8" s="822">
        <v>-61.318721979554503</v>
      </c>
      <c r="D8" s="821">
        <v>-57.128234762626803</v>
      </c>
      <c r="E8" s="820">
        <v>-55.391558095527103</v>
      </c>
      <c r="F8" s="809"/>
    </row>
    <row r="9" spans="1:9">
      <c r="A9" s="819" t="s">
        <v>785</v>
      </c>
      <c r="B9" s="816" t="s">
        <v>1</v>
      </c>
      <c r="C9" s="817">
        <v>-17</v>
      </c>
      <c r="D9" s="816" t="s">
        <v>1</v>
      </c>
      <c r="E9" s="815" t="s">
        <v>1</v>
      </c>
      <c r="F9" s="809"/>
    </row>
    <row r="10" spans="1:9" ht="15" customHeight="1">
      <c r="A10" s="835" t="s">
        <v>784</v>
      </c>
      <c r="B10" s="829">
        <v>0</v>
      </c>
      <c r="C10" s="856">
        <v>-186</v>
      </c>
      <c r="D10" s="855">
        <v>-145</v>
      </c>
      <c r="E10" s="829">
        <v>-145</v>
      </c>
    </row>
    <row r="11" spans="1:9">
      <c r="A11" s="854" t="s">
        <v>783</v>
      </c>
      <c r="B11" s="853">
        <f>SUM(B12:B14)</f>
        <v>-283</v>
      </c>
      <c r="C11" s="852">
        <f>SUM(C12:C14)</f>
        <v>-101.39586774865438</v>
      </c>
      <c r="D11" s="851">
        <f>SUM(D12:D14)</f>
        <v>-356.13096136090599</v>
      </c>
      <c r="E11" s="850">
        <f>SUM(E12:E14)</f>
        <v>-574.84498898581342</v>
      </c>
    </row>
    <row r="12" spans="1:9">
      <c r="A12" s="849" t="s">
        <v>782</v>
      </c>
      <c r="B12" s="847">
        <v>0</v>
      </c>
      <c r="C12" s="848">
        <v>-100.34713679175138</v>
      </c>
      <c r="D12" s="847">
        <v>-280.44332424784795</v>
      </c>
      <c r="E12" s="846">
        <v>-493.95284688627771</v>
      </c>
    </row>
    <row r="13" spans="1:9">
      <c r="A13" s="849" t="s">
        <v>781</v>
      </c>
      <c r="B13" s="847">
        <v>-175</v>
      </c>
      <c r="C13" s="848">
        <v>-1.0487309569030003</v>
      </c>
      <c r="D13" s="847">
        <v>-57.929727183669456</v>
      </c>
      <c r="E13" s="846">
        <v>-36.193547997747146</v>
      </c>
    </row>
    <row r="14" spans="1:9">
      <c r="A14" s="845" t="s">
        <v>780</v>
      </c>
      <c r="B14" s="843">
        <v>-108</v>
      </c>
      <c r="C14" s="844">
        <v>0</v>
      </c>
      <c r="D14" s="843">
        <v>-17.757909929388575</v>
      </c>
      <c r="E14" s="842">
        <v>-44.698594101788558</v>
      </c>
    </row>
    <row r="15" spans="1:9">
      <c r="A15" s="828" t="s">
        <v>779</v>
      </c>
      <c r="B15" s="825">
        <f>B16+B17</f>
        <v>-101.82941301145915</v>
      </c>
      <c r="C15" s="827">
        <f>SUM(C16:C17)</f>
        <v>-235.8904511192458</v>
      </c>
      <c r="D15" s="826">
        <f>SUM(D16:D17)</f>
        <v>-176.79547284320066</v>
      </c>
      <c r="E15" s="825">
        <f>SUM(E16:E17)</f>
        <v>-93.64890595352162</v>
      </c>
    </row>
    <row r="16" spans="1:9">
      <c r="A16" s="823" t="s">
        <v>778</v>
      </c>
      <c r="B16" s="839">
        <v>-97.843413011459148</v>
      </c>
      <c r="C16" s="841">
        <v>-208.5044511192458</v>
      </c>
      <c r="D16" s="840">
        <v>-149.40947284320066</v>
      </c>
      <c r="E16" s="839">
        <v>-66.262905953521624</v>
      </c>
    </row>
    <row r="17" spans="1:13" ht="14.25" customHeight="1">
      <c r="A17" s="819" t="s">
        <v>777</v>
      </c>
      <c r="B17" s="836">
        <v>-3.9860000000000042</v>
      </c>
      <c r="C17" s="838">
        <v>-27.385999999999999</v>
      </c>
      <c r="D17" s="837">
        <v>-27.385999999999999</v>
      </c>
      <c r="E17" s="836">
        <v>-27.385999999999999</v>
      </c>
    </row>
    <row r="18" spans="1:13">
      <c r="A18" s="835" t="s">
        <v>776</v>
      </c>
      <c r="B18" s="832">
        <v>-12</v>
      </c>
      <c r="C18" s="834">
        <v>-137.49199999999999</v>
      </c>
      <c r="D18" s="833">
        <v>-102.124</v>
      </c>
      <c r="E18" s="832">
        <v>-50.642000000000003</v>
      </c>
    </row>
    <row r="19" spans="1:13">
      <c r="A19" s="828" t="s">
        <v>775</v>
      </c>
      <c r="B19" s="1696" t="s">
        <v>772</v>
      </c>
      <c r="C19" s="1696"/>
      <c r="D19" s="1696"/>
      <c r="E19" s="1697"/>
      <c r="F19" s="809"/>
    </row>
    <row r="20" spans="1:13">
      <c r="A20" s="828" t="s">
        <v>774</v>
      </c>
      <c r="B20" s="1696" t="s">
        <v>772</v>
      </c>
      <c r="C20" s="1696"/>
      <c r="D20" s="1696"/>
      <c r="E20" s="1697"/>
      <c r="F20" s="809"/>
    </row>
    <row r="21" spans="1:13">
      <c r="A21" s="828" t="s">
        <v>773</v>
      </c>
      <c r="B21" s="1696" t="s">
        <v>772</v>
      </c>
      <c r="C21" s="1696"/>
      <c r="D21" s="1696"/>
      <c r="E21" s="1697"/>
      <c r="F21" s="809"/>
    </row>
    <row r="22" spans="1:13">
      <c r="A22" s="831" t="s">
        <v>771</v>
      </c>
      <c r="B22" s="807">
        <f>B23+B24+B25+B31</f>
        <v>113.68775239022173</v>
      </c>
      <c r="C22" s="830">
        <f>C23+C24+C25</f>
        <v>621.6156661361199</v>
      </c>
      <c r="D22" s="830">
        <f>D23+D24+D25</f>
        <v>628.36776475308363</v>
      </c>
      <c r="E22" s="807">
        <f>E23+E24+E25</f>
        <v>895.6765073719622</v>
      </c>
    </row>
    <row r="23" spans="1:13">
      <c r="A23" s="828" t="s">
        <v>770</v>
      </c>
      <c r="B23" s="829">
        <v>50.473752390221748</v>
      </c>
      <c r="C23" s="827">
        <v>106.19066613611986</v>
      </c>
      <c r="D23" s="826">
        <v>194.32276475308359</v>
      </c>
      <c r="E23" s="825">
        <v>145.30750737196223</v>
      </c>
      <c r="F23" s="759"/>
    </row>
    <row r="24" spans="1:13">
      <c r="A24" s="828" t="s">
        <v>769</v>
      </c>
      <c r="B24" s="825">
        <v>9.9</v>
      </c>
      <c r="C24" s="827">
        <v>22.6</v>
      </c>
      <c r="D24" s="826">
        <v>13.8</v>
      </c>
      <c r="E24" s="825">
        <v>10.3</v>
      </c>
    </row>
    <row r="25" spans="1:13">
      <c r="A25" s="828" t="s">
        <v>768</v>
      </c>
      <c r="B25" s="825">
        <v>19.803999999999998</v>
      </c>
      <c r="C25" s="827">
        <v>492.82499999999999</v>
      </c>
      <c r="D25" s="826">
        <v>420.245</v>
      </c>
      <c r="E25" s="825">
        <v>740.06899999999996</v>
      </c>
    </row>
    <row r="26" spans="1:13">
      <c r="A26" s="823" t="s">
        <v>767</v>
      </c>
      <c r="B26" s="820">
        <v>4.6689999999999996</v>
      </c>
      <c r="C26" s="822">
        <v>22.350999999999999</v>
      </c>
      <c r="D26" s="821">
        <v>22.827999999999999</v>
      </c>
      <c r="E26" s="820">
        <v>18.670000000000002</v>
      </c>
    </row>
    <row r="27" spans="1:13">
      <c r="A27" s="823" t="s">
        <v>766</v>
      </c>
      <c r="B27" s="824" t="s">
        <v>1</v>
      </c>
      <c r="C27" s="822">
        <v>100</v>
      </c>
      <c r="D27" s="821" t="s">
        <v>1</v>
      </c>
      <c r="E27" s="820" t="s">
        <v>1</v>
      </c>
    </row>
    <row r="28" spans="1:13">
      <c r="A28" s="823" t="s">
        <v>1479</v>
      </c>
      <c r="B28" s="824" t="s">
        <v>1</v>
      </c>
      <c r="C28" s="822">
        <v>185.57</v>
      </c>
      <c r="D28" s="821">
        <v>145</v>
      </c>
      <c r="E28" s="820">
        <v>145</v>
      </c>
    </row>
    <row r="29" spans="1:13">
      <c r="A29" s="823" t="s">
        <v>765</v>
      </c>
      <c r="B29" s="820">
        <v>15.135</v>
      </c>
      <c r="C29" s="822">
        <v>24.257999999999999</v>
      </c>
      <c r="D29" s="821">
        <v>26.683</v>
      </c>
      <c r="E29" s="820">
        <v>26.683</v>
      </c>
    </row>
    <row r="30" spans="1:13">
      <c r="A30" s="819" t="s">
        <v>764</v>
      </c>
      <c r="B30" s="818" t="s">
        <v>1</v>
      </c>
      <c r="C30" s="817">
        <v>160.64600000000002</v>
      </c>
      <c r="D30" s="816">
        <v>225.73400000000001</v>
      </c>
      <c r="E30" s="815">
        <v>549.71600000000001</v>
      </c>
    </row>
    <row r="31" spans="1:13">
      <c r="A31" s="814" t="s">
        <v>763</v>
      </c>
      <c r="B31" s="813">
        <v>33.51</v>
      </c>
      <c r="C31" s="812" t="s">
        <v>1</v>
      </c>
      <c r="D31" s="811" t="s">
        <v>1</v>
      </c>
      <c r="E31" s="810" t="s">
        <v>1</v>
      </c>
      <c r="F31" s="809"/>
    </row>
    <row r="32" spans="1:13">
      <c r="A32" s="808" t="s">
        <v>762</v>
      </c>
      <c r="B32" s="807">
        <f>B5+B22</f>
        <v>-480.9687997111555</v>
      </c>
      <c r="C32" s="806">
        <f>C5+C22</f>
        <v>-232.48137471133475</v>
      </c>
      <c r="D32" s="806">
        <f>D5+D22</f>
        <v>-325.81090421364979</v>
      </c>
      <c r="E32" s="805">
        <f>E5+E22</f>
        <v>-146.85094566290002</v>
      </c>
      <c r="F32" s="796"/>
      <c r="L32" s="797"/>
      <c r="M32" s="797"/>
    </row>
    <row r="33" spans="1:13">
      <c r="A33" s="804" t="s">
        <v>761</v>
      </c>
      <c r="B33" s="803">
        <f>B3+B32</f>
        <v>-2067.8847997111552</v>
      </c>
      <c r="C33" s="802">
        <f>C3+C32</f>
        <v>-1315.9813747113349</v>
      </c>
      <c r="D33" s="802">
        <f>D3+D32</f>
        <v>-715.31090421364979</v>
      </c>
      <c r="E33" s="801">
        <f>E3+E32</f>
        <v>3.8490543370999717</v>
      </c>
      <c r="F33" s="796"/>
      <c r="L33" s="797"/>
      <c r="M33" s="797"/>
    </row>
    <row r="34" spans="1:13">
      <c r="A34" s="800" t="s">
        <v>760</v>
      </c>
      <c r="B34" s="798">
        <v>-2.5324361992636923</v>
      </c>
      <c r="C34" s="799">
        <v>-1.5687389500428965</v>
      </c>
      <c r="D34" s="799">
        <v>-0.80175295330137464</v>
      </c>
      <c r="E34" s="798">
        <v>4.053490841038114E-3</v>
      </c>
      <c r="F34" s="796"/>
      <c r="L34" s="797"/>
      <c r="M34" s="797"/>
    </row>
    <row r="35" spans="1:13">
      <c r="A35" s="1694" t="s">
        <v>759</v>
      </c>
      <c r="B35" s="1694"/>
      <c r="C35" s="1694"/>
      <c r="D35" s="1698" t="s">
        <v>5</v>
      </c>
      <c r="E35" s="1698"/>
      <c r="F35" s="796"/>
    </row>
    <row r="36" spans="1:13">
      <c r="A36" s="1694" t="s">
        <v>758</v>
      </c>
      <c r="B36" s="1694"/>
      <c r="C36" s="1694"/>
      <c r="D36" s="1694"/>
      <c r="E36" s="1694"/>
      <c r="F36" s="796"/>
    </row>
    <row r="37" spans="1:13" ht="26.25" customHeight="1">
      <c r="A37" s="1693" t="s">
        <v>1480</v>
      </c>
      <c r="B37" s="1693"/>
      <c r="C37" s="1693"/>
      <c r="D37" s="1693"/>
      <c r="E37" s="1693"/>
    </row>
  </sheetData>
  <mergeCells count="8">
    <mergeCell ref="A37:E37"/>
    <mergeCell ref="A36:E36"/>
    <mergeCell ref="A1:E1"/>
    <mergeCell ref="B19:E19"/>
    <mergeCell ref="B20:E20"/>
    <mergeCell ref="B21:E21"/>
    <mergeCell ref="A35:C35"/>
    <mergeCell ref="D35:E35"/>
  </mergeCells>
  <pageMargins left="0.7" right="0.7" top="0.75" bottom="0.75" header="0.3" footer="0.3"/>
  <pageSetup paperSize="9" scale="84" orientation="portrait" r:id="rId1"/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36"/>
  <sheetViews>
    <sheetView showGridLines="0" zoomScaleNormal="100" workbookViewId="0">
      <selection activeCell="E2" sqref="E2"/>
    </sheetView>
  </sheetViews>
  <sheetFormatPr defaultRowHeight="15"/>
  <cols>
    <col min="1" max="1" width="47" style="335" customWidth="1"/>
    <col min="2" max="3" width="8.42578125" style="335" customWidth="1"/>
    <col min="4" max="4" width="5.28515625" style="335" customWidth="1"/>
    <col min="5" max="7" width="9.140625" style="335"/>
    <col min="8" max="8" width="44.28515625" style="335" bestFit="1" customWidth="1"/>
    <col min="9" max="16384" width="9.140625" style="335"/>
  </cols>
  <sheetData>
    <row r="1" spans="1:20">
      <c r="A1" s="336" t="s">
        <v>236</v>
      </c>
    </row>
    <row r="2" spans="1:20">
      <c r="A2" s="338"/>
      <c r="B2" s="337" t="s">
        <v>238</v>
      </c>
      <c r="C2" s="337" t="s">
        <v>237</v>
      </c>
      <c r="D2" s="339"/>
      <c r="E2" s="1677" t="s">
        <v>239</v>
      </c>
      <c r="F2" s="339"/>
      <c r="G2" s="339"/>
      <c r="H2" s="339"/>
      <c r="I2" s="339"/>
      <c r="J2" s="339"/>
      <c r="K2" s="339"/>
      <c r="L2" s="339"/>
      <c r="M2" s="339"/>
      <c r="N2" s="339"/>
      <c r="O2" s="339"/>
      <c r="P2" s="339"/>
      <c r="Q2" s="339"/>
      <c r="R2" s="339"/>
      <c r="S2" s="339"/>
      <c r="T2" s="340"/>
    </row>
    <row r="3" spans="1:20">
      <c r="A3" s="341" t="s">
        <v>240</v>
      </c>
      <c r="B3" s="342">
        <v>-801.00130100000013</v>
      </c>
      <c r="C3" s="343">
        <v>-0.95367077950369739</v>
      </c>
      <c r="D3" s="339"/>
      <c r="F3" s="1677" t="s">
        <v>241</v>
      </c>
      <c r="G3" s="339"/>
      <c r="H3" s="339"/>
      <c r="I3" s="339"/>
      <c r="J3" s="339"/>
      <c r="K3" s="339"/>
      <c r="L3" s="339"/>
      <c r="M3" s="339"/>
      <c r="N3" s="339"/>
      <c r="O3" s="339"/>
      <c r="P3" s="339"/>
      <c r="Q3" s="339"/>
      <c r="R3" s="339"/>
      <c r="S3" s="339"/>
      <c r="T3" s="340"/>
    </row>
    <row r="4" spans="1:20">
      <c r="A4" s="344" t="s">
        <v>242</v>
      </c>
      <c r="B4" s="345">
        <v>-97.525999999999996</v>
      </c>
      <c r="C4" s="346">
        <v>-0.1161142888604092</v>
      </c>
      <c r="D4" s="347"/>
      <c r="E4" s="339"/>
      <c r="F4" s="340"/>
      <c r="G4" s="339"/>
      <c r="H4" s="339"/>
      <c r="I4" s="339"/>
      <c r="J4" s="339"/>
      <c r="K4" s="339"/>
      <c r="L4" s="339"/>
      <c r="M4" s="339"/>
      <c r="N4" s="339"/>
      <c r="O4" s="339"/>
      <c r="P4" s="339"/>
      <c r="Q4" s="339"/>
      <c r="R4" s="339"/>
      <c r="S4" s="339"/>
      <c r="T4" s="340"/>
    </row>
    <row r="5" spans="1:20">
      <c r="A5" s="344" t="s">
        <v>243</v>
      </c>
      <c r="B5" s="345">
        <v>-143.22200000000001</v>
      </c>
      <c r="C5" s="346">
        <v>-0.17051986833424446</v>
      </c>
      <c r="D5" s="347"/>
      <c r="E5" s="339"/>
      <c r="F5" s="339"/>
      <c r="G5" s="339"/>
      <c r="H5" s="339"/>
      <c r="I5" s="339"/>
      <c r="J5" s="339"/>
      <c r="K5" s="339"/>
      <c r="L5" s="339"/>
      <c r="M5" s="339"/>
      <c r="N5" s="339"/>
      <c r="O5" s="339"/>
      <c r="P5" s="339"/>
      <c r="Q5" s="339"/>
      <c r="R5" s="339"/>
      <c r="S5" s="339"/>
      <c r="T5" s="340"/>
    </row>
    <row r="6" spans="1:20">
      <c r="A6" s="344" t="s">
        <v>244</v>
      </c>
      <c r="B6" s="345">
        <v>-474.80830100000003</v>
      </c>
      <c r="C6" s="346">
        <v>-0.56530595139382434</v>
      </c>
      <c r="D6" s="347"/>
      <c r="E6" s="339"/>
      <c r="F6" s="339"/>
      <c r="G6" s="339"/>
      <c r="H6" s="339"/>
      <c r="I6" s="339"/>
      <c r="J6" s="339"/>
      <c r="K6" s="339"/>
      <c r="L6" s="339"/>
      <c r="M6" s="339"/>
      <c r="N6" s="339"/>
      <c r="O6" s="339"/>
      <c r="P6" s="339"/>
      <c r="Q6" s="339"/>
      <c r="R6" s="339"/>
      <c r="S6" s="339"/>
      <c r="T6" s="340"/>
    </row>
    <row r="7" spans="1:20">
      <c r="A7" s="344" t="s">
        <v>246</v>
      </c>
      <c r="B7" s="345">
        <v>-85.445000000000022</v>
      </c>
      <c r="C7" s="346">
        <v>-0.10173067091521917</v>
      </c>
      <c r="D7" s="347"/>
      <c r="E7" s="339"/>
      <c r="F7" s="339"/>
      <c r="G7" s="339"/>
      <c r="H7" s="339"/>
      <c r="I7" s="339"/>
      <c r="J7" s="339"/>
      <c r="K7" s="339"/>
      <c r="L7" s="339"/>
      <c r="M7" s="339"/>
      <c r="N7" s="339"/>
      <c r="O7" s="339"/>
      <c r="P7" s="339"/>
      <c r="Q7" s="339"/>
      <c r="R7" s="339"/>
      <c r="S7" s="339"/>
      <c r="T7" s="340"/>
    </row>
    <row r="8" spans="1:20">
      <c r="A8" s="341" t="s">
        <v>247</v>
      </c>
      <c r="B8" s="342">
        <v>-77.791434000000805</v>
      </c>
      <c r="C8" s="343">
        <v>-9.2618348320873928E-2</v>
      </c>
      <c r="D8" s="347"/>
      <c r="E8" s="339"/>
      <c r="F8" s="339"/>
      <c r="G8" s="339"/>
      <c r="H8" s="339"/>
      <c r="I8" s="339"/>
      <c r="J8" s="339"/>
      <c r="K8" s="339"/>
      <c r="L8" s="339"/>
      <c r="M8" s="339"/>
      <c r="N8" s="339"/>
      <c r="O8" s="339"/>
      <c r="P8" s="339"/>
      <c r="Q8" s="339"/>
      <c r="R8" s="339"/>
      <c r="S8" s="339"/>
      <c r="T8" s="340"/>
    </row>
    <row r="9" spans="1:20">
      <c r="A9" s="341" t="s">
        <v>248</v>
      </c>
      <c r="B9" s="342">
        <v>-559.48578500000008</v>
      </c>
      <c r="C9" s="343">
        <v>-0.66612281907166093</v>
      </c>
      <c r="D9" s="347"/>
      <c r="E9" s="339"/>
      <c r="F9" s="339"/>
      <c r="G9" s="339"/>
      <c r="H9" s="339"/>
      <c r="I9" s="339"/>
      <c r="J9" s="339"/>
      <c r="K9" s="339"/>
      <c r="L9" s="339"/>
      <c r="M9" s="339"/>
      <c r="N9" s="339"/>
      <c r="O9" s="339"/>
      <c r="P9" s="339"/>
      <c r="Q9" s="339"/>
      <c r="R9" s="339"/>
      <c r="S9" s="339"/>
      <c r="T9" s="340"/>
    </row>
    <row r="10" spans="1:20">
      <c r="A10" s="344" t="s">
        <v>249</v>
      </c>
      <c r="B10" s="345">
        <v>-312.26394600000003</v>
      </c>
      <c r="C10" s="346">
        <v>-0.37178092023188913</v>
      </c>
      <c r="D10" s="347"/>
      <c r="E10" s="339"/>
      <c r="F10" s="339"/>
      <c r="G10" s="339"/>
      <c r="H10" s="339"/>
      <c r="I10" s="339"/>
      <c r="J10" s="339"/>
      <c r="K10" s="339"/>
      <c r="L10" s="339"/>
      <c r="M10" s="339"/>
      <c r="N10" s="339"/>
      <c r="O10" s="339"/>
      <c r="P10" s="339"/>
      <c r="Q10" s="339"/>
      <c r="R10" s="339"/>
      <c r="S10" s="339"/>
      <c r="T10" s="340"/>
    </row>
    <row r="11" spans="1:20">
      <c r="A11" s="344" t="s">
        <v>250</v>
      </c>
      <c r="B11" s="345">
        <v>-154.715937</v>
      </c>
      <c r="C11" s="346">
        <v>-0.18420453007533241</v>
      </c>
      <c r="D11" s="347"/>
      <c r="E11" s="339"/>
      <c r="F11" s="339"/>
      <c r="G11" s="339"/>
      <c r="H11" s="339"/>
      <c r="I11" s="339"/>
      <c r="J11" s="339"/>
      <c r="K11" s="339"/>
      <c r="L11" s="339"/>
      <c r="M11" s="339"/>
      <c r="N11" s="339"/>
      <c r="O11" s="339"/>
      <c r="P11" s="339"/>
      <c r="Q11" s="339"/>
      <c r="R11" s="339"/>
      <c r="S11" s="339"/>
      <c r="T11" s="340"/>
    </row>
    <row r="12" spans="1:20">
      <c r="A12" s="344" t="s">
        <v>251</v>
      </c>
      <c r="B12" s="345">
        <v>-92.505902000000006</v>
      </c>
      <c r="C12" s="346">
        <v>-0.11013736876443928</v>
      </c>
      <c r="D12" s="347"/>
      <c r="E12" s="339"/>
      <c r="F12" s="339"/>
      <c r="G12" s="339"/>
      <c r="H12" s="339"/>
      <c r="I12" s="339"/>
      <c r="J12" s="339"/>
      <c r="K12" s="339"/>
      <c r="L12" s="339"/>
      <c r="M12" s="339"/>
      <c r="N12" s="339"/>
      <c r="O12" s="339"/>
      <c r="P12" s="339"/>
      <c r="Q12" s="339"/>
      <c r="R12" s="339"/>
      <c r="S12" s="339"/>
      <c r="T12" s="340"/>
    </row>
    <row r="13" spans="1:20">
      <c r="A13" s="341" t="s">
        <v>252</v>
      </c>
      <c r="B13" s="342">
        <v>940.94750496408551</v>
      </c>
      <c r="C13" s="343">
        <v>1.1202904906781896</v>
      </c>
      <c r="D13" s="347"/>
      <c r="E13" s="339"/>
      <c r="F13" s="339"/>
      <c r="G13" s="339"/>
      <c r="H13" s="339"/>
      <c r="I13" s="339"/>
      <c r="J13" s="339"/>
      <c r="K13" s="339"/>
      <c r="L13" s="339"/>
      <c r="M13" s="339"/>
      <c r="N13" s="339"/>
      <c r="O13" s="339"/>
      <c r="P13" s="339"/>
      <c r="Q13" s="339"/>
      <c r="R13" s="339"/>
      <c r="S13" s="339"/>
      <c r="T13" s="340"/>
    </row>
    <row r="14" spans="1:20">
      <c r="A14" s="344" t="s">
        <v>253</v>
      </c>
      <c r="B14" s="345">
        <v>818.51982396408562</v>
      </c>
      <c r="C14" s="346">
        <v>0.97452830299342863</v>
      </c>
      <c r="D14" s="347"/>
      <c r="E14" s="339"/>
      <c r="F14" s="339"/>
      <c r="G14" s="339"/>
      <c r="H14" s="339"/>
      <c r="I14" s="339"/>
      <c r="J14" s="339"/>
      <c r="K14" s="339"/>
      <c r="L14" s="339"/>
      <c r="M14" s="339"/>
      <c r="N14" s="339"/>
      <c r="O14" s="339"/>
      <c r="P14" s="339"/>
      <c r="Q14" s="339"/>
      <c r="R14" s="339"/>
      <c r="S14" s="339"/>
      <c r="T14" s="340"/>
    </row>
    <row r="15" spans="1:20">
      <c r="A15" s="344" t="s">
        <v>254</v>
      </c>
      <c r="B15" s="345">
        <v>36.689785999999962</v>
      </c>
      <c r="C15" s="346">
        <v>4.3682796483302838E-2</v>
      </c>
      <c r="D15" s="347"/>
      <c r="E15" s="339"/>
      <c r="F15" s="339"/>
      <c r="G15" s="339"/>
      <c r="H15" s="339"/>
      <c r="I15" s="339"/>
      <c r="J15" s="339"/>
      <c r="K15" s="339"/>
      <c r="L15" s="339"/>
      <c r="M15" s="339"/>
      <c r="N15" s="339"/>
      <c r="O15" s="339"/>
      <c r="P15" s="339"/>
      <c r="Q15" s="339"/>
      <c r="R15" s="339"/>
      <c r="S15" s="339"/>
      <c r="T15" s="340"/>
    </row>
    <row r="16" spans="1:20">
      <c r="A16" s="344" t="s">
        <v>245</v>
      </c>
      <c r="B16" s="345">
        <v>12.535</v>
      </c>
      <c r="C16" s="346">
        <v>1.4924149568989081E-2</v>
      </c>
      <c r="D16" s="347"/>
      <c r="E16" s="339"/>
      <c r="F16" s="339"/>
      <c r="G16" s="339"/>
      <c r="H16" s="339"/>
      <c r="I16" s="339"/>
      <c r="J16" s="339"/>
      <c r="K16" s="339"/>
      <c r="L16" s="339"/>
      <c r="M16" s="339"/>
      <c r="N16" s="339"/>
      <c r="O16" s="339"/>
      <c r="P16" s="339"/>
      <c r="Q16" s="339"/>
      <c r="R16" s="339"/>
      <c r="S16" s="339"/>
      <c r="T16" s="340"/>
    </row>
    <row r="17" spans="1:20">
      <c r="A17" s="344" t="s">
        <v>255</v>
      </c>
      <c r="B17" s="345">
        <v>73.202895000000012</v>
      </c>
      <c r="C17" s="346">
        <v>8.7155241632469335E-2</v>
      </c>
      <c r="D17" s="347"/>
      <c r="E17" s="339"/>
      <c r="F17" s="339"/>
      <c r="G17" s="339"/>
      <c r="H17" s="339"/>
      <c r="I17" s="339"/>
      <c r="J17" s="339"/>
      <c r="K17" s="339"/>
      <c r="L17" s="339"/>
      <c r="M17" s="339"/>
      <c r="N17" s="339"/>
      <c r="O17" s="339"/>
      <c r="P17" s="339"/>
      <c r="Q17" s="339"/>
      <c r="R17" s="339"/>
      <c r="S17" s="339"/>
      <c r="T17" s="340"/>
    </row>
    <row r="18" spans="1:20">
      <c r="A18" s="341" t="s">
        <v>256</v>
      </c>
      <c r="B18" s="342">
        <v>166.19300000000001</v>
      </c>
      <c r="C18" s="343">
        <v>0.19786910166086977</v>
      </c>
      <c r="D18" s="347"/>
      <c r="E18" s="339"/>
      <c r="F18" s="339"/>
      <c r="G18" s="339"/>
      <c r="H18" s="339"/>
      <c r="I18" s="339"/>
      <c r="J18" s="339"/>
      <c r="K18" s="339"/>
      <c r="L18" s="339"/>
      <c r="M18" s="339"/>
      <c r="N18" s="339"/>
      <c r="O18" s="339"/>
      <c r="P18" s="339"/>
      <c r="Q18" s="339"/>
      <c r="R18" s="339"/>
      <c r="S18" s="339"/>
      <c r="T18" s="340"/>
    </row>
    <row r="19" spans="1:20">
      <c r="A19" s="341" t="s">
        <v>257</v>
      </c>
      <c r="B19" s="342">
        <v>331.13801503591537</v>
      </c>
      <c r="C19" s="343">
        <v>0.3942523545571725</v>
      </c>
      <c r="D19" s="347"/>
      <c r="E19" s="339"/>
      <c r="F19" s="339"/>
      <c r="G19" s="339"/>
      <c r="H19" s="339"/>
      <c r="I19" s="339"/>
      <c r="J19" s="339"/>
      <c r="K19" s="339"/>
      <c r="L19" s="339"/>
      <c r="M19" s="339"/>
      <c r="N19" s="339"/>
      <c r="O19" s="339"/>
      <c r="P19" s="339"/>
      <c r="Q19" s="339"/>
      <c r="R19" s="339"/>
      <c r="S19" s="339"/>
      <c r="T19" s="340"/>
    </row>
    <row r="20" spans="1:20">
      <c r="A20" s="348"/>
      <c r="D20" s="347"/>
      <c r="E20" s="339"/>
      <c r="F20" s="339"/>
      <c r="G20" s="339"/>
      <c r="H20" s="339"/>
      <c r="I20" s="339"/>
      <c r="J20" s="339"/>
      <c r="K20" s="339"/>
      <c r="L20" s="339"/>
      <c r="M20" s="339"/>
      <c r="N20" s="339"/>
      <c r="O20" s="339"/>
      <c r="P20" s="339"/>
      <c r="Q20" s="339"/>
      <c r="R20" s="339"/>
      <c r="S20" s="339"/>
      <c r="T20" s="340"/>
    </row>
    <row r="21" spans="1:20">
      <c r="D21" s="347"/>
      <c r="E21" s="339"/>
      <c r="F21" s="339"/>
      <c r="G21" s="339"/>
      <c r="H21" s="339"/>
      <c r="I21" s="339"/>
      <c r="J21" s="339"/>
      <c r="K21" s="339"/>
      <c r="L21" s="339"/>
      <c r="M21" s="339"/>
      <c r="N21" s="339"/>
      <c r="O21" s="339"/>
      <c r="P21" s="339"/>
      <c r="Q21" s="339"/>
      <c r="R21" s="339"/>
      <c r="S21" s="339"/>
      <c r="T21" s="340"/>
    </row>
    <row r="22" spans="1:20">
      <c r="D22" s="347"/>
      <c r="E22" s="339"/>
      <c r="F22" s="339"/>
      <c r="G22" s="339"/>
      <c r="H22" s="339"/>
      <c r="I22" s="339"/>
      <c r="J22" s="339"/>
      <c r="K22" s="339"/>
      <c r="L22" s="339"/>
      <c r="M22" s="339"/>
      <c r="N22" s="339"/>
      <c r="O22" s="339"/>
      <c r="P22" s="339"/>
      <c r="Q22" s="339"/>
      <c r="R22" s="339"/>
      <c r="S22" s="339"/>
      <c r="T22" s="340"/>
    </row>
    <row r="23" spans="1:20">
      <c r="D23" s="347"/>
      <c r="E23" s="339"/>
      <c r="F23" s="339"/>
      <c r="G23" s="339"/>
      <c r="H23" s="339"/>
      <c r="I23" s="339"/>
      <c r="J23" s="339"/>
      <c r="K23" s="339"/>
      <c r="L23" s="339"/>
      <c r="M23" s="339"/>
      <c r="N23" s="339"/>
      <c r="O23" s="339"/>
      <c r="P23" s="339"/>
      <c r="Q23" s="339"/>
      <c r="R23" s="339"/>
      <c r="S23" s="339"/>
      <c r="T23" s="340"/>
    </row>
    <row r="24" spans="1:20">
      <c r="D24" s="347"/>
      <c r="E24" s="339"/>
      <c r="F24" s="339"/>
      <c r="G24" s="339"/>
      <c r="H24" s="339"/>
      <c r="I24" s="339"/>
      <c r="J24" s="339"/>
      <c r="K24" s="339"/>
      <c r="L24" s="339"/>
      <c r="M24" s="339"/>
      <c r="N24" s="339"/>
      <c r="O24" s="339"/>
      <c r="P24" s="339"/>
      <c r="Q24" s="339"/>
      <c r="R24" s="339"/>
      <c r="S24" s="339"/>
      <c r="T24" s="340"/>
    </row>
    <row r="25" spans="1:20">
      <c r="D25" s="347"/>
      <c r="E25" s="339"/>
      <c r="F25" s="339"/>
      <c r="G25" s="339"/>
      <c r="H25" s="339"/>
      <c r="I25" s="339"/>
      <c r="J25" s="339"/>
      <c r="K25" s="339"/>
      <c r="L25" s="339"/>
      <c r="M25" s="339"/>
      <c r="N25" s="339"/>
      <c r="O25" s="339"/>
      <c r="P25" s="339"/>
      <c r="Q25" s="339"/>
      <c r="R25" s="339"/>
      <c r="S25" s="339"/>
      <c r="T25" s="340"/>
    </row>
    <row r="26" spans="1:20" ht="15" customHeight="1">
      <c r="D26" s="347"/>
      <c r="E26" s="339"/>
      <c r="F26" s="339"/>
      <c r="G26" s="339"/>
      <c r="H26" s="339"/>
      <c r="I26" s="339"/>
      <c r="J26" s="339"/>
      <c r="K26" s="339"/>
      <c r="L26" s="339"/>
      <c r="M26" s="339"/>
      <c r="N26" s="339"/>
      <c r="O26" s="339"/>
      <c r="P26" s="339"/>
      <c r="Q26" s="339"/>
      <c r="R26" s="339"/>
      <c r="S26" s="339"/>
      <c r="T26" s="340"/>
    </row>
    <row r="27" spans="1:20" ht="15" customHeight="1">
      <c r="D27" s="339"/>
      <c r="E27" s="339"/>
      <c r="F27" s="339"/>
      <c r="G27" s="339"/>
      <c r="H27" s="339"/>
      <c r="I27" s="339"/>
      <c r="J27" s="339"/>
      <c r="K27" s="339"/>
      <c r="L27" s="339"/>
      <c r="M27" s="339"/>
      <c r="N27" s="339"/>
      <c r="O27" s="339"/>
      <c r="P27" s="339"/>
      <c r="Q27" s="339"/>
      <c r="R27" s="339"/>
      <c r="S27" s="339"/>
      <c r="T27" s="340"/>
    </row>
    <row r="28" spans="1:20" ht="15" customHeight="1">
      <c r="D28" s="339"/>
      <c r="E28" s="339"/>
      <c r="F28" s="339"/>
      <c r="G28" s="339"/>
      <c r="H28" s="339"/>
      <c r="I28" s="339"/>
      <c r="J28" s="339"/>
      <c r="K28" s="339"/>
      <c r="L28" s="339"/>
      <c r="M28" s="339"/>
      <c r="N28" s="339"/>
      <c r="O28" s="339"/>
      <c r="P28" s="339"/>
      <c r="Q28" s="339"/>
      <c r="R28" s="339"/>
      <c r="S28" s="339"/>
      <c r="T28" s="340"/>
    </row>
    <row r="29" spans="1:20" ht="15" customHeight="1">
      <c r="D29" s="339"/>
      <c r="E29" s="339"/>
      <c r="F29" s="339"/>
      <c r="G29" s="339"/>
      <c r="H29" s="339"/>
      <c r="I29" s="339"/>
      <c r="J29" s="339"/>
      <c r="K29" s="339"/>
      <c r="L29" s="339"/>
      <c r="M29" s="339"/>
      <c r="N29" s="339"/>
      <c r="O29" s="339"/>
      <c r="P29" s="339"/>
      <c r="Q29" s="339"/>
      <c r="R29" s="339"/>
      <c r="S29" s="339"/>
      <c r="T29" s="340"/>
    </row>
    <row r="30" spans="1:20">
      <c r="D30" s="339"/>
      <c r="E30" s="339"/>
      <c r="F30" s="339"/>
      <c r="G30" s="339"/>
      <c r="H30" s="339"/>
      <c r="I30" s="339"/>
      <c r="J30" s="339"/>
      <c r="K30" s="339"/>
      <c r="L30" s="339"/>
      <c r="M30" s="339"/>
      <c r="N30" s="339"/>
      <c r="O30" s="339"/>
      <c r="P30" s="339"/>
      <c r="Q30" s="339"/>
      <c r="R30" s="339"/>
      <c r="S30" s="339"/>
      <c r="T30" s="340"/>
    </row>
    <row r="31" spans="1:20">
      <c r="D31" s="339"/>
      <c r="E31" s="349"/>
      <c r="F31" s="339"/>
      <c r="G31" s="339"/>
      <c r="H31" s="339"/>
      <c r="I31" s="339"/>
      <c r="J31" s="339"/>
      <c r="K31" s="339"/>
      <c r="L31" s="339"/>
      <c r="M31" s="339"/>
      <c r="N31" s="339"/>
      <c r="O31" s="339"/>
      <c r="P31" s="339"/>
      <c r="Q31" s="339"/>
      <c r="R31" s="339"/>
      <c r="S31" s="339"/>
      <c r="T31" s="340"/>
    </row>
    <row r="32" spans="1:20">
      <c r="E32" s="350" t="s">
        <v>258</v>
      </c>
    </row>
    <row r="33" spans="4:5">
      <c r="E33" s="351"/>
    </row>
    <row r="34" spans="4:5">
      <c r="D34" s="352"/>
    </row>
    <row r="35" spans="4:5">
      <c r="D35" s="352"/>
    </row>
    <row r="36" spans="4:5">
      <c r="D36" s="352"/>
    </row>
  </sheetData>
  <pageMargins left="0.7" right="0.7" top="0.75" bottom="0.75" header="0.3" footer="0.3"/>
  <pageSetup paperSize="9" scale="35" orientation="portrait" verticalDpi="300" r:id="rId1"/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33"/>
  <sheetViews>
    <sheetView showGridLines="0" workbookViewId="0">
      <selection activeCell="AB1" sqref="AB1"/>
    </sheetView>
  </sheetViews>
  <sheetFormatPr defaultRowHeight="15"/>
  <cols>
    <col min="1" max="1" width="22.28515625" style="758" customWidth="1"/>
    <col min="2" max="16384" width="9.140625" style="758"/>
  </cols>
  <sheetData>
    <row r="1" spans="1:38">
      <c r="A1" s="792" t="s">
        <v>874</v>
      </c>
      <c r="AB1" s="792" t="s">
        <v>873</v>
      </c>
    </row>
    <row r="2" spans="1:38">
      <c r="A2" s="963"/>
      <c r="B2" s="963">
        <v>1995</v>
      </c>
      <c r="C2" s="963">
        <f t="shared" ref="C2:Z2" si="0">B2+1</f>
        <v>1996</v>
      </c>
      <c r="D2" s="963">
        <f t="shared" si="0"/>
        <v>1997</v>
      </c>
      <c r="E2" s="963">
        <f t="shared" si="0"/>
        <v>1998</v>
      </c>
      <c r="F2" s="963">
        <f t="shared" si="0"/>
        <v>1999</v>
      </c>
      <c r="G2" s="963">
        <f t="shared" si="0"/>
        <v>2000</v>
      </c>
      <c r="H2" s="963">
        <f t="shared" si="0"/>
        <v>2001</v>
      </c>
      <c r="I2" s="963">
        <f t="shared" si="0"/>
        <v>2002</v>
      </c>
      <c r="J2" s="963">
        <f t="shared" si="0"/>
        <v>2003</v>
      </c>
      <c r="K2" s="963">
        <f t="shared" si="0"/>
        <v>2004</v>
      </c>
      <c r="L2" s="963">
        <f t="shared" si="0"/>
        <v>2005</v>
      </c>
      <c r="M2" s="963">
        <f t="shared" si="0"/>
        <v>2006</v>
      </c>
      <c r="N2" s="963">
        <f t="shared" si="0"/>
        <v>2007</v>
      </c>
      <c r="O2" s="963">
        <f t="shared" si="0"/>
        <v>2008</v>
      </c>
      <c r="P2" s="963">
        <f t="shared" si="0"/>
        <v>2009</v>
      </c>
      <c r="Q2" s="963">
        <f t="shared" si="0"/>
        <v>2010</v>
      </c>
      <c r="R2" s="963">
        <f t="shared" si="0"/>
        <v>2011</v>
      </c>
      <c r="S2" s="963">
        <f t="shared" si="0"/>
        <v>2012</v>
      </c>
      <c r="T2" s="963">
        <f t="shared" si="0"/>
        <v>2013</v>
      </c>
      <c r="U2" s="963">
        <f t="shared" si="0"/>
        <v>2014</v>
      </c>
      <c r="V2" s="963">
        <f t="shared" si="0"/>
        <v>2015</v>
      </c>
      <c r="W2" s="963">
        <f t="shared" si="0"/>
        <v>2016</v>
      </c>
      <c r="X2" s="963">
        <f t="shared" si="0"/>
        <v>2017</v>
      </c>
      <c r="Y2" s="963">
        <f t="shared" si="0"/>
        <v>2018</v>
      </c>
      <c r="Z2" s="963">
        <f t="shared" si="0"/>
        <v>2019</v>
      </c>
      <c r="AJ2" s="132"/>
      <c r="AK2" s="132"/>
      <c r="AL2" s="132"/>
    </row>
    <row r="3" spans="1:38">
      <c r="A3" s="778" t="s">
        <v>872</v>
      </c>
      <c r="B3" s="778">
        <v>4266.3</v>
      </c>
      <c r="C3" s="778">
        <v>6695.3</v>
      </c>
      <c r="D3" s="778">
        <v>8052.4</v>
      </c>
      <c r="E3" s="778">
        <v>9028.7000000000007</v>
      </c>
      <c r="F3" s="778">
        <v>13440.2</v>
      </c>
      <c r="G3" s="778">
        <v>15681.7</v>
      </c>
      <c r="H3" s="778">
        <v>16565.599999999999</v>
      </c>
      <c r="I3" s="778">
        <v>15986.4</v>
      </c>
      <c r="J3" s="778">
        <v>17219.5</v>
      </c>
      <c r="K3" s="778">
        <v>18735.3</v>
      </c>
      <c r="L3" s="778">
        <v>17201.2</v>
      </c>
      <c r="M3" s="778">
        <v>17430.5</v>
      </c>
      <c r="N3" s="778">
        <v>18979.8</v>
      </c>
      <c r="O3" s="778">
        <v>19493.7</v>
      </c>
      <c r="P3" s="778">
        <v>23236.799999999999</v>
      </c>
      <c r="Q3" s="778">
        <v>27842.3</v>
      </c>
      <c r="R3" s="778">
        <v>30846.9</v>
      </c>
      <c r="S3" s="778">
        <v>37925.699999999997</v>
      </c>
      <c r="T3" s="778">
        <v>40600</v>
      </c>
      <c r="U3" s="778">
        <v>40725</v>
      </c>
      <c r="V3" s="778">
        <v>41293.300000000003</v>
      </c>
      <c r="W3" s="939"/>
      <c r="X3" s="939"/>
      <c r="Y3" s="939"/>
      <c r="Z3" s="939"/>
      <c r="AJ3" s="132"/>
      <c r="AK3" s="132"/>
      <c r="AL3" s="132"/>
    </row>
    <row r="4" spans="1:38">
      <c r="A4" s="778" t="s">
        <v>871</v>
      </c>
      <c r="B4" s="939">
        <v>21.7</v>
      </c>
      <c r="C4" s="939">
        <v>30.5</v>
      </c>
      <c r="D4" s="939">
        <v>33</v>
      </c>
      <c r="E4" s="939">
        <v>33.9</v>
      </c>
      <c r="F4" s="939">
        <v>47.1</v>
      </c>
      <c r="G4" s="939">
        <v>49.6</v>
      </c>
      <c r="H4" s="939">
        <v>48.3</v>
      </c>
      <c r="I4" s="939">
        <v>42.9</v>
      </c>
      <c r="J4" s="939">
        <v>41.6</v>
      </c>
      <c r="K4" s="939">
        <v>40.6</v>
      </c>
      <c r="L4" s="939">
        <v>34.1</v>
      </c>
      <c r="M4" s="939">
        <v>31</v>
      </c>
      <c r="N4" s="939">
        <v>30.1</v>
      </c>
      <c r="O4" s="939">
        <v>28.5</v>
      </c>
      <c r="P4" s="939">
        <v>36.299999999999997</v>
      </c>
      <c r="Q4" s="939">
        <v>41.2</v>
      </c>
      <c r="R4" s="939">
        <v>43.7</v>
      </c>
      <c r="S4" s="939">
        <v>52.2</v>
      </c>
      <c r="T4" s="939">
        <v>54.7</v>
      </c>
      <c r="U4" s="939">
        <v>53.6</v>
      </c>
      <c r="V4" s="939">
        <v>52.5</v>
      </c>
      <c r="W4" s="939"/>
      <c r="X4" s="939"/>
      <c r="Y4" s="939"/>
      <c r="Z4" s="939"/>
      <c r="AJ4" s="132"/>
      <c r="AK4" s="132"/>
      <c r="AL4" s="132"/>
    </row>
    <row r="5" spans="1:38">
      <c r="A5" s="778" t="s">
        <v>870</v>
      </c>
      <c r="B5" s="939">
        <v>21.7</v>
      </c>
      <c r="C5" s="939">
        <v>30.5</v>
      </c>
      <c r="D5" s="939">
        <v>33</v>
      </c>
      <c r="E5" s="939">
        <v>33.9</v>
      </c>
      <c r="F5" s="939">
        <v>47.1</v>
      </c>
      <c r="G5" s="939">
        <v>49.6</v>
      </c>
      <c r="H5" s="939">
        <v>48.3</v>
      </c>
      <c r="I5" s="939">
        <v>42.9</v>
      </c>
      <c r="J5" s="939">
        <v>41.6</v>
      </c>
      <c r="K5" s="939">
        <v>40.6</v>
      </c>
      <c r="L5" s="939">
        <v>34.1</v>
      </c>
      <c r="M5" s="939">
        <v>31</v>
      </c>
      <c r="N5" s="939">
        <v>30.1</v>
      </c>
      <c r="O5" s="939">
        <v>28.5</v>
      </c>
      <c r="P5" s="939">
        <v>36.299999999999997</v>
      </c>
      <c r="Q5" s="939">
        <v>41.2</v>
      </c>
      <c r="R5" s="939">
        <v>43.7</v>
      </c>
      <c r="S5" s="939">
        <v>52.2</v>
      </c>
      <c r="T5" s="939">
        <v>54.7</v>
      </c>
      <c r="U5" s="939">
        <v>53.6</v>
      </c>
      <c r="V5" s="939">
        <v>52.891725362204191</v>
      </c>
      <c r="W5" s="939">
        <v>53.494940800548285</v>
      </c>
      <c r="X5" s="939">
        <v>52.724454687922815</v>
      </c>
      <c r="Y5" s="939">
        <v>51.40232554356453</v>
      </c>
      <c r="Z5" s="939">
        <v>49.061389249467865</v>
      </c>
      <c r="AJ5" s="132"/>
      <c r="AK5" s="132"/>
      <c r="AL5" s="132"/>
    </row>
    <row r="6" spans="1:38">
      <c r="A6" s="778"/>
      <c r="B6" s="778"/>
      <c r="C6" s="778"/>
      <c r="D6" s="778"/>
      <c r="E6" s="778"/>
      <c r="F6" s="778"/>
      <c r="G6" s="778"/>
      <c r="H6" s="778"/>
      <c r="I6" s="778"/>
      <c r="J6" s="778"/>
      <c r="K6" s="778"/>
      <c r="L6" s="778"/>
      <c r="M6" s="778"/>
      <c r="N6" s="778"/>
      <c r="O6" s="778"/>
      <c r="P6" s="778"/>
      <c r="Q6" s="778"/>
      <c r="R6" s="778"/>
      <c r="S6" s="778"/>
      <c r="T6" s="778"/>
      <c r="U6" s="778"/>
      <c r="V6" s="778"/>
      <c r="W6" s="778"/>
      <c r="X6" s="778"/>
      <c r="Y6" s="778"/>
      <c r="Z6" s="778"/>
      <c r="AJ6" s="132"/>
      <c r="AK6" s="132"/>
      <c r="AL6" s="132"/>
    </row>
    <row r="7" spans="1:38">
      <c r="A7" s="778"/>
      <c r="B7" s="778"/>
      <c r="C7" s="778"/>
      <c r="D7" s="778"/>
      <c r="E7" s="778"/>
      <c r="F7" s="778"/>
      <c r="G7" s="778"/>
      <c r="H7" s="778"/>
      <c r="I7" s="778"/>
      <c r="J7" s="778"/>
      <c r="K7" s="778"/>
      <c r="L7" s="778"/>
      <c r="M7" s="778"/>
      <c r="N7" s="778"/>
      <c r="O7" s="778"/>
      <c r="P7" s="778"/>
      <c r="Q7" s="778"/>
      <c r="R7" s="778"/>
      <c r="S7" s="778"/>
      <c r="T7" s="778"/>
      <c r="U7" s="778"/>
      <c r="V7" s="778"/>
      <c r="W7" s="778"/>
      <c r="X7" s="778"/>
      <c r="Y7" s="778"/>
      <c r="Z7" s="778"/>
    </row>
    <row r="8" spans="1:38">
      <c r="A8" s="778"/>
      <c r="B8" s="778"/>
      <c r="C8" s="778"/>
      <c r="D8" s="778"/>
      <c r="E8" s="778"/>
      <c r="F8" s="778"/>
      <c r="G8" s="778"/>
      <c r="H8" s="778"/>
      <c r="I8" s="778"/>
      <c r="J8" s="778"/>
      <c r="K8" s="778"/>
      <c r="L8" s="778"/>
      <c r="M8" s="778"/>
      <c r="N8" s="778"/>
      <c r="O8" s="778"/>
      <c r="P8" s="778"/>
      <c r="Q8" s="778"/>
      <c r="R8" s="778"/>
      <c r="S8" s="778"/>
      <c r="T8" s="778"/>
      <c r="U8" s="778"/>
      <c r="V8" s="778"/>
      <c r="W8" s="778"/>
      <c r="X8" s="778"/>
      <c r="Y8" s="778"/>
      <c r="Z8" s="778"/>
    </row>
    <row r="9" spans="1:38">
      <c r="A9" s="778"/>
      <c r="B9" s="778"/>
      <c r="C9" s="778"/>
      <c r="D9" s="778"/>
      <c r="E9" s="778"/>
      <c r="F9" s="778"/>
      <c r="G9" s="778"/>
      <c r="H9" s="778"/>
      <c r="I9" s="778"/>
      <c r="J9" s="778"/>
      <c r="K9" s="778"/>
      <c r="L9" s="778"/>
      <c r="M9" s="778"/>
      <c r="N9" s="778"/>
      <c r="O9" s="778"/>
      <c r="P9" s="778"/>
      <c r="Q9" s="778"/>
      <c r="R9" s="778"/>
      <c r="S9" s="778"/>
      <c r="T9" s="778"/>
      <c r="U9" s="778"/>
      <c r="V9" s="778"/>
      <c r="W9" s="778"/>
      <c r="X9" s="778"/>
      <c r="Y9" s="778"/>
      <c r="Z9" s="778"/>
    </row>
    <row r="10" spans="1:38">
      <c r="A10" s="778"/>
      <c r="B10" s="778"/>
      <c r="C10" s="778"/>
      <c r="D10" s="778"/>
      <c r="E10" s="778"/>
      <c r="F10" s="778"/>
      <c r="G10" s="778"/>
      <c r="H10" s="778"/>
      <c r="I10" s="778"/>
      <c r="J10" s="778"/>
      <c r="K10" s="778"/>
      <c r="L10" s="778"/>
      <c r="M10" s="778"/>
      <c r="N10" s="778"/>
      <c r="O10" s="778"/>
      <c r="P10" s="778"/>
      <c r="Q10" s="778"/>
      <c r="R10" s="778"/>
      <c r="S10" s="778"/>
      <c r="T10" s="778"/>
      <c r="U10" s="778"/>
      <c r="V10" s="778"/>
      <c r="W10" s="778"/>
      <c r="X10" s="778"/>
      <c r="Y10" s="778"/>
      <c r="Z10" s="778"/>
    </row>
    <row r="11" spans="1:38">
      <c r="A11" s="778"/>
      <c r="B11" s="778"/>
      <c r="C11" s="778"/>
      <c r="D11" s="778"/>
      <c r="E11" s="778"/>
      <c r="F11" s="778"/>
      <c r="G11" s="778"/>
      <c r="H11" s="778"/>
      <c r="I11" s="778"/>
      <c r="J11" s="778"/>
      <c r="K11" s="778"/>
      <c r="L11" s="778"/>
      <c r="M11" s="778"/>
      <c r="N11" s="778"/>
      <c r="O11" s="778"/>
      <c r="P11" s="778"/>
      <c r="Q11" s="778"/>
      <c r="R11" s="778"/>
      <c r="S11" s="778"/>
      <c r="T11" s="778"/>
      <c r="U11" s="778"/>
      <c r="V11" s="778"/>
      <c r="W11" s="778"/>
      <c r="X11" s="778"/>
      <c r="Y11" s="778"/>
      <c r="Z11" s="778"/>
    </row>
    <row r="12" spans="1:38">
      <c r="A12" s="778"/>
      <c r="B12" s="778"/>
      <c r="C12" s="778"/>
      <c r="D12" s="778"/>
      <c r="E12" s="778"/>
      <c r="F12" s="778"/>
      <c r="G12" s="778"/>
      <c r="H12" s="778"/>
      <c r="I12" s="778"/>
      <c r="J12" s="778"/>
      <c r="K12" s="778"/>
      <c r="L12" s="778"/>
      <c r="M12" s="778"/>
      <c r="N12" s="778"/>
      <c r="O12" s="778"/>
      <c r="P12" s="778"/>
      <c r="Q12" s="778"/>
      <c r="R12" s="778"/>
      <c r="S12" s="778"/>
      <c r="T12" s="778"/>
      <c r="U12" s="778"/>
      <c r="V12" s="778"/>
      <c r="W12" s="778"/>
      <c r="X12" s="778"/>
      <c r="Y12" s="778"/>
      <c r="Z12" s="778"/>
    </row>
    <row r="13" spans="1:38">
      <c r="A13" s="778"/>
      <c r="B13" s="778"/>
      <c r="C13" s="778"/>
      <c r="D13" s="778"/>
      <c r="E13" s="778"/>
      <c r="F13" s="778"/>
      <c r="G13" s="778"/>
      <c r="H13" s="778"/>
      <c r="I13" s="778"/>
      <c r="J13" s="778"/>
      <c r="K13" s="778"/>
      <c r="L13" s="778"/>
      <c r="M13" s="778"/>
      <c r="N13" s="778"/>
      <c r="O13" s="778"/>
      <c r="P13" s="778"/>
      <c r="Q13" s="778"/>
      <c r="R13" s="778"/>
      <c r="S13" s="778"/>
      <c r="T13" s="778"/>
      <c r="U13" s="778"/>
      <c r="V13" s="778"/>
      <c r="W13" s="778"/>
      <c r="X13" s="778"/>
      <c r="Y13" s="778"/>
      <c r="Z13" s="778"/>
    </row>
    <row r="14" spans="1:38">
      <c r="A14" s="778"/>
      <c r="B14" s="778"/>
      <c r="C14" s="778"/>
      <c r="D14" s="778"/>
      <c r="E14" s="778"/>
      <c r="F14" s="778"/>
      <c r="G14" s="778"/>
      <c r="H14" s="778"/>
      <c r="I14" s="778"/>
      <c r="J14" s="778"/>
      <c r="K14" s="778"/>
      <c r="L14" s="778"/>
      <c r="M14" s="778"/>
      <c r="N14" s="778"/>
      <c r="O14" s="778"/>
      <c r="P14" s="778"/>
      <c r="Q14" s="778"/>
      <c r="R14" s="778"/>
      <c r="S14" s="778"/>
      <c r="T14" s="778"/>
      <c r="U14" s="778"/>
      <c r="V14" s="778"/>
      <c r="W14" s="778"/>
      <c r="X14" s="778"/>
      <c r="Y14" s="778"/>
      <c r="Z14" s="778"/>
    </row>
    <row r="15" spans="1:38">
      <c r="A15" s="778"/>
      <c r="B15" s="778"/>
      <c r="C15" s="778"/>
      <c r="D15" s="778"/>
      <c r="E15" s="778"/>
      <c r="F15" s="778"/>
      <c r="G15" s="778"/>
      <c r="H15" s="778"/>
      <c r="I15" s="778"/>
      <c r="J15" s="778"/>
      <c r="K15" s="778"/>
      <c r="L15" s="778"/>
      <c r="M15" s="778"/>
      <c r="N15" s="778"/>
      <c r="O15" s="778"/>
      <c r="P15" s="778"/>
      <c r="Q15" s="778"/>
      <c r="R15" s="778"/>
      <c r="S15" s="778"/>
      <c r="T15" s="778"/>
      <c r="U15" s="778"/>
      <c r="V15" s="778"/>
      <c r="W15" s="778"/>
      <c r="X15" s="778"/>
      <c r="Y15" s="778"/>
      <c r="Z15" s="778"/>
    </row>
    <row r="16" spans="1:38">
      <c r="A16" s="778"/>
      <c r="B16" s="778"/>
      <c r="C16" s="778"/>
      <c r="D16" s="778"/>
      <c r="E16" s="778"/>
      <c r="F16" s="778"/>
      <c r="G16" s="778"/>
      <c r="H16" s="778"/>
      <c r="I16" s="778"/>
      <c r="J16" s="778"/>
      <c r="K16" s="778"/>
      <c r="L16" s="778"/>
      <c r="M16" s="778"/>
      <c r="N16" s="778"/>
      <c r="O16" s="778"/>
      <c r="P16" s="778"/>
      <c r="Q16" s="778"/>
      <c r="R16" s="778"/>
      <c r="S16" s="778"/>
      <c r="T16" s="778"/>
      <c r="U16" s="778"/>
      <c r="V16" s="778"/>
      <c r="W16" s="778"/>
      <c r="X16" s="778"/>
      <c r="Y16" s="778"/>
      <c r="Z16" s="778"/>
    </row>
    <row r="17" spans="1:26">
      <c r="A17" s="778"/>
      <c r="B17" s="778"/>
      <c r="C17" s="778"/>
      <c r="D17" s="778"/>
      <c r="E17" s="778"/>
      <c r="F17" s="778"/>
      <c r="G17" s="778"/>
      <c r="H17" s="778"/>
      <c r="I17" s="778"/>
      <c r="J17" s="778"/>
      <c r="K17" s="778"/>
      <c r="L17" s="778"/>
      <c r="M17" s="778"/>
      <c r="N17" s="778"/>
      <c r="O17" s="778"/>
      <c r="P17" s="778"/>
      <c r="Q17" s="778"/>
      <c r="R17" s="778"/>
      <c r="S17" s="778"/>
      <c r="T17" s="778"/>
      <c r="U17" s="778"/>
      <c r="V17" s="778"/>
      <c r="W17" s="778"/>
      <c r="X17" s="778"/>
      <c r="Y17" s="778"/>
      <c r="Z17" s="778"/>
    </row>
    <row r="18" spans="1:26">
      <c r="A18" s="778"/>
      <c r="B18" s="778"/>
      <c r="C18" s="778"/>
      <c r="D18" s="778"/>
      <c r="E18" s="778"/>
      <c r="F18" s="778"/>
      <c r="G18" s="778"/>
      <c r="H18" s="778"/>
      <c r="I18" s="778"/>
      <c r="J18" s="778"/>
      <c r="K18" s="778"/>
      <c r="L18" s="778"/>
      <c r="M18" s="778"/>
      <c r="N18" s="778"/>
      <c r="O18" s="778"/>
      <c r="P18" s="778"/>
      <c r="Q18" s="778"/>
      <c r="R18" s="778"/>
      <c r="S18" s="778"/>
      <c r="T18" s="778"/>
      <c r="U18" s="778"/>
      <c r="V18" s="778"/>
      <c r="W18" s="778"/>
      <c r="X18" s="778"/>
      <c r="Y18" s="778"/>
      <c r="Z18" s="778"/>
    </row>
    <row r="19" spans="1:26">
      <c r="A19" s="778"/>
      <c r="B19" s="778"/>
      <c r="C19" s="778"/>
      <c r="D19" s="778"/>
      <c r="E19" s="778"/>
      <c r="F19" s="778"/>
      <c r="G19" s="778"/>
      <c r="H19" s="778"/>
      <c r="I19" s="778"/>
      <c r="J19" s="778"/>
      <c r="K19" s="778"/>
      <c r="L19" s="778"/>
      <c r="M19" s="778"/>
      <c r="N19" s="778"/>
      <c r="O19" s="778"/>
      <c r="P19" s="778"/>
      <c r="Q19" s="778"/>
      <c r="R19" s="778"/>
      <c r="S19" s="778"/>
      <c r="T19" s="778"/>
      <c r="U19" s="778"/>
      <c r="V19" s="778"/>
      <c r="W19" s="778"/>
      <c r="X19" s="778"/>
      <c r="Y19" s="778"/>
      <c r="Z19" s="778"/>
    </row>
    <row r="20" spans="1:26">
      <c r="A20" s="778"/>
      <c r="B20" s="778"/>
      <c r="C20" s="778"/>
      <c r="D20" s="778"/>
      <c r="E20" s="778"/>
      <c r="F20" s="778"/>
      <c r="G20" s="778"/>
      <c r="H20" s="778"/>
      <c r="I20" s="778"/>
      <c r="J20" s="778"/>
      <c r="K20" s="778"/>
      <c r="L20" s="778"/>
      <c r="M20" s="778"/>
      <c r="N20" s="778"/>
      <c r="O20" s="778"/>
      <c r="P20" s="778"/>
      <c r="Q20" s="778"/>
      <c r="R20" s="778"/>
      <c r="S20" s="778"/>
      <c r="T20" s="778"/>
      <c r="U20" s="778"/>
      <c r="V20" s="778"/>
      <c r="W20" s="778"/>
      <c r="X20" s="778"/>
      <c r="Y20" s="778"/>
      <c r="Z20" s="778"/>
    </row>
    <row r="21" spans="1:26">
      <c r="A21" s="778"/>
      <c r="B21" s="778"/>
      <c r="C21" s="778"/>
      <c r="D21" s="778"/>
      <c r="E21" s="778"/>
      <c r="F21" s="778"/>
      <c r="G21" s="778"/>
      <c r="H21" s="778"/>
      <c r="I21" s="778"/>
      <c r="J21" s="778"/>
      <c r="K21" s="778"/>
      <c r="L21" s="778"/>
      <c r="M21" s="778"/>
      <c r="N21" s="778"/>
      <c r="O21" s="778"/>
      <c r="P21" s="778"/>
      <c r="Q21" s="778"/>
      <c r="R21" s="778"/>
      <c r="S21" s="778"/>
      <c r="T21" s="778"/>
      <c r="U21" s="778"/>
      <c r="V21" s="778"/>
      <c r="W21" s="778"/>
      <c r="X21" s="778"/>
      <c r="Y21" s="778"/>
      <c r="Z21" s="778"/>
    </row>
    <row r="22" spans="1:26">
      <c r="A22" s="778"/>
      <c r="B22" s="778"/>
      <c r="C22" s="778"/>
      <c r="D22" s="778"/>
      <c r="E22" s="778"/>
      <c r="F22" s="778"/>
      <c r="G22" s="778"/>
      <c r="H22" s="778"/>
      <c r="I22" s="778"/>
      <c r="J22" s="778"/>
      <c r="K22" s="778"/>
      <c r="L22" s="778"/>
      <c r="M22" s="778"/>
      <c r="N22" s="778"/>
      <c r="O22" s="778"/>
      <c r="P22" s="778"/>
      <c r="Q22" s="778"/>
      <c r="R22" s="778"/>
      <c r="S22" s="778"/>
      <c r="T22" s="778"/>
      <c r="U22" s="778"/>
      <c r="V22" s="778"/>
      <c r="W22" s="778"/>
      <c r="X22" s="778"/>
      <c r="Y22" s="778"/>
      <c r="Z22" s="778"/>
    </row>
    <row r="23" spans="1:26">
      <c r="A23" s="778"/>
      <c r="B23" s="778"/>
      <c r="C23" s="778"/>
      <c r="D23" s="778"/>
      <c r="E23" s="778"/>
      <c r="F23" s="778"/>
      <c r="G23" s="778"/>
      <c r="H23" s="778"/>
      <c r="I23" s="778"/>
      <c r="J23" s="778"/>
      <c r="K23" s="778"/>
      <c r="L23" s="778"/>
      <c r="M23" s="778"/>
      <c r="N23" s="778"/>
      <c r="O23" s="778"/>
      <c r="P23" s="778"/>
      <c r="Q23" s="778"/>
      <c r="R23" s="778"/>
      <c r="S23" s="778"/>
      <c r="T23" s="778"/>
      <c r="U23" s="778"/>
      <c r="V23" s="778"/>
      <c r="W23" s="778"/>
      <c r="X23" s="778"/>
      <c r="Y23" s="778"/>
      <c r="Z23" s="778"/>
    </row>
    <row r="24" spans="1:26">
      <c r="A24" s="778"/>
      <c r="B24" s="778"/>
      <c r="C24" s="778"/>
      <c r="D24" s="778"/>
      <c r="E24" s="778"/>
      <c r="F24" s="778"/>
      <c r="G24" s="778"/>
      <c r="H24" s="778"/>
      <c r="I24" s="778"/>
      <c r="J24" s="778"/>
      <c r="K24" s="778"/>
      <c r="L24" s="778"/>
      <c r="M24" s="778"/>
      <c r="N24" s="778"/>
      <c r="O24" s="778"/>
      <c r="P24" s="778"/>
      <c r="Q24" s="778"/>
      <c r="R24" s="778"/>
      <c r="S24" s="778"/>
      <c r="T24" s="778"/>
      <c r="U24" s="778"/>
      <c r="V24" s="778"/>
      <c r="W24" s="778"/>
      <c r="X24" s="778"/>
      <c r="Y24" s="778"/>
      <c r="Z24" s="778"/>
    </row>
    <row r="25" spans="1:26">
      <c r="A25" s="778"/>
      <c r="B25" s="778"/>
      <c r="C25" s="778"/>
      <c r="D25" s="778"/>
      <c r="E25" s="778"/>
      <c r="F25" s="778"/>
      <c r="G25" s="778"/>
      <c r="H25" s="778"/>
      <c r="I25" s="778"/>
      <c r="J25" s="778"/>
      <c r="K25" s="778"/>
      <c r="L25" s="778"/>
      <c r="M25" s="778"/>
      <c r="N25" s="778"/>
      <c r="O25" s="778"/>
      <c r="P25" s="778"/>
      <c r="Q25" s="778"/>
      <c r="R25" s="778"/>
      <c r="S25" s="778"/>
      <c r="T25" s="778"/>
      <c r="U25" s="778"/>
      <c r="V25" s="778"/>
      <c r="W25" s="778"/>
      <c r="X25" s="778"/>
      <c r="Y25" s="778"/>
      <c r="Z25" s="778"/>
    </row>
    <row r="26" spans="1:26">
      <c r="A26" s="778"/>
      <c r="B26" s="778"/>
      <c r="C26" s="778"/>
      <c r="D26" s="778"/>
      <c r="E26" s="778"/>
      <c r="F26" s="778"/>
      <c r="G26" s="778"/>
      <c r="H26" s="778"/>
      <c r="I26" s="778"/>
      <c r="J26" s="778"/>
      <c r="K26" s="778"/>
      <c r="L26" s="778"/>
      <c r="M26" s="778"/>
      <c r="N26" s="778"/>
      <c r="O26" s="778"/>
      <c r="P26" s="778"/>
      <c r="Q26" s="778"/>
      <c r="R26" s="778"/>
      <c r="S26" s="778"/>
      <c r="T26" s="778"/>
      <c r="U26" s="778"/>
      <c r="V26" s="778"/>
      <c r="W26" s="778"/>
      <c r="X26" s="778"/>
      <c r="Y26" s="778"/>
      <c r="Z26" s="778"/>
    </row>
    <row r="27" spans="1:26">
      <c r="A27" s="778"/>
      <c r="B27" s="778"/>
      <c r="C27" s="778"/>
      <c r="D27" s="778"/>
      <c r="E27" s="778"/>
      <c r="F27" s="778"/>
      <c r="G27" s="778"/>
      <c r="H27" s="778"/>
      <c r="I27" s="778"/>
      <c r="J27" s="778"/>
      <c r="K27" s="778"/>
      <c r="L27" s="778"/>
      <c r="M27" s="778"/>
      <c r="N27" s="778"/>
      <c r="O27" s="778"/>
      <c r="P27" s="778"/>
      <c r="Q27" s="778"/>
      <c r="R27" s="778"/>
      <c r="S27" s="778"/>
      <c r="T27" s="778"/>
      <c r="U27" s="778"/>
      <c r="V27" s="778"/>
      <c r="W27" s="778"/>
      <c r="X27" s="778"/>
      <c r="Y27" s="778"/>
      <c r="Z27" s="778"/>
    </row>
    <row r="28" spans="1:26">
      <c r="A28" s="778"/>
      <c r="B28" s="778"/>
      <c r="C28" s="778"/>
      <c r="D28" s="778"/>
      <c r="E28" s="778"/>
      <c r="F28" s="778"/>
      <c r="G28" s="778"/>
      <c r="H28" s="778"/>
      <c r="I28" s="778"/>
      <c r="J28" s="778"/>
      <c r="K28" s="778"/>
      <c r="L28" s="778"/>
      <c r="M28" s="778"/>
      <c r="N28" s="778"/>
      <c r="O28" s="778"/>
      <c r="P28" s="778"/>
      <c r="Q28" s="778"/>
      <c r="R28" s="778"/>
      <c r="S28" s="778"/>
      <c r="T28" s="778"/>
      <c r="U28" s="778"/>
      <c r="V28" s="778"/>
      <c r="W28" s="778"/>
      <c r="X28" s="778"/>
      <c r="Y28" s="778"/>
      <c r="Z28" s="778"/>
    </row>
    <row r="29" spans="1:26">
      <c r="A29" s="778"/>
      <c r="B29" s="778"/>
      <c r="C29" s="778"/>
      <c r="D29" s="778"/>
      <c r="E29" s="778"/>
      <c r="F29" s="778"/>
      <c r="G29" s="778"/>
      <c r="H29" s="778"/>
      <c r="I29" s="778"/>
      <c r="J29" s="778"/>
      <c r="K29" s="778"/>
      <c r="L29" s="778"/>
      <c r="M29" s="778"/>
      <c r="N29" s="778"/>
      <c r="O29" s="778"/>
      <c r="P29" s="778"/>
      <c r="Q29" s="778"/>
      <c r="R29" s="778"/>
      <c r="S29" s="778"/>
      <c r="T29" s="778"/>
      <c r="U29" s="778"/>
      <c r="V29" s="778"/>
      <c r="W29" s="778"/>
      <c r="X29" s="778"/>
      <c r="Y29" s="778"/>
      <c r="Z29" s="778"/>
    </row>
    <row r="30" spans="1:26">
      <c r="A30" s="778"/>
      <c r="B30" s="778"/>
      <c r="C30" s="778"/>
      <c r="D30" s="778"/>
      <c r="E30" s="778"/>
      <c r="F30" s="778"/>
      <c r="G30" s="778"/>
      <c r="H30" s="778"/>
      <c r="I30" s="778"/>
      <c r="J30" s="778"/>
      <c r="K30" s="778"/>
      <c r="L30" s="778"/>
      <c r="M30" s="778"/>
      <c r="N30" s="778"/>
      <c r="O30" s="778"/>
      <c r="P30" s="778"/>
      <c r="Q30" s="778"/>
      <c r="R30" s="778"/>
      <c r="S30" s="778"/>
      <c r="T30" s="778"/>
      <c r="U30" s="778"/>
      <c r="V30" s="778"/>
      <c r="W30" s="778"/>
      <c r="X30" s="778"/>
      <c r="Y30" s="778"/>
      <c r="Z30" s="778"/>
    </row>
    <row r="31" spans="1:26">
      <c r="A31" s="778"/>
      <c r="B31" s="778"/>
      <c r="C31" s="778"/>
      <c r="D31" s="778"/>
      <c r="E31" s="778"/>
      <c r="F31" s="778"/>
      <c r="G31" s="778"/>
      <c r="H31" s="778"/>
      <c r="I31" s="778"/>
      <c r="J31" s="778"/>
      <c r="K31" s="778"/>
      <c r="L31" s="778"/>
      <c r="M31" s="778"/>
      <c r="N31" s="778"/>
      <c r="O31" s="778"/>
      <c r="P31" s="778"/>
      <c r="Q31" s="778"/>
      <c r="R31" s="778"/>
      <c r="S31" s="778"/>
      <c r="T31" s="778"/>
      <c r="U31" s="778"/>
      <c r="V31" s="778"/>
      <c r="W31" s="778"/>
      <c r="X31" s="778"/>
      <c r="Y31" s="778"/>
      <c r="Z31" s="778"/>
    </row>
    <row r="32" spans="1:26">
      <c r="A32" s="778"/>
      <c r="B32" s="778"/>
      <c r="C32" s="778"/>
      <c r="D32" s="778"/>
      <c r="E32" s="778"/>
      <c r="F32" s="778"/>
      <c r="G32" s="778"/>
      <c r="H32" s="778"/>
      <c r="I32" s="778"/>
      <c r="J32" s="778"/>
      <c r="K32" s="778"/>
      <c r="L32" s="778"/>
      <c r="M32" s="778"/>
      <c r="N32" s="778"/>
      <c r="O32" s="778"/>
      <c r="P32" s="778"/>
      <c r="Q32" s="778"/>
      <c r="R32" s="778"/>
      <c r="S32" s="778"/>
      <c r="T32" s="778"/>
      <c r="U32" s="778"/>
      <c r="V32" s="778"/>
      <c r="W32" s="778"/>
      <c r="X32" s="778"/>
      <c r="Y32" s="778"/>
      <c r="Z32" s="778"/>
    </row>
    <row r="33" spans="1:26">
      <c r="A33" s="778"/>
      <c r="B33" s="778"/>
      <c r="C33" s="778"/>
      <c r="D33" s="778"/>
      <c r="E33" s="778"/>
      <c r="F33" s="778"/>
      <c r="G33" s="778"/>
      <c r="H33" s="778"/>
      <c r="I33" s="778"/>
      <c r="J33" s="778"/>
      <c r="K33" s="778"/>
      <c r="L33" s="778"/>
      <c r="M33" s="778"/>
      <c r="N33" s="778"/>
      <c r="O33" s="778"/>
      <c r="P33" s="778"/>
      <c r="Q33" s="778"/>
      <c r="R33" s="778"/>
      <c r="S33" s="778"/>
      <c r="T33" s="778"/>
      <c r="U33" s="778"/>
      <c r="V33" s="778"/>
      <c r="W33" s="778"/>
      <c r="X33" s="778"/>
      <c r="Y33" s="778"/>
      <c r="Z33" s="778"/>
    </row>
  </sheetData>
  <pageMargins left="0.7" right="0.7" top="0.75" bottom="0.75" header="0.3" footer="0.3"/>
  <pageSetup paperSize="9" orientation="portrait" verticalDpi="0" r:id="rId1"/>
  <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391"/>
  <sheetViews>
    <sheetView showGridLines="0" workbookViewId="0">
      <selection activeCell="L1" sqref="L1"/>
    </sheetView>
  </sheetViews>
  <sheetFormatPr defaultColWidth="9" defaultRowHeight="15"/>
  <cols>
    <col min="1" max="1" width="48.28515625" style="964" customWidth="1"/>
    <col min="2" max="16384" width="9" style="964"/>
  </cols>
  <sheetData>
    <row r="1" spans="1:23">
      <c r="A1" s="1769" t="s">
        <v>884</v>
      </c>
      <c r="B1" s="1769"/>
      <c r="C1" s="1769"/>
      <c r="D1" s="1769"/>
      <c r="E1" s="1769"/>
      <c r="F1" s="1769"/>
      <c r="G1" s="1769"/>
      <c r="H1" s="1769"/>
      <c r="I1" s="1769"/>
      <c r="J1" s="1769"/>
      <c r="L1" s="792" t="s">
        <v>883</v>
      </c>
    </row>
    <row r="2" spans="1:23">
      <c r="A2" s="982"/>
      <c r="B2" s="981">
        <v>2011</v>
      </c>
      <c r="C2" s="981">
        <v>2012</v>
      </c>
      <c r="D2" s="981">
        <v>2013</v>
      </c>
      <c r="E2" s="981">
        <v>2014</v>
      </c>
      <c r="F2" s="981">
        <v>2015</v>
      </c>
      <c r="G2" s="981" t="s">
        <v>541</v>
      </c>
      <c r="H2" s="981" t="s">
        <v>542</v>
      </c>
      <c r="I2" s="981" t="s">
        <v>543</v>
      </c>
      <c r="J2" s="981" t="s">
        <v>544</v>
      </c>
      <c r="K2" s="965"/>
    </row>
    <row r="3" spans="1:23">
      <c r="A3" s="979" t="s">
        <v>882</v>
      </c>
      <c r="B3" s="978">
        <v>2.4749965767785298</v>
      </c>
      <c r="C3" s="978">
        <v>8.4892228657084061</v>
      </c>
      <c r="D3" s="978">
        <v>2.5742977531301463</v>
      </c>
      <c r="E3" s="978">
        <v>-1.1158417658485007</v>
      </c>
      <c r="F3" s="978">
        <v>-1.1444923379871881</v>
      </c>
      <c r="G3" s="978">
        <v>0.98604885645402618</v>
      </c>
      <c r="H3" s="978">
        <v>-0.68550022580844683</v>
      </c>
      <c r="I3" s="980">
        <v>-1.1354234078142156</v>
      </c>
      <c r="J3" s="980">
        <v>-2.3657551027668973</v>
      </c>
      <c r="K3" s="974"/>
      <c r="U3" s="132"/>
      <c r="V3" s="132"/>
      <c r="W3" s="132"/>
    </row>
    <row r="4" spans="1:23">
      <c r="A4" s="977" t="s">
        <v>881</v>
      </c>
      <c r="B4" s="971">
        <v>-1.4254093244765107</v>
      </c>
      <c r="C4" s="971">
        <v>2.7201416133793286</v>
      </c>
      <c r="D4" s="971">
        <v>0.80840871811331994</v>
      </c>
      <c r="E4" s="971">
        <v>-1.8727261590637791</v>
      </c>
      <c r="F4" s="971">
        <v>-0.20758782488632832</v>
      </c>
      <c r="G4" s="971">
        <v>0.295838374092531</v>
      </c>
      <c r="H4" s="971">
        <v>-0.44720427274407193</v>
      </c>
      <c r="I4" s="970">
        <v>0.32438421385500682</v>
      </c>
      <c r="J4" s="970">
        <v>0.32054082116561489</v>
      </c>
      <c r="K4" s="974"/>
      <c r="U4" s="132"/>
      <c r="V4" s="132"/>
      <c r="W4" s="132"/>
    </row>
    <row r="5" spans="1:23">
      <c r="A5" s="979" t="s">
        <v>880</v>
      </c>
      <c r="B5" s="978">
        <f t="shared" ref="B5:J5" si="0">B3-B4</f>
        <v>3.9004059012550405</v>
      </c>
      <c r="C5" s="978">
        <f t="shared" si="0"/>
        <v>5.7690812523290775</v>
      </c>
      <c r="D5" s="978">
        <f t="shared" si="0"/>
        <v>1.7658890350168264</v>
      </c>
      <c r="E5" s="978">
        <f t="shared" si="0"/>
        <v>0.75688439321527845</v>
      </c>
      <c r="F5" s="978">
        <f t="shared" si="0"/>
        <v>-0.93690451310085976</v>
      </c>
      <c r="G5" s="978">
        <f t="shared" si="0"/>
        <v>0.69021048236149518</v>
      </c>
      <c r="H5" s="978">
        <f t="shared" si="0"/>
        <v>-0.2382959530643749</v>
      </c>
      <c r="I5" s="978">
        <f t="shared" si="0"/>
        <v>-1.4598076216692224</v>
      </c>
      <c r="J5" s="978">
        <f t="shared" si="0"/>
        <v>-2.6862959239325122</v>
      </c>
      <c r="K5" s="974"/>
      <c r="U5" s="132"/>
      <c r="V5" s="132"/>
      <c r="W5" s="132"/>
    </row>
    <row r="6" spans="1:23">
      <c r="A6" s="977" t="s">
        <v>879</v>
      </c>
      <c r="B6" s="971">
        <v>0.14507498527479515</v>
      </c>
      <c r="C6" s="971">
        <v>-0.78738060753608841</v>
      </c>
      <c r="D6" s="971">
        <v>-0.86871214581413758</v>
      </c>
      <c r="E6" s="971">
        <v>-0.33102834388463431</v>
      </c>
      <c r="F6" s="971">
        <v>-2.3982630834739775</v>
      </c>
      <c r="G6" s="971">
        <v>1.0282338715877803E-2</v>
      </c>
      <c r="H6" s="971">
        <v>-0.13584901441279262</v>
      </c>
      <c r="I6" s="970">
        <v>-0.13113890120573107</v>
      </c>
      <c r="J6" s="970">
        <v>-0.1295329395460173</v>
      </c>
      <c r="K6" s="974"/>
      <c r="U6" s="132"/>
      <c r="V6" s="132"/>
      <c r="W6" s="132"/>
    </row>
    <row r="7" spans="1:23">
      <c r="A7" s="976" t="s">
        <v>878</v>
      </c>
      <c r="B7" s="975">
        <f t="shared" ref="B7:J7" si="1">B5-B6</f>
        <v>3.7553309159802453</v>
      </c>
      <c r="C7" s="975">
        <f t="shared" si="1"/>
        <v>6.5564618598651663</v>
      </c>
      <c r="D7" s="975">
        <f t="shared" si="1"/>
        <v>2.634601180830964</v>
      </c>
      <c r="E7" s="975">
        <f t="shared" si="1"/>
        <v>1.0879127370999129</v>
      </c>
      <c r="F7" s="975">
        <f t="shared" si="1"/>
        <v>1.4613585703731178</v>
      </c>
      <c r="G7" s="975">
        <f t="shared" si="1"/>
        <v>0.67992814364561738</v>
      </c>
      <c r="H7" s="975">
        <f t="shared" si="1"/>
        <v>-0.10244693865158228</v>
      </c>
      <c r="I7" s="975">
        <f t="shared" si="1"/>
        <v>-1.3286687204634913</v>
      </c>
      <c r="J7" s="975">
        <f t="shared" si="1"/>
        <v>-2.556762984386495</v>
      </c>
      <c r="K7" s="974"/>
      <c r="L7" s="973"/>
      <c r="M7" s="973"/>
      <c r="N7" s="973"/>
      <c r="U7" s="132"/>
      <c r="V7" s="132"/>
      <c r="W7" s="132"/>
    </row>
    <row r="8" spans="1:23">
      <c r="A8" s="972" t="s">
        <v>877</v>
      </c>
      <c r="B8" s="971">
        <v>0.24440017443704409</v>
      </c>
      <c r="C8" s="971">
        <v>1.8175121781513679</v>
      </c>
      <c r="D8" s="971">
        <v>0.5403741949227383</v>
      </c>
      <c r="E8" s="971">
        <v>0.13457390153808488</v>
      </c>
      <c r="F8" s="971">
        <v>-0.14742214585642097</v>
      </c>
      <c r="G8" s="971">
        <v>0</v>
      </c>
      <c r="H8" s="971">
        <v>0</v>
      </c>
      <c r="I8" s="970">
        <v>0</v>
      </c>
      <c r="J8" s="970">
        <v>0</v>
      </c>
      <c r="K8" s="967"/>
    </row>
    <row r="9" spans="1:23">
      <c r="A9" s="969" t="s">
        <v>876</v>
      </c>
      <c r="B9" s="968">
        <f t="shared" ref="B9:J9" si="2">B7-B8</f>
        <v>3.5109307415432012</v>
      </c>
      <c r="C9" s="968">
        <f t="shared" si="2"/>
        <v>4.7389496817137982</v>
      </c>
      <c r="D9" s="968">
        <f t="shared" si="2"/>
        <v>2.0942269859082256</v>
      </c>
      <c r="E9" s="968">
        <f t="shared" si="2"/>
        <v>0.95333883556182797</v>
      </c>
      <c r="F9" s="968">
        <f t="shared" si="2"/>
        <v>1.6087807162295387</v>
      </c>
      <c r="G9" s="968">
        <f t="shared" si="2"/>
        <v>0.67992814364561738</v>
      </c>
      <c r="H9" s="968">
        <f t="shared" si="2"/>
        <v>-0.10244693865158228</v>
      </c>
      <c r="I9" s="968">
        <f t="shared" si="2"/>
        <v>-1.3286687204634913</v>
      </c>
      <c r="J9" s="968">
        <f t="shared" si="2"/>
        <v>-2.556762984386495</v>
      </c>
      <c r="K9" s="967"/>
    </row>
    <row r="10" spans="1:23">
      <c r="A10" s="965"/>
      <c r="B10" s="966"/>
      <c r="C10" s="966"/>
      <c r="D10" s="966"/>
      <c r="E10" s="966"/>
      <c r="F10" s="966"/>
      <c r="G10" s="1770" t="s">
        <v>875</v>
      </c>
      <c r="H10" s="1770"/>
      <c r="I10" s="1770"/>
      <c r="J10" s="1770"/>
    </row>
    <row r="11" spans="1:23">
      <c r="A11" s="965"/>
      <c r="B11" s="966"/>
      <c r="C11" s="966"/>
      <c r="D11" s="966"/>
      <c r="E11" s="966"/>
      <c r="F11" s="966"/>
      <c r="G11" s="966"/>
      <c r="H11" s="966"/>
      <c r="I11" s="966"/>
      <c r="J11" s="965"/>
    </row>
    <row r="12" spans="1:23">
      <c r="A12" s="965"/>
      <c r="B12" s="966"/>
      <c r="C12" s="966"/>
      <c r="D12" s="966"/>
      <c r="E12" s="966"/>
      <c r="F12" s="966"/>
      <c r="G12" s="966"/>
      <c r="H12" s="966"/>
      <c r="I12" s="966"/>
      <c r="J12" s="965"/>
    </row>
    <row r="13" spans="1:23">
      <c r="A13" s="965"/>
      <c r="B13" s="966"/>
      <c r="C13" s="966"/>
      <c r="D13" s="966"/>
      <c r="E13" s="966"/>
      <c r="F13" s="966"/>
      <c r="G13" s="966"/>
      <c r="H13" s="966"/>
      <c r="I13" s="966"/>
      <c r="J13" s="965"/>
    </row>
    <row r="14" spans="1:23">
      <c r="A14" s="965"/>
      <c r="B14" s="966"/>
      <c r="C14" s="966"/>
      <c r="D14" s="966"/>
      <c r="E14" s="966"/>
      <c r="F14" s="966"/>
      <c r="G14" s="966"/>
      <c r="H14" s="966"/>
      <c r="I14" s="966"/>
      <c r="J14" s="965"/>
    </row>
    <row r="15" spans="1:23">
      <c r="A15" s="965"/>
      <c r="B15" s="966"/>
      <c r="C15" s="966"/>
      <c r="D15" s="966"/>
      <c r="E15" s="966"/>
      <c r="F15" s="966"/>
      <c r="G15" s="966"/>
      <c r="H15" s="966"/>
      <c r="I15" s="966"/>
      <c r="J15" s="965"/>
    </row>
    <row r="16" spans="1:23">
      <c r="A16" s="965"/>
      <c r="B16" s="966"/>
      <c r="C16" s="966"/>
      <c r="D16" s="966"/>
      <c r="E16" s="966"/>
      <c r="F16" s="966"/>
      <c r="G16" s="966"/>
      <c r="H16" s="966"/>
      <c r="I16" s="966"/>
      <c r="J16" s="965"/>
    </row>
    <row r="17" spans="1:10">
      <c r="A17" s="965"/>
      <c r="B17" s="966"/>
      <c r="C17" s="966"/>
      <c r="D17" s="966"/>
      <c r="E17" s="966"/>
      <c r="F17" s="966"/>
      <c r="G17" s="966"/>
      <c r="H17" s="966"/>
      <c r="I17" s="966"/>
      <c r="J17" s="965"/>
    </row>
    <row r="18" spans="1:10">
      <c r="A18" s="965"/>
      <c r="B18" s="966"/>
      <c r="C18" s="966"/>
      <c r="D18" s="966"/>
      <c r="E18" s="966"/>
      <c r="F18" s="966"/>
      <c r="G18" s="966"/>
      <c r="H18" s="966"/>
      <c r="I18" s="966"/>
      <c r="J18" s="965"/>
    </row>
    <row r="19" spans="1:10">
      <c r="A19" s="965"/>
      <c r="B19" s="966"/>
      <c r="C19" s="966"/>
      <c r="D19" s="966"/>
      <c r="E19" s="966"/>
      <c r="F19" s="966"/>
      <c r="G19" s="966"/>
      <c r="H19" s="966"/>
      <c r="I19" s="966"/>
      <c r="J19" s="965"/>
    </row>
    <row r="20" spans="1:10">
      <c r="A20" s="965"/>
      <c r="B20" s="966"/>
      <c r="C20" s="966"/>
      <c r="D20" s="966"/>
      <c r="E20" s="966"/>
      <c r="F20" s="966"/>
      <c r="G20" s="966"/>
      <c r="H20" s="966"/>
      <c r="I20" s="966"/>
      <c r="J20" s="965"/>
    </row>
    <row r="21" spans="1:10">
      <c r="A21" s="965"/>
      <c r="B21" s="966"/>
      <c r="C21" s="966"/>
      <c r="D21" s="966"/>
      <c r="E21" s="966"/>
      <c r="F21" s="966"/>
      <c r="G21" s="966"/>
      <c r="H21" s="966"/>
      <c r="I21" s="966"/>
      <c r="J21" s="965"/>
    </row>
    <row r="22" spans="1:10">
      <c r="A22" s="965"/>
      <c r="B22" s="966"/>
      <c r="C22" s="966"/>
      <c r="D22" s="966"/>
      <c r="E22" s="966"/>
      <c r="F22" s="966"/>
      <c r="G22" s="966"/>
      <c r="H22" s="966"/>
      <c r="I22" s="966"/>
      <c r="J22" s="965"/>
    </row>
    <row r="23" spans="1:10">
      <c r="A23" s="965"/>
      <c r="B23" s="966"/>
      <c r="C23" s="966"/>
      <c r="D23" s="966"/>
      <c r="E23" s="966"/>
      <c r="F23" s="966"/>
      <c r="G23" s="966"/>
      <c r="H23" s="966"/>
      <c r="I23" s="966"/>
      <c r="J23" s="965"/>
    </row>
    <row r="24" spans="1:10">
      <c r="A24" s="965"/>
      <c r="B24" s="966"/>
      <c r="C24" s="966"/>
      <c r="D24" s="966"/>
      <c r="E24" s="966"/>
      <c r="F24" s="966"/>
      <c r="G24" s="966"/>
      <c r="H24" s="966"/>
      <c r="I24" s="966"/>
      <c r="J24" s="965"/>
    </row>
    <row r="25" spans="1:10">
      <c r="A25" s="965"/>
      <c r="B25" s="966"/>
      <c r="C25" s="966"/>
      <c r="D25" s="966"/>
      <c r="E25" s="966"/>
      <c r="F25" s="966"/>
      <c r="G25" s="966"/>
      <c r="H25" s="966"/>
      <c r="I25" s="966"/>
      <c r="J25" s="965"/>
    </row>
    <row r="26" spans="1:10">
      <c r="A26" s="965"/>
      <c r="B26" s="966"/>
      <c r="C26" s="966"/>
      <c r="D26" s="966"/>
      <c r="E26" s="966"/>
      <c r="F26" s="966"/>
      <c r="G26" s="966"/>
      <c r="H26" s="966"/>
      <c r="I26" s="966"/>
      <c r="J26" s="965"/>
    </row>
    <row r="27" spans="1:10">
      <c r="A27" s="965"/>
      <c r="B27" s="965"/>
      <c r="C27" s="965"/>
      <c r="D27" s="965"/>
      <c r="E27" s="965"/>
      <c r="F27" s="965"/>
      <c r="G27" s="965"/>
      <c r="H27" s="965"/>
      <c r="I27" s="965"/>
      <c r="J27" s="965"/>
    </row>
    <row r="28" spans="1:10">
      <c r="A28" s="965"/>
      <c r="B28" s="965"/>
      <c r="C28" s="965"/>
      <c r="D28" s="965"/>
      <c r="E28" s="965"/>
      <c r="F28" s="965"/>
      <c r="G28" s="965"/>
      <c r="H28" s="965"/>
      <c r="I28" s="965"/>
      <c r="J28" s="965"/>
    </row>
    <row r="29" spans="1:10">
      <c r="A29" s="965"/>
      <c r="B29" s="965"/>
      <c r="C29" s="965"/>
      <c r="D29" s="965"/>
      <c r="E29" s="965"/>
      <c r="F29" s="965"/>
      <c r="G29" s="965"/>
      <c r="H29" s="965"/>
      <c r="I29" s="965"/>
      <c r="J29" s="965"/>
    </row>
    <row r="30" spans="1:10">
      <c r="A30" s="965"/>
      <c r="B30" s="965"/>
      <c r="C30" s="965"/>
      <c r="D30" s="965"/>
      <c r="E30" s="965"/>
      <c r="F30" s="965"/>
      <c r="G30" s="965"/>
      <c r="H30" s="965"/>
      <c r="I30" s="965"/>
      <c r="J30" s="965"/>
    </row>
    <row r="31" spans="1:10">
      <c r="A31" s="965"/>
      <c r="B31" s="965"/>
      <c r="C31" s="965"/>
      <c r="D31" s="965"/>
      <c r="E31" s="965"/>
      <c r="F31" s="965"/>
      <c r="G31" s="965"/>
      <c r="H31" s="965"/>
      <c r="I31" s="965"/>
      <c r="J31" s="965"/>
    </row>
    <row r="32" spans="1:10">
      <c r="A32" s="965"/>
      <c r="B32" s="965"/>
      <c r="C32" s="965"/>
      <c r="D32" s="965"/>
      <c r="E32" s="965"/>
      <c r="F32" s="965"/>
      <c r="G32" s="965"/>
      <c r="H32" s="965"/>
      <c r="I32" s="965"/>
      <c r="J32" s="965"/>
    </row>
    <row r="33" spans="1:10">
      <c r="A33" s="965"/>
      <c r="B33" s="965"/>
      <c r="C33" s="965"/>
      <c r="D33" s="965"/>
      <c r="E33" s="965"/>
      <c r="F33" s="965"/>
      <c r="G33" s="965"/>
      <c r="H33" s="965"/>
      <c r="I33" s="965"/>
      <c r="J33" s="965"/>
    </row>
    <row r="34" spans="1:10">
      <c r="A34" s="965"/>
      <c r="B34" s="965"/>
      <c r="C34" s="965"/>
      <c r="D34" s="965"/>
      <c r="E34" s="965"/>
      <c r="F34" s="965"/>
      <c r="G34" s="965"/>
      <c r="H34" s="965"/>
      <c r="I34" s="965"/>
      <c r="J34" s="965"/>
    </row>
    <row r="35" spans="1:10">
      <c r="A35" s="965"/>
      <c r="B35" s="965"/>
      <c r="C35" s="965"/>
      <c r="D35" s="965"/>
      <c r="E35" s="965"/>
      <c r="F35" s="965"/>
      <c r="G35" s="965"/>
      <c r="H35" s="965"/>
      <c r="I35" s="965"/>
      <c r="J35" s="965"/>
    </row>
    <row r="36" spans="1:10">
      <c r="A36" s="965"/>
      <c r="B36" s="965"/>
      <c r="C36" s="965"/>
      <c r="D36" s="965"/>
      <c r="E36" s="965"/>
      <c r="F36" s="965"/>
      <c r="G36" s="965"/>
      <c r="H36" s="965"/>
      <c r="I36" s="965"/>
      <c r="J36" s="965"/>
    </row>
    <row r="37" spans="1:10">
      <c r="A37" s="965"/>
      <c r="B37" s="965"/>
      <c r="C37" s="965"/>
      <c r="D37" s="965"/>
      <c r="E37" s="965"/>
      <c r="F37" s="965"/>
      <c r="G37" s="965"/>
      <c r="H37" s="965"/>
      <c r="I37" s="965"/>
      <c r="J37" s="965"/>
    </row>
    <row r="38" spans="1:10">
      <c r="A38" s="965"/>
      <c r="B38" s="965"/>
      <c r="C38" s="965"/>
      <c r="D38" s="965"/>
      <c r="E38" s="965"/>
      <c r="F38" s="965"/>
      <c r="G38" s="965"/>
      <c r="H38" s="965"/>
      <c r="I38" s="965"/>
      <c r="J38" s="965"/>
    </row>
    <row r="39" spans="1:10">
      <c r="A39" s="965"/>
      <c r="B39" s="965"/>
      <c r="C39" s="965"/>
      <c r="D39" s="965"/>
      <c r="E39" s="965"/>
      <c r="F39" s="965"/>
      <c r="G39" s="965"/>
      <c r="H39" s="965"/>
      <c r="I39" s="965"/>
      <c r="J39" s="965"/>
    </row>
    <row r="40" spans="1:10">
      <c r="A40" s="965"/>
      <c r="B40" s="965"/>
      <c r="C40" s="965"/>
      <c r="D40" s="965"/>
      <c r="E40" s="965"/>
      <c r="F40" s="965"/>
      <c r="G40" s="965"/>
      <c r="H40" s="965"/>
      <c r="I40" s="965"/>
      <c r="J40" s="965"/>
    </row>
    <row r="41" spans="1:10">
      <c r="A41" s="965"/>
      <c r="B41" s="965"/>
      <c r="C41" s="965"/>
      <c r="D41" s="965"/>
      <c r="E41" s="965"/>
      <c r="F41" s="965"/>
      <c r="G41" s="965"/>
      <c r="H41" s="965"/>
      <c r="I41" s="965"/>
      <c r="J41" s="965"/>
    </row>
    <row r="42" spans="1:10">
      <c r="A42" s="965"/>
      <c r="B42" s="965"/>
      <c r="C42" s="965"/>
      <c r="D42" s="965"/>
      <c r="E42" s="965"/>
      <c r="F42" s="965"/>
      <c r="G42" s="965"/>
      <c r="H42" s="965"/>
      <c r="I42" s="965"/>
      <c r="J42" s="965"/>
    </row>
    <row r="43" spans="1:10">
      <c r="A43" s="965"/>
      <c r="B43" s="965"/>
      <c r="C43" s="965"/>
      <c r="D43" s="965"/>
      <c r="E43" s="965"/>
      <c r="F43" s="965"/>
      <c r="G43" s="965"/>
      <c r="H43" s="965"/>
      <c r="I43" s="965"/>
      <c r="J43" s="965"/>
    </row>
    <row r="44" spans="1:10">
      <c r="A44" s="965"/>
      <c r="B44" s="965"/>
      <c r="C44" s="965"/>
      <c r="D44" s="965"/>
      <c r="E44" s="965"/>
      <c r="F44" s="965"/>
      <c r="G44" s="965"/>
      <c r="H44" s="965"/>
      <c r="I44" s="965"/>
      <c r="J44" s="965"/>
    </row>
    <row r="45" spans="1:10">
      <c r="A45" s="965"/>
      <c r="B45" s="965"/>
      <c r="C45" s="965"/>
      <c r="D45" s="965"/>
      <c r="E45" s="965"/>
      <c r="F45" s="965"/>
      <c r="G45" s="965"/>
      <c r="H45" s="965"/>
      <c r="I45" s="965"/>
      <c r="J45" s="965"/>
    </row>
    <row r="46" spans="1:10">
      <c r="A46" s="965"/>
      <c r="B46" s="965"/>
      <c r="C46" s="965"/>
      <c r="D46" s="965"/>
      <c r="E46" s="965"/>
      <c r="F46" s="965"/>
      <c r="G46" s="965"/>
      <c r="H46" s="965"/>
      <c r="I46" s="965"/>
      <c r="J46" s="965"/>
    </row>
    <row r="47" spans="1:10">
      <c r="A47" s="965"/>
      <c r="B47" s="965"/>
      <c r="C47" s="965"/>
      <c r="D47" s="965"/>
      <c r="E47" s="965"/>
      <c r="F47" s="965"/>
      <c r="G47" s="965"/>
      <c r="H47" s="965"/>
      <c r="I47" s="965"/>
      <c r="J47" s="965"/>
    </row>
    <row r="48" spans="1:10">
      <c r="A48" s="965"/>
      <c r="B48" s="965"/>
      <c r="C48" s="965"/>
      <c r="D48" s="965"/>
      <c r="E48" s="965"/>
      <c r="F48" s="965"/>
      <c r="G48" s="965"/>
      <c r="H48" s="965"/>
      <c r="I48" s="965"/>
      <c r="J48" s="965"/>
    </row>
    <row r="49" spans="1:10">
      <c r="A49" s="965"/>
      <c r="B49" s="965"/>
      <c r="C49" s="965"/>
      <c r="D49" s="965"/>
      <c r="E49" s="965"/>
      <c r="F49" s="965"/>
      <c r="G49" s="965"/>
      <c r="H49" s="965"/>
      <c r="I49" s="965"/>
      <c r="J49" s="965"/>
    </row>
    <row r="50" spans="1:10">
      <c r="A50" s="965"/>
      <c r="B50" s="965"/>
      <c r="C50" s="965"/>
      <c r="D50" s="965"/>
      <c r="E50" s="965"/>
      <c r="F50" s="965"/>
      <c r="G50" s="965"/>
      <c r="H50" s="965"/>
      <c r="I50" s="965"/>
      <c r="J50" s="965"/>
    </row>
    <row r="51" spans="1:10">
      <c r="A51" s="965"/>
      <c r="B51" s="965"/>
      <c r="C51" s="965"/>
      <c r="D51" s="965"/>
      <c r="E51" s="965"/>
      <c r="F51" s="965"/>
      <c r="G51" s="965"/>
      <c r="H51" s="965"/>
      <c r="I51" s="965"/>
      <c r="J51" s="965"/>
    </row>
    <row r="52" spans="1:10">
      <c r="A52" s="965"/>
      <c r="B52" s="965"/>
      <c r="C52" s="965"/>
      <c r="D52" s="965"/>
      <c r="E52" s="965"/>
      <c r="F52" s="965"/>
      <c r="G52" s="965"/>
      <c r="H52" s="965"/>
      <c r="I52" s="965"/>
      <c r="J52" s="965"/>
    </row>
    <row r="53" spans="1:10">
      <c r="A53" s="965"/>
      <c r="B53" s="965"/>
      <c r="C53" s="965"/>
      <c r="D53" s="965"/>
      <c r="E53" s="965"/>
      <c r="F53" s="965"/>
      <c r="G53" s="965"/>
      <c r="H53" s="965"/>
      <c r="I53" s="965"/>
      <c r="J53" s="965"/>
    </row>
    <row r="54" spans="1:10">
      <c r="A54" s="965"/>
      <c r="B54" s="965"/>
      <c r="C54" s="965"/>
      <c r="D54" s="965"/>
      <c r="E54" s="965"/>
      <c r="F54" s="965"/>
      <c r="G54" s="965"/>
      <c r="H54" s="965"/>
      <c r="I54" s="965"/>
      <c r="J54" s="965"/>
    </row>
    <row r="55" spans="1:10">
      <c r="A55" s="965"/>
      <c r="B55" s="965"/>
      <c r="C55" s="965"/>
      <c r="D55" s="965"/>
      <c r="E55" s="965"/>
      <c r="F55" s="965"/>
      <c r="G55" s="965"/>
      <c r="H55" s="965"/>
      <c r="I55" s="965"/>
      <c r="J55" s="965"/>
    </row>
    <row r="56" spans="1:10">
      <c r="A56" s="965"/>
      <c r="B56" s="965"/>
      <c r="C56" s="965"/>
      <c r="D56" s="965"/>
      <c r="E56" s="965"/>
      <c r="F56" s="965"/>
      <c r="G56" s="965"/>
      <c r="H56" s="965"/>
      <c r="I56" s="965"/>
      <c r="J56" s="965"/>
    </row>
    <row r="57" spans="1:10">
      <c r="A57" s="965"/>
      <c r="B57" s="965"/>
      <c r="C57" s="965"/>
      <c r="D57" s="965"/>
      <c r="E57" s="965"/>
      <c r="F57" s="965"/>
      <c r="G57" s="965"/>
      <c r="H57" s="965"/>
      <c r="I57" s="965"/>
      <c r="J57" s="965"/>
    </row>
    <row r="58" spans="1:10">
      <c r="A58" s="965"/>
      <c r="B58" s="965"/>
      <c r="C58" s="965"/>
      <c r="D58" s="965"/>
      <c r="E58" s="965"/>
      <c r="F58" s="965"/>
      <c r="G58" s="965"/>
      <c r="H58" s="965"/>
      <c r="I58" s="965"/>
      <c r="J58" s="965"/>
    </row>
    <row r="59" spans="1:10">
      <c r="A59" s="965"/>
      <c r="B59" s="965"/>
      <c r="C59" s="965"/>
      <c r="D59" s="965"/>
      <c r="E59" s="965"/>
      <c r="F59" s="965"/>
      <c r="G59" s="965"/>
      <c r="H59" s="965"/>
      <c r="I59" s="965"/>
      <c r="J59" s="965"/>
    </row>
    <row r="60" spans="1:10">
      <c r="A60" s="965"/>
      <c r="B60" s="965"/>
      <c r="C60" s="965"/>
      <c r="D60" s="965"/>
      <c r="E60" s="965"/>
      <c r="F60" s="965"/>
      <c r="G60" s="965"/>
      <c r="H60" s="965"/>
      <c r="I60" s="965"/>
      <c r="J60" s="965"/>
    </row>
    <row r="61" spans="1:10">
      <c r="A61" s="965"/>
      <c r="B61" s="965"/>
      <c r="C61" s="965"/>
      <c r="D61" s="965"/>
      <c r="E61" s="965"/>
      <c r="F61" s="965"/>
      <c r="G61" s="965"/>
      <c r="H61" s="965"/>
      <c r="I61" s="965"/>
      <c r="J61" s="965"/>
    </row>
    <row r="62" spans="1:10">
      <c r="A62" s="965"/>
      <c r="B62" s="965"/>
      <c r="C62" s="965"/>
      <c r="D62" s="965"/>
      <c r="E62" s="965"/>
      <c r="F62" s="965"/>
      <c r="G62" s="965"/>
      <c r="H62" s="965"/>
      <c r="I62" s="965"/>
      <c r="J62" s="965"/>
    </row>
    <row r="63" spans="1:10">
      <c r="A63" s="965"/>
      <c r="B63" s="965"/>
      <c r="C63" s="965"/>
      <c r="D63" s="965"/>
      <c r="E63" s="965"/>
      <c r="F63" s="965"/>
      <c r="G63" s="965"/>
      <c r="H63" s="965"/>
      <c r="I63" s="965"/>
      <c r="J63" s="965"/>
    </row>
    <row r="64" spans="1:10">
      <c r="A64" s="965"/>
      <c r="B64" s="965"/>
      <c r="C64" s="965"/>
      <c r="D64" s="965"/>
      <c r="E64" s="965"/>
      <c r="F64" s="965"/>
      <c r="G64" s="965"/>
      <c r="H64" s="965"/>
      <c r="I64" s="965"/>
      <c r="J64" s="965"/>
    </row>
    <row r="65" spans="1:10">
      <c r="A65" s="965"/>
      <c r="B65" s="965"/>
      <c r="C65" s="965"/>
      <c r="D65" s="965"/>
      <c r="E65" s="965"/>
      <c r="F65" s="965"/>
      <c r="G65" s="965"/>
      <c r="H65" s="965"/>
      <c r="I65" s="965"/>
      <c r="J65" s="965"/>
    </row>
    <row r="66" spans="1:10">
      <c r="A66" s="965"/>
      <c r="B66" s="965"/>
      <c r="C66" s="965"/>
      <c r="D66" s="965"/>
      <c r="E66" s="965"/>
      <c r="F66" s="965"/>
      <c r="G66" s="965"/>
      <c r="H66" s="965"/>
      <c r="I66" s="965"/>
      <c r="J66" s="965"/>
    </row>
    <row r="67" spans="1:10">
      <c r="A67" s="965"/>
      <c r="B67" s="965"/>
      <c r="C67" s="965"/>
      <c r="D67" s="965"/>
      <c r="E67" s="965"/>
      <c r="F67" s="965"/>
      <c r="G67" s="965"/>
      <c r="H67" s="965"/>
      <c r="I67" s="965"/>
      <c r="J67" s="965"/>
    </row>
    <row r="68" spans="1:10">
      <c r="A68" s="965"/>
      <c r="B68" s="965"/>
      <c r="C68" s="965"/>
      <c r="D68" s="965"/>
      <c r="E68" s="965"/>
      <c r="F68" s="965"/>
      <c r="G68" s="965"/>
      <c r="H68" s="965"/>
      <c r="I68" s="965"/>
      <c r="J68" s="965"/>
    </row>
    <row r="69" spans="1:10">
      <c r="A69" s="965"/>
      <c r="B69" s="965"/>
      <c r="C69" s="965"/>
      <c r="D69" s="965"/>
      <c r="E69" s="965"/>
      <c r="F69" s="965"/>
      <c r="G69" s="965"/>
      <c r="H69" s="965"/>
      <c r="I69" s="965"/>
      <c r="J69" s="965"/>
    </row>
    <row r="70" spans="1:10">
      <c r="A70" s="965"/>
      <c r="B70" s="965"/>
      <c r="C70" s="965"/>
      <c r="D70" s="965"/>
      <c r="E70" s="965"/>
      <c r="F70" s="965"/>
      <c r="G70" s="965"/>
      <c r="H70" s="965"/>
      <c r="I70" s="965"/>
      <c r="J70" s="965"/>
    </row>
    <row r="71" spans="1:10">
      <c r="A71" s="965"/>
      <c r="B71" s="965"/>
      <c r="C71" s="965"/>
      <c r="D71" s="965"/>
      <c r="E71" s="965"/>
      <c r="F71" s="965"/>
      <c r="G71" s="965"/>
      <c r="H71" s="965"/>
      <c r="I71" s="965"/>
      <c r="J71" s="965"/>
    </row>
    <row r="72" spans="1:10">
      <c r="A72" s="965"/>
      <c r="B72" s="965"/>
      <c r="C72" s="965"/>
      <c r="D72" s="965"/>
      <c r="E72" s="965"/>
      <c r="F72" s="965"/>
      <c r="G72" s="965"/>
      <c r="H72" s="965"/>
      <c r="I72" s="965"/>
      <c r="J72" s="965"/>
    </row>
    <row r="73" spans="1:10">
      <c r="A73" s="965"/>
      <c r="B73" s="965"/>
      <c r="C73" s="965"/>
      <c r="D73" s="965"/>
      <c r="E73" s="965"/>
      <c r="F73" s="965"/>
      <c r="G73" s="965"/>
      <c r="H73" s="965"/>
      <c r="I73" s="965"/>
      <c r="J73" s="965"/>
    </row>
    <row r="74" spans="1:10">
      <c r="A74" s="965"/>
      <c r="B74" s="965"/>
      <c r="C74" s="965"/>
      <c r="D74" s="965"/>
      <c r="E74" s="965"/>
      <c r="F74" s="965"/>
      <c r="G74" s="965"/>
      <c r="H74" s="965"/>
      <c r="I74" s="965"/>
      <c r="J74" s="965"/>
    </row>
    <row r="75" spans="1:10">
      <c r="A75" s="965"/>
      <c r="B75" s="965"/>
      <c r="C75" s="965"/>
      <c r="D75" s="965"/>
      <c r="E75" s="965"/>
      <c r="F75" s="965"/>
      <c r="G75" s="965"/>
      <c r="H75" s="965"/>
      <c r="I75" s="965"/>
      <c r="J75" s="965"/>
    </row>
    <row r="76" spans="1:10">
      <c r="A76" s="965"/>
      <c r="B76" s="965"/>
      <c r="C76" s="965"/>
      <c r="D76" s="965"/>
      <c r="E76" s="965"/>
      <c r="F76" s="965"/>
      <c r="G76" s="965"/>
      <c r="H76" s="965"/>
      <c r="I76" s="965"/>
      <c r="J76" s="965"/>
    </row>
    <row r="77" spans="1:10">
      <c r="A77" s="965"/>
      <c r="B77" s="965"/>
      <c r="C77" s="965"/>
      <c r="D77" s="965"/>
      <c r="E77" s="965"/>
      <c r="F77" s="965"/>
      <c r="G77" s="965"/>
      <c r="H77" s="965"/>
      <c r="I77" s="965"/>
      <c r="J77" s="965"/>
    </row>
    <row r="78" spans="1:10">
      <c r="A78" s="965"/>
      <c r="B78" s="965"/>
      <c r="C78" s="965"/>
      <c r="D78" s="965"/>
      <c r="E78" s="965"/>
      <c r="F78" s="965"/>
      <c r="G78" s="965"/>
      <c r="H78" s="965"/>
      <c r="I78" s="965"/>
      <c r="J78" s="965"/>
    </row>
    <row r="79" spans="1:10">
      <c r="A79" s="965"/>
      <c r="B79" s="965"/>
      <c r="C79" s="965"/>
      <c r="D79" s="965"/>
      <c r="E79" s="965"/>
      <c r="F79" s="965"/>
      <c r="G79" s="965"/>
      <c r="H79" s="965"/>
      <c r="I79" s="965"/>
      <c r="J79" s="965"/>
    </row>
    <row r="80" spans="1:10">
      <c r="A80" s="965"/>
      <c r="B80" s="965"/>
      <c r="C80" s="965"/>
      <c r="D80" s="965"/>
      <c r="E80" s="965"/>
      <c r="F80" s="965"/>
      <c r="G80" s="965"/>
      <c r="H80" s="965"/>
      <c r="I80" s="965"/>
      <c r="J80" s="965"/>
    </row>
    <row r="81" spans="1:10">
      <c r="A81" s="965"/>
      <c r="B81" s="965"/>
      <c r="C81" s="965"/>
      <c r="D81" s="965"/>
      <c r="E81" s="965"/>
      <c r="F81" s="965"/>
      <c r="G81" s="965"/>
      <c r="H81" s="965"/>
      <c r="I81" s="965"/>
      <c r="J81" s="965"/>
    </row>
    <row r="82" spans="1:10">
      <c r="A82" s="965"/>
      <c r="B82" s="965"/>
      <c r="C82" s="965"/>
      <c r="D82" s="965"/>
      <c r="E82" s="965"/>
      <c r="F82" s="965"/>
      <c r="G82" s="965"/>
      <c r="H82" s="965"/>
      <c r="I82" s="965"/>
      <c r="J82" s="965"/>
    </row>
    <row r="83" spans="1:10">
      <c r="A83" s="965"/>
      <c r="B83" s="965"/>
      <c r="C83" s="965"/>
      <c r="D83" s="965"/>
      <c r="E83" s="965"/>
      <c r="F83" s="965"/>
      <c r="G83" s="965"/>
      <c r="H83" s="965"/>
      <c r="I83" s="965"/>
      <c r="J83" s="965"/>
    </row>
    <row r="84" spans="1:10">
      <c r="A84" s="965"/>
      <c r="B84" s="965"/>
      <c r="C84" s="965"/>
      <c r="D84" s="965"/>
      <c r="E84" s="965"/>
      <c r="F84" s="965"/>
      <c r="G84" s="965"/>
      <c r="H84" s="965"/>
      <c r="I84" s="965"/>
      <c r="J84" s="965"/>
    </row>
    <row r="85" spans="1:10">
      <c r="A85" s="965"/>
      <c r="B85" s="965"/>
      <c r="C85" s="965"/>
      <c r="D85" s="965"/>
      <c r="E85" s="965"/>
      <c r="F85" s="965"/>
      <c r="G85" s="965"/>
      <c r="H85" s="965"/>
      <c r="I85" s="965"/>
      <c r="J85" s="965"/>
    </row>
    <row r="86" spans="1:10">
      <c r="A86" s="965"/>
      <c r="B86" s="965"/>
      <c r="C86" s="965"/>
      <c r="D86" s="965"/>
      <c r="E86" s="965"/>
      <c r="F86" s="965"/>
      <c r="G86" s="965"/>
      <c r="H86" s="965"/>
      <c r="I86" s="965"/>
      <c r="J86" s="965"/>
    </row>
    <row r="87" spans="1:10">
      <c r="A87" s="965"/>
      <c r="B87" s="965"/>
      <c r="C87" s="965"/>
      <c r="D87" s="965"/>
      <c r="E87" s="965"/>
      <c r="F87" s="965"/>
      <c r="G87" s="965"/>
      <c r="H87" s="965"/>
      <c r="I87" s="965"/>
      <c r="J87" s="965"/>
    </row>
    <row r="88" spans="1:10">
      <c r="A88" s="965"/>
      <c r="B88" s="965"/>
      <c r="C88" s="965"/>
      <c r="D88" s="965"/>
      <c r="E88" s="965"/>
      <c r="F88" s="965"/>
      <c r="G88" s="965"/>
      <c r="H88" s="965"/>
      <c r="I88" s="965"/>
      <c r="J88" s="965"/>
    </row>
    <row r="89" spans="1:10">
      <c r="A89" s="965"/>
      <c r="B89" s="965"/>
      <c r="C89" s="965"/>
      <c r="D89" s="965"/>
      <c r="E89" s="965"/>
      <c r="F89" s="965"/>
      <c r="G89" s="965"/>
      <c r="H89" s="965"/>
      <c r="I89" s="965"/>
      <c r="J89" s="965"/>
    </row>
    <row r="90" spans="1:10">
      <c r="A90" s="965"/>
      <c r="B90" s="965"/>
      <c r="C90" s="965"/>
      <c r="D90" s="965"/>
      <c r="E90" s="965"/>
      <c r="F90" s="965"/>
      <c r="G90" s="965"/>
      <c r="H90" s="965"/>
      <c r="I90" s="965"/>
      <c r="J90" s="965"/>
    </row>
    <row r="91" spans="1:10">
      <c r="A91" s="965"/>
      <c r="B91" s="965"/>
      <c r="C91" s="965"/>
      <c r="D91" s="965"/>
      <c r="E91" s="965"/>
      <c r="F91" s="965"/>
      <c r="G91" s="965"/>
      <c r="H91" s="965"/>
      <c r="I91" s="965"/>
      <c r="J91" s="965"/>
    </row>
    <row r="92" spans="1:10">
      <c r="A92" s="965"/>
      <c r="B92" s="965"/>
      <c r="C92" s="965"/>
      <c r="D92" s="965"/>
      <c r="E92" s="965"/>
      <c r="F92" s="965"/>
      <c r="G92" s="965"/>
      <c r="H92" s="965"/>
      <c r="I92" s="965"/>
      <c r="J92" s="965"/>
    </row>
    <row r="93" spans="1:10">
      <c r="A93" s="965"/>
      <c r="B93" s="965"/>
      <c r="C93" s="965"/>
      <c r="D93" s="965"/>
      <c r="E93" s="965"/>
      <c r="F93" s="965"/>
      <c r="G93" s="965"/>
      <c r="H93" s="965"/>
      <c r="I93" s="965"/>
      <c r="J93" s="965"/>
    </row>
    <row r="94" spans="1:10">
      <c r="A94" s="965"/>
      <c r="B94" s="965"/>
      <c r="C94" s="965"/>
      <c r="D94" s="965"/>
      <c r="E94" s="965"/>
      <c r="F94" s="965"/>
      <c r="G94" s="965"/>
      <c r="H94" s="965"/>
      <c r="I94" s="965"/>
      <c r="J94" s="965"/>
    </row>
    <row r="95" spans="1:10">
      <c r="A95" s="965"/>
      <c r="B95" s="965"/>
      <c r="C95" s="965"/>
      <c r="D95" s="965"/>
      <c r="E95" s="965"/>
      <c r="F95" s="965"/>
      <c r="G95" s="965"/>
      <c r="H95" s="965"/>
      <c r="I95" s="965"/>
      <c r="J95" s="965"/>
    </row>
    <row r="96" spans="1:10">
      <c r="A96" s="965"/>
      <c r="B96" s="965"/>
      <c r="C96" s="965"/>
      <c r="D96" s="965"/>
      <c r="E96" s="965"/>
      <c r="F96" s="965"/>
      <c r="G96" s="965"/>
      <c r="H96" s="965"/>
      <c r="I96" s="965"/>
      <c r="J96" s="965"/>
    </row>
    <row r="97" spans="1:10">
      <c r="A97" s="965"/>
      <c r="B97" s="965"/>
      <c r="C97" s="965"/>
      <c r="D97" s="965"/>
      <c r="E97" s="965"/>
      <c r="F97" s="965"/>
      <c r="G97" s="965"/>
      <c r="H97" s="965"/>
      <c r="I97" s="965"/>
      <c r="J97" s="965"/>
    </row>
    <row r="98" spans="1:10">
      <c r="A98" s="965"/>
      <c r="B98" s="965"/>
      <c r="C98" s="965"/>
      <c r="D98" s="965"/>
      <c r="E98" s="965"/>
      <c r="F98" s="965"/>
      <c r="G98" s="965"/>
      <c r="H98" s="965"/>
      <c r="I98" s="965"/>
      <c r="J98" s="965"/>
    </row>
    <row r="99" spans="1:10">
      <c r="A99" s="965"/>
      <c r="B99" s="965"/>
      <c r="C99" s="965"/>
      <c r="D99" s="965"/>
      <c r="E99" s="965"/>
      <c r="F99" s="965"/>
      <c r="G99" s="965"/>
      <c r="H99" s="965"/>
      <c r="I99" s="965"/>
      <c r="J99" s="965"/>
    </row>
    <row r="100" spans="1:10">
      <c r="A100" s="965"/>
      <c r="B100" s="965"/>
      <c r="C100" s="965"/>
      <c r="D100" s="965"/>
      <c r="E100" s="965"/>
      <c r="F100" s="965"/>
      <c r="G100" s="965"/>
      <c r="H100" s="965"/>
      <c r="I100" s="965"/>
      <c r="J100" s="965"/>
    </row>
    <row r="101" spans="1:10">
      <c r="A101" s="965"/>
      <c r="B101" s="965"/>
      <c r="C101" s="965"/>
      <c r="D101" s="965"/>
      <c r="E101" s="965"/>
      <c r="F101" s="965"/>
      <c r="G101" s="965"/>
      <c r="H101" s="965"/>
      <c r="I101" s="965"/>
      <c r="J101" s="965"/>
    </row>
    <row r="102" spans="1:10">
      <c r="A102" s="965"/>
      <c r="B102" s="965"/>
      <c r="C102" s="965"/>
      <c r="D102" s="965"/>
      <c r="E102" s="965"/>
      <c r="F102" s="965"/>
      <c r="G102" s="965"/>
      <c r="H102" s="965"/>
      <c r="I102" s="965"/>
      <c r="J102" s="965"/>
    </row>
    <row r="103" spans="1:10">
      <c r="A103" s="965"/>
      <c r="B103" s="965"/>
      <c r="C103" s="965"/>
      <c r="D103" s="965"/>
      <c r="E103" s="965"/>
      <c r="F103" s="965"/>
      <c r="G103" s="965"/>
      <c r="H103" s="965"/>
      <c r="I103" s="965"/>
      <c r="J103" s="965"/>
    </row>
    <row r="104" spans="1:10">
      <c r="A104" s="965"/>
      <c r="B104" s="965"/>
      <c r="C104" s="965"/>
      <c r="D104" s="965"/>
      <c r="E104" s="965"/>
      <c r="F104" s="965"/>
      <c r="G104" s="965"/>
      <c r="H104" s="965"/>
      <c r="I104" s="965"/>
      <c r="J104" s="965"/>
    </row>
    <row r="105" spans="1:10">
      <c r="A105" s="965"/>
      <c r="B105" s="965"/>
      <c r="C105" s="965"/>
      <c r="D105" s="965"/>
      <c r="E105" s="965"/>
      <c r="F105" s="965"/>
      <c r="G105" s="965"/>
      <c r="H105" s="965"/>
      <c r="I105" s="965"/>
      <c r="J105" s="965"/>
    </row>
    <row r="106" spans="1:10">
      <c r="A106" s="965"/>
      <c r="B106" s="965"/>
      <c r="C106" s="965"/>
      <c r="D106" s="965"/>
      <c r="E106" s="965"/>
      <c r="F106" s="965"/>
      <c r="G106" s="965"/>
      <c r="H106" s="965"/>
      <c r="I106" s="965"/>
      <c r="J106" s="965"/>
    </row>
    <row r="107" spans="1:10">
      <c r="A107" s="965"/>
      <c r="B107" s="965"/>
      <c r="C107" s="965"/>
      <c r="D107" s="965"/>
      <c r="E107" s="965"/>
      <c r="F107" s="965"/>
      <c r="G107" s="965"/>
      <c r="H107" s="965"/>
      <c r="I107" s="965"/>
      <c r="J107" s="965"/>
    </row>
    <row r="108" spans="1:10">
      <c r="A108" s="965"/>
      <c r="B108" s="965"/>
      <c r="C108" s="965"/>
      <c r="D108" s="965"/>
      <c r="E108" s="965"/>
      <c r="F108" s="965"/>
      <c r="G108" s="965"/>
      <c r="H108" s="965"/>
      <c r="I108" s="965"/>
      <c r="J108" s="965"/>
    </row>
    <row r="109" spans="1:10">
      <c r="A109" s="965"/>
      <c r="B109" s="965"/>
      <c r="C109" s="965"/>
      <c r="D109" s="965"/>
      <c r="E109" s="965"/>
      <c r="F109" s="965"/>
      <c r="G109" s="965"/>
      <c r="H109" s="965"/>
      <c r="I109" s="965"/>
      <c r="J109" s="965"/>
    </row>
    <row r="110" spans="1:10">
      <c r="A110" s="965"/>
      <c r="B110" s="965"/>
      <c r="C110" s="965"/>
      <c r="D110" s="965"/>
      <c r="E110" s="965"/>
      <c r="F110" s="965"/>
      <c r="G110" s="965"/>
      <c r="H110" s="965"/>
      <c r="I110" s="965"/>
      <c r="J110" s="965"/>
    </row>
    <row r="111" spans="1:10">
      <c r="A111" s="965"/>
      <c r="B111" s="965"/>
      <c r="C111" s="965"/>
      <c r="D111" s="965"/>
      <c r="E111" s="965"/>
      <c r="F111" s="965"/>
      <c r="G111" s="965"/>
      <c r="H111" s="965"/>
      <c r="I111" s="965"/>
      <c r="J111" s="965"/>
    </row>
    <row r="112" spans="1:10">
      <c r="A112" s="965"/>
      <c r="B112" s="965"/>
      <c r="C112" s="965"/>
      <c r="D112" s="965"/>
      <c r="E112" s="965"/>
      <c r="F112" s="965"/>
      <c r="G112" s="965"/>
      <c r="H112" s="965"/>
      <c r="I112" s="965"/>
      <c r="J112" s="965"/>
    </row>
    <row r="113" spans="1:10">
      <c r="A113" s="965"/>
      <c r="B113" s="965"/>
      <c r="C113" s="965"/>
      <c r="D113" s="965"/>
      <c r="E113" s="965"/>
      <c r="F113" s="965"/>
      <c r="G113" s="965"/>
      <c r="H113" s="965"/>
      <c r="I113" s="965"/>
      <c r="J113" s="965"/>
    </row>
    <row r="114" spans="1:10">
      <c r="A114" s="965"/>
      <c r="B114" s="965"/>
      <c r="C114" s="965"/>
      <c r="D114" s="965"/>
      <c r="E114" s="965"/>
      <c r="F114" s="965"/>
      <c r="G114" s="965"/>
      <c r="H114" s="965"/>
      <c r="I114" s="965"/>
      <c r="J114" s="965"/>
    </row>
    <row r="115" spans="1:10">
      <c r="A115" s="965"/>
      <c r="B115" s="965"/>
      <c r="C115" s="965"/>
      <c r="D115" s="965"/>
      <c r="E115" s="965"/>
      <c r="F115" s="965"/>
      <c r="G115" s="965"/>
      <c r="H115" s="965"/>
      <c r="I115" s="965"/>
      <c r="J115" s="965"/>
    </row>
    <row r="116" spans="1:10">
      <c r="A116" s="965"/>
      <c r="B116" s="965"/>
      <c r="C116" s="965"/>
      <c r="D116" s="965"/>
      <c r="E116" s="965"/>
      <c r="F116" s="965"/>
      <c r="G116" s="965"/>
      <c r="H116" s="965"/>
      <c r="I116" s="965"/>
      <c r="J116" s="965"/>
    </row>
    <row r="117" spans="1:10">
      <c r="A117" s="965"/>
      <c r="B117" s="965"/>
      <c r="C117" s="965"/>
      <c r="D117" s="965"/>
      <c r="E117" s="965"/>
      <c r="F117" s="965"/>
      <c r="G117" s="965"/>
      <c r="H117" s="965"/>
      <c r="I117" s="965"/>
      <c r="J117" s="965"/>
    </row>
    <row r="118" spans="1:10">
      <c r="A118" s="965"/>
      <c r="B118" s="965"/>
      <c r="C118" s="965"/>
      <c r="D118" s="965"/>
      <c r="E118" s="965"/>
      <c r="F118" s="965"/>
      <c r="G118" s="965"/>
      <c r="H118" s="965"/>
      <c r="I118" s="965"/>
      <c r="J118" s="965"/>
    </row>
    <row r="119" spans="1:10">
      <c r="A119" s="965"/>
      <c r="B119" s="965"/>
      <c r="C119" s="965"/>
      <c r="D119" s="965"/>
      <c r="E119" s="965"/>
      <c r="F119" s="965"/>
      <c r="G119" s="965"/>
      <c r="H119" s="965"/>
      <c r="I119" s="965"/>
      <c r="J119" s="965"/>
    </row>
    <row r="120" spans="1:10">
      <c r="A120" s="965"/>
      <c r="B120" s="965"/>
      <c r="C120" s="965"/>
      <c r="D120" s="965"/>
      <c r="E120" s="965"/>
      <c r="F120" s="965"/>
      <c r="G120" s="965"/>
      <c r="H120" s="965"/>
      <c r="I120" s="965"/>
      <c r="J120" s="965"/>
    </row>
    <row r="121" spans="1:10">
      <c r="A121" s="965"/>
      <c r="B121" s="965"/>
      <c r="C121" s="965"/>
      <c r="D121" s="965"/>
      <c r="E121" s="965"/>
      <c r="F121" s="965"/>
      <c r="G121" s="965"/>
      <c r="H121" s="965"/>
      <c r="I121" s="965"/>
      <c r="J121" s="965"/>
    </row>
    <row r="122" spans="1:10">
      <c r="A122" s="965"/>
      <c r="B122" s="965"/>
      <c r="C122" s="965"/>
      <c r="D122" s="965"/>
      <c r="E122" s="965"/>
      <c r="F122" s="965"/>
      <c r="G122" s="965"/>
      <c r="H122" s="965"/>
      <c r="I122" s="965"/>
      <c r="J122" s="965"/>
    </row>
    <row r="123" spans="1:10">
      <c r="A123" s="965"/>
      <c r="B123" s="965"/>
      <c r="C123" s="965"/>
      <c r="D123" s="965"/>
      <c r="E123" s="965"/>
      <c r="F123" s="965"/>
      <c r="G123" s="965"/>
      <c r="H123" s="965"/>
      <c r="I123" s="965"/>
      <c r="J123" s="965"/>
    </row>
    <row r="124" spans="1:10">
      <c r="A124" s="965"/>
      <c r="B124" s="965"/>
      <c r="C124" s="965"/>
      <c r="D124" s="965"/>
      <c r="E124" s="965"/>
      <c r="F124" s="965"/>
      <c r="G124" s="965"/>
      <c r="H124" s="965"/>
      <c r="I124" s="965"/>
      <c r="J124" s="965"/>
    </row>
    <row r="125" spans="1:10">
      <c r="A125" s="965"/>
      <c r="B125" s="965"/>
      <c r="C125" s="965"/>
      <c r="D125" s="965"/>
      <c r="E125" s="965"/>
      <c r="F125" s="965"/>
      <c r="G125" s="965"/>
      <c r="H125" s="965"/>
      <c r="I125" s="965"/>
      <c r="J125" s="965"/>
    </row>
    <row r="126" spans="1:10">
      <c r="A126" s="965"/>
      <c r="B126" s="965"/>
      <c r="C126" s="965"/>
      <c r="D126" s="965"/>
      <c r="E126" s="965"/>
      <c r="F126" s="965"/>
      <c r="G126" s="965"/>
      <c r="H126" s="965"/>
      <c r="I126" s="965"/>
      <c r="J126" s="965"/>
    </row>
    <row r="127" spans="1:10">
      <c r="A127" s="965"/>
      <c r="B127" s="965"/>
      <c r="C127" s="965"/>
      <c r="D127" s="965"/>
      <c r="E127" s="965"/>
      <c r="F127" s="965"/>
      <c r="G127" s="965"/>
      <c r="H127" s="965"/>
      <c r="I127" s="965"/>
      <c r="J127" s="965"/>
    </row>
    <row r="128" spans="1:10">
      <c r="A128" s="965"/>
      <c r="B128" s="965"/>
      <c r="C128" s="965"/>
      <c r="D128" s="965"/>
      <c r="E128" s="965"/>
      <c r="F128" s="965"/>
      <c r="G128" s="965"/>
      <c r="H128" s="965"/>
      <c r="I128" s="965"/>
      <c r="J128" s="965"/>
    </row>
    <row r="129" spans="1:10">
      <c r="A129" s="965"/>
      <c r="B129" s="965"/>
      <c r="C129" s="965"/>
      <c r="D129" s="965"/>
      <c r="E129" s="965"/>
      <c r="F129" s="965"/>
      <c r="G129" s="965"/>
      <c r="H129" s="965"/>
      <c r="I129" s="965"/>
      <c r="J129" s="965"/>
    </row>
    <row r="130" spans="1:10">
      <c r="A130" s="965"/>
      <c r="B130" s="965"/>
      <c r="C130" s="965"/>
      <c r="D130" s="965"/>
      <c r="E130" s="965"/>
      <c r="F130" s="965"/>
      <c r="G130" s="965"/>
      <c r="H130" s="965"/>
      <c r="I130" s="965"/>
      <c r="J130" s="965"/>
    </row>
    <row r="131" spans="1:10">
      <c r="A131" s="965"/>
      <c r="B131" s="965"/>
      <c r="C131" s="965"/>
      <c r="D131" s="965"/>
      <c r="E131" s="965"/>
      <c r="F131" s="965"/>
      <c r="G131" s="965"/>
      <c r="H131" s="965"/>
      <c r="I131" s="965"/>
      <c r="J131" s="965"/>
    </row>
    <row r="132" spans="1:10">
      <c r="A132" s="965"/>
      <c r="B132" s="965"/>
      <c r="C132" s="965"/>
      <c r="D132" s="965"/>
      <c r="E132" s="965"/>
      <c r="F132" s="965"/>
      <c r="G132" s="965"/>
      <c r="H132" s="965"/>
      <c r="I132" s="965"/>
      <c r="J132" s="965"/>
    </row>
    <row r="133" spans="1:10">
      <c r="A133" s="965"/>
      <c r="B133" s="965"/>
      <c r="C133" s="965"/>
      <c r="D133" s="965"/>
      <c r="E133" s="965"/>
      <c r="F133" s="965"/>
      <c r="G133" s="965"/>
      <c r="H133" s="965"/>
      <c r="I133" s="965"/>
      <c r="J133" s="965"/>
    </row>
    <row r="134" spans="1:10">
      <c r="A134" s="965"/>
      <c r="B134" s="965"/>
      <c r="C134" s="965"/>
      <c r="D134" s="965"/>
      <c r="E134" s="965"/>
      <c r="F134" s="965"/>
      <c r="G134" s="965"/>
      <c r="H134" s="965"/>
      <c r="I134" s="965"/>
      <c r="J134" s="965"/>
    </row>
    <row r="135" spans="1:10">
      <c r="A135" s="965"/>
      <c r="B135" s="965"/>
      <c r="C135" s="965"/>
      <c r="D135" s="965"/>
      <c r="E135" s="965"/>
      <c r="F135" s="965"/>
      <c r="G135" s="965"/>
      <c r="H135" s="965"/>
      <c r="I135" s="965"/>
      <c r="J135" s="965"/>
    </row>
    <row r="136" spans="1:10">
      <c r="A136" s="965"/>
      <c r="B136" s="965"/>
      <c r="C136" s="965"/>
      <c r="D136" s="965"/>
      <c r="E136" s="965"/>
      <c r="F136" s="965"/>
      <c r="G136" s="965"/>
      <c r="H136" s="965"/>
      <c r="I136" s="965"/>
      <c r="J136" s="965"/>
    </row>
    <row r="137" spans="1:10">
      <c r="A137" s="965"/>
      <c r="B137" s="965"/>
      <c r="C137" s="965"/>
      <c r="D137" s="965"/>
      <c r="E137" s="965"/>
      <c r="F137" s="965"/>
      <c r="G137" s="965"/>
      <c r="H137" s="965"/>
      <c r="I137" s="965"/>
      <c r="J137" s="965"/>
    </row>
    <row r="138" spans="1:10">
      <c r="A138" s="965"/>
      <c r="B138" s="965"/>
      <c r="C138" s="965"/>
      <c r="D138" s="965"/>
      <c r="E138" s="965"/>
      <c r="F138" s="965"/>
      <c r="G138" s="965"/>
      <c r="H138" s="965"/>
      <c r="I138" s="965"/>
      <c r="J138" s="965"/>
    </row>
    <row r="139" spans="1:10">
      <c r="A139" s="965"/>
      <c r="B139" s="965"/>
      <c r="C139" s="965"/>
      <c r="D139" s="965"/>
      <c r="E139" s="965"/>
      <c r="F139" s="965"/>
      <c r="G139" s="965"/>
      <c r="H139" s="965"/>
      <c r="I139" s="965"/>
      <c r="J139" s="965"/>
    </row>
    <row r="140" spans="1:10">
      <c r="A140" s="965"/>
      <c r="B140" s="965"/>
      <c r="C140" s="965"/>
      <c r="D140" s="965"/>
      <c r="E140" s="965"/>
      <c r="F140" s="965"/>
      <c r="G140" s="965"/>
      <c r="H140" s="965"/>
      <c r="I140" s="965"/>
      <c r="J140" s="965"/>
    </row>
    <row r="141" spans="1:10">
      <c r="A141" s="965"/>
      <c r="B141" s="965"/>
      <c r="C141" s="965"/>
      <c r="D141" s="965"/>
      <c r="E141" s="965"/>
      <c r="F141" s="965"/>
      <c r="G141" s="965"/>
      <c r="H141" s="965"/>
      <c r="I141" s="965"/>
      <c r="J141" s="965"/>
    </row>
    <row r="142" spans="1:10">
      <c r="A142" s="965"/>
      <c r="B142" s="965"/>
      <c r="C142" s="965"/>
      <c r="D142" s="965"/>
      <c r="E142" s="965"/>
      <c r="F142" s="965"/>
      <c r="G142" s="965"/>
      <c r="H142" s="965"/>
      <c r="I142" s="965"/>
      <c r="J142" s="965"/>
    </row>
    <row r="143" spans="1:10">
      <c r="A143" s="965"/>
      <c r="B143" s="965"/>
      <c r="C143" s="965"/>
      <c r="D143" s="965"/>
      <c r="E143" s="965"/>
      <c r="F143" s="965"/>
      <c r="G143" s="965"/>
      <c r="H143" s="965"/>
      <c r="I143" s="965"/>
      <c r="J143" s="965"/>
    </row>
    <row r="144" spans="1:10">
      <c r="A144" s="965"/>
      <c r="B144" s="965"/>
      <c r="C144" s="965"/>
      <c r="D144" s="965"/>
      <c r="E144" s="965"/>
      <c r="F144" s="965"/>
      <c r="G144" s="965"/>
      <c r="H144" s="965"/>
      <c r="I144" s="965"/>
      <c r="J144" s="965"/>
    </row>
    <row r="145" spans="1:10">
      <c r="A145" s="965"/>
      <c r="B145" s="965"/>
      <c r="C145" s="965"/>
      <c r="D145" s="965"/>
      <c r="E145" s="965"/>
      <c r="F145" s="965"/>
      <c r="G145" s="965"/>
      <c r="H145" s="965"/>
      <c r="I145" s="965"/>
      <c r="J145" s="965"/>
    </row>
    <row r="146" spans="1:10">
      <c r="A146" s="965"/>
      <c r="B146" s="965"/>
      <c r="C146" s="965"/>
      <c r="D146" s="965"/>
      <c r="E146" s="965"/>
      <c r="F146" s="965"/>
      <c r="G146" s="965"/>
      <c r="H146" s="965"/>
      <c r="I146" s="965"/>
      <c r="J146" s="965"/>
    </row>
    <row r="147" spans="1:10">
      <c r="A147" s="965"/>
      <c r="B147" s="965"/>
      <c r="C147" s="965"/>
      <c r="D147" s="965"/>
      <c r="E147" s="965"/>
      <c r="F147" s="965"/>
      <c r="G147" s="965"/>
      <c r="H147" s="965"/>
      <c r="I147" s="965"/>
      <c r="J147" s="965"/>
    </row>
    <row r="148" spans="1:10">
      <c r="A148" s="965"/>
      <c r="B148" s="965"/>
      <c r="C148" s="965"/>
      <c r="D148" s="965"/>
      <c r="E148" s="965"/>
      <c r="F148" s="965"/>
      <c r="G148" s="965"/>
      <c r="H148" s="965"/>
      <c r="I148" s="965"/>
      <c r="J148" s="965"/>
    </row>
    <row r="149" spans="1:10">
      <c r="A149" s="965"/>
      <c r="B149" s="965"/>
      <c r="C149" s="965"/>
      <c r="D149" s="965"/>
      <c r="E149" s="965"/>
      <c r="F149" s="965"/>
      <c r="G149" s="965"/>
      <c r="H149" s="965"/>
      <c r="I149" s="965"/>
      <c r="J149" s="965"/>
    </row>
    <row r="150" spans="1:10">
      <c r="A150" s="965"/>
      <c r="B150" s="965"/>
      <c r="C150" s="965"/>
      <c r="D150" s="965"/>
      <c r="E150" s="965"/>
      <c r="F150" s="965"/>
      <c r="G150" s="965"/>
      <c r="H150" s="965"/>
      <c r="I150" s="965"/>
      <c r="J150" s="965"/>
    </row>
    <row r="151" spans="1:10">
      <c r="A151" s="965"/>
      <c r="B151" s="965"/>
      <c r="C151" s="965"/>
      <c r="D151" s="965"/>
      <c r="E151" s="965"/>
      <c r="F151" s="965"/>
      <c r="G151" s="965"/>
      <c r="H151" s="965"/>
      <c r="I151" s="965"/>
      <c r="J151" s="965"/>
    </row>
    <row r="152" spans="1:10">
      <c r="A152" s="965"/>
      <c r="B152" s="965"/>
      <c r="C152" s="965"/>
      <c r="D152" s="965"/>
      <c r="E152" s="965"/>
      <c r="F152" s="965"/>
      <c r="G152" s="965"/>
      <c r="H152" s="965"/>
      <c r="I152" s="965"/>
      <c r="J152" s="965"/>
    </row>
    <row r="153" spans="1:10">
      <c r="A153" s="965"/>
      <c r="B153" s="965"/>
      <c r="C153" s="965"/>
      <c r="D153" s="965"/>
      <c r="E153" s="965"/>
      <c r="F153" s="965"/>
      <c r="G153" s="965"/>
      <c r="H153" s="965"/>
      <c r="I153" s="965"/>
      <c r="J153" s="965"/>
    </row>
    <row r="154" spans="1:10">
      <c r="A154" s="965"/>
      <c r="B154" s="965"/>
      <c r="C154" s="965"/>
      <c r="D154" s="965"/>
      <c r="E154" s="965"/>
      <c r="F154" s="965"/>
      <c r="G154" s="965"/>
      <c r="H154" s="965"/>
      <c r="I154" s="965"/>
      <c r="J154" s="965"/>
    </row>
    <row r="155" spans="1:10">
      <c r="A155" s="965"/>
      <c r="B155" s="965"/>
      <c r="C155" s="965"/>
      <c r="D155" s="965"/>
      <c r="E155" s="965"/>
      <c r="F155" s="965"/>
      <c r="G155" s="965"/>
      <c r="H155" s="965"/>
      <c r="I155" s="965"/>
      <c r="J155" s="965"/>
    </row>
    <row r="156" spans="1:10">
      <c r="A156" s="965"/>
      <c r="B156" s="965"/>
      <c r="C156" s="965"/>
      <c r="D156" s="965"/>
      <c r="E156" s="965"/>
      <c r="F156" s="965"/>
      <c r="G156" s="965"/>
      <c r="H156" s="965"/>
      <c r="I156" s="965"/>
      <c r="J156" s="965"/>
    </row>
    <row r="157" spans="1:10">
      <c r="A157" s="965"/>
      <c r="B157" s="965"/>
      <c r="C157" s="965"/>
      <c r="D157" s="965"/>
      <c r="E157" s="965"/>
      <c r="F157" s="965"/>
      <c r="G157" s="965"/>
      <c r="H157" s="965"/>
      <c r="I157" s="965"/>
      <c r="J157" s="965"/>
    </row>
    <row r="158" spans="1:10">
      <c r="A158" s="965"/>
      <c r="B158" s="965"/>
      <c r="C158" s="965"/>
      <c r="D158" s="965"/>
      <c r="E158" s="965"/>
      <c r="F158" s="965"/>
      <c r="G158" s="965"/>
      <c r="H158" s="965"/>
      <c r="I158" s="965"/>
      <c r="J158" s="965"/>
    </row>
    <row r="159" spans="1:10">
      <c r="A159" s="965"/>
      <c r="B159" s="965"/>
      <c r="C159" s="965"/>
      <c r="D159" s="965"/>
      <c r="E159" s="965"/>
      <c r="F159" s="965"/>
      <c r="G159" s="965"/>
      <c r="H159" s="965"/>
      <c r="I159" s="965"/>
      <c r="J159" s="965"/>
    </row>
    <row r="160" spans="1:10">
      <c r="A160" s="965"/>
      <c r="B160" s="965"/>
      <c r="C160" s="965"/>
      <c r="D160" s="965"/>
      <c r="E160" s="965"/>
      <c r="F160" s="965"/>
      <c r="G160" s="965"/>
      <c r="H160" s="965"/>
      <c r="I160" s="965"/>
      <c r="J160" s="965"/>
    </row>
    <row r="161" spans="1:10">
      <c r="A161" s="965"/>
      <c r="B161" s="965"/>
      <c r="C161" s="965"/>
      <c r="D161" s="965"/>
      <c r="E161" s="965"/>
      <c r="F161" s="965"/>
      <c r="G161" s="965"/>
      <c r="H161" s="965"/>
      <c r="I161" s="965"/>
      <c r="J161" s="965"/>
    </row>
    <row r="162" spans="1:10">
      <c r="A162" s="965"/>
      <c r="B162" s="965"/>
      <c r="C162" s="965"/>
      <c r="D162" s="965"/>
      <c r="E162" s="965"/>
      <c r="F162" s="965"/>
      <c r="G162" s="965"/>
      <c r="H162" s="965"/>
      <c r="I162" s="965"/>
      <c r="J162" s="965"/>
    </row>
    <row r="163" spans="1:10">
      <c r="A163" s="965"/>
      <c r="B163" s="965"/>
      <c r="C163" s="965"/>
      <c r="D163" s="965"/>
      <c r="E163" s="965"/>
      <c r="F163" s="965"/>
      <c r="G163" s="965"/>
      <c r="H163" s="965"/>
      <c r="I163" s="965"/>
      <c r="J163" s="965"/>
    </row>
    <row r="164" spans="1:10">
      <c r="A164" s="965"/>
      <c r="B164" s="965"/>
      <c r="C164" s="965"/>
      <c r="D164" s="965"/>
      <c r="E164" s="965"/>
      <c r="F164" s="965"/>
      <c r="G164" s="965"/>
      <c r="H164" s="965"/>
      <c r="I164" s="965"/>
      <c r="J164" s="965"/>
    </row>
    <row r="165" spans="1:10">
      <c r="A165" s="965"/>
      <c r="B165" s="965"/>
      <c r="C165" s="965"/>
      <c r="D165" s="965"/>
      <c r="E165" s="965"/>
      <c r="F165" s="965"/>
      <c r="G165" s="965"/>
      <c r="H165" s="965"/>
      <c r="I165" s="965"/>
      <c r="J165" s="965"/>
    </row>
    <row r="166" spans="1:10">
      <c r="A166" s="965"/>
      <c r="B166" s="965"/>
      <c r="C166" s="965"/>
      <c r="D166" s="965"/>
      <c r="E166" s="965"/>
      <c r="F166" s="965"/>
      <c r="G166" s="965"/>
      <c r="H166" s="965"/>
      <c r="I166" s="965"/>
      <c r="J166" s="965"/>
    </row>
    <row r="167" spans="1:10">
      <c r="A167" s="965"/>
      <c r="B167" s="965"/>
      <c r="C167" s="965"/>
      <c r="D167" s="965"/>
      <c r="E167" s="965"/>
      <c r="F167" s="965"/>
      <c r="G167" s="965"/>
      <c r="H167" s="965"/>
      <c r="I167" s="965"/>
      <c r="J167" s="965"/>
    </row>
    <row r="168" spans="1:10">
      <c r="A168" s="965"/>
      <c r="B168" s="965"/>
      <c r="C168" s="965"/>
      <c r="D168" s="965"/>
      <c r="E168" s="965"/>
      <c r="F168" s="965"/>
      <c r="G168" s="965"/>
      <c r="H168" s="965"/>
      <c r="I168" s="965"/>
      <c r="J168" s="965"/>
    </row>
    <row r="169" spans="1:10">
      <c r="A169" s="965"/>
      <c r="B169" s="965"/>
      <c r="C169" s="965"/>
      <c r="D169" s="965"/>
      <c r="E169" s="965"/>
      <c r="F169" s="965"/>
      <c r="G169" s="965"/>
      <c r="H169" s="965"/>
      <c r="I169" s="965"/>
      <c r="J169" s="965"/>
    </row>
    <row r="170" spans="1:10">
      <c r="A170" s="965"/>
      <c r="B170" s="965"/>
      <c r="C170" s="965"/>
      <c r="D170" s="965"/>
      <c r="E170" s="965"/>
      <c r="F170" s="965"/>
      <c r="G170" s="965"/>
      <c r="H170" s="965"/>
      <c r="I170" s="965"/>
      <c r="J170" s="965"/>
    </row>
    <row r="171" spans="1:10">
      <c r="A171" s="965"/>
      <c r="B171" s="965"/>
      <c r="C171" s="965"/>
      <c r="D171" s="965"/>
      <c r="E171" s="965"/>
      <c r="F171" s="965"/>
      <c r="G171" s="965"/>
      <c r="H171" s="965"/>
      <c r="I171" s="965"/>
      <c r="J171" s="965"/>
    </row>
    <row r="172" spans="1:10">
      <c r="A172" s="965"/>
      <c r="B172" s="965"/>
      <c r="C172" s="965"/>
      <c r="D172" s="965"/>
      <c r="E172" s="965"/>
      <c r="F172" s="965"/>
      <c r="G172" s="965"/>
      <c r="H172" s="965"/>
      <c r="I172" s="965"/>
      <c r="J172" s="965"/>
    </row>
    <row r="173" spans="1:10">
      <c r="A173" s="965"/>
      <c r="B173" s="965"/>
      <c r="C173" s="965"/>
      <c r="D173" s="965"/>
      <c r="E173" s="965"/>
      <c r="F173" s="965"/>
      <c r="G173" s="965"/>
      <c r="H173" s="965"/>
      <c r="I173" s="965"/>
      <c r="J173" s="965"/>
    </row>
    <row r="174" spans="1:10">
      <c r="A174" s="965"/>
      <c r="B174" s="965"/>
      <c r="C174" s="965"/>
      <c r="D174" s="965"/>
      <c r="E174" s="965"/>
      <c r="F174" s="965"/>
      <c r="G174" s="965"/>
      <c r="H174" s="965"/>
      <c r="I174" s="965"/>
      <c r="J174" s="965"/>
    </row>
    <row r="175" spans="1:10">
      <c r="A175" s="965"/>
      <c r="B175" s="965"/>
      <c r="C175" s="965"/>
      <c r="D175" s="965"/>
      <c r="E175" s="965"/>
      <c r="F175" s="965"/>
      <c r="G175" s="965"/>
      <c r="H175" s="965"/>
      <c r="I175" s="965"/>
      <c r="J175" s="965"/>
    </row>
    <row r="176" spans="1:10">
      <c r="A176" s="965"/>
      <c r="B176" s="965"/>
      <c r="C176" s="965"/>
      <c r="D176" s="965"/>
      <c r="E176" s="965"/>
      <c r="F176" s="965"/>
      <c r="G176" s="965"/>
      <c r="H176" s="965"/>
      <c r="I176" s="965"/>
      <c r="J176" s="965"/>
    </row>
    <row r="177" spans="1:10">
      <c r="A177" s="965"/>
      <c r="B177" s="965"/>
      <c r="C177" s="965"/>
      <c r="D177" s="965"/>
      <c r="E177" s="965"/>
      <c r="F177" s="965"/>
      <c r="G177" s="965"/>
      <c r="H177" s="965"/>
      <c r="I177" s="965"/>
      <c r="J177" s="965"/>
    </row>
    <row r="178" spans="1:10">
      <c r="A178" s="965"/>
      <c r="B178" s="965"/>
      <c r="C178" s="965"/>
      <c r="D178" s="965"/>
      <c r="E178" s="965"/>
      <c r="F178" s="965"/>
      <c r="G178" s="965"/>
      <c r="H178" s="965"/>
      <c r="I178" s="965"/>
      <c r="J178" s="965"/>
    </row>
    <row r="179" spans="1:10">
      <c r="A179" s="965"/>
      <c r="B179" s="965"/>
      <c r="C179" s="965"/>
      <c r="D179" s="965"/>
      <c r="E179" s="965"/>
      <c r="F179" s="965"/>
      <c r="G179" s="965"/>
      <c r="H179" s="965"/>
      <c r="I179" s="965"/>
      <c r="J179" s="965"/>
    </row>
    <row r="180" spans="1:10">
      <c r="A180" s="965"/>
      <c r="B180" s="965"/>
      <c r="C180" s="965"/>
      <c r="D180" s="965"/>
      <c r="E180" s="965"/>
      <c r="F180" s="965"/>
      <c r="G180" s="965"/>
      <c r="H180" s="965"/>
      <c r="I180" s="965"/>
      <c r="J180" s="965"/>
    </row>
    <row r="181" spans="1:10">
      <c r="A181" s="965"/>
      <c r="B181" s="965"/>
      <c r="C181" s="965"/>
      <c r="D181" s="965"/>
      <c r="E181" s="965"/>
      <c r="F181" s="965"/>
      <c r="G181" s="965"/>
      <c r="H181" s="965"/>
      <c r="I181" s="965"/>
      <c r="J181" s="965"/>
    </row>
    <row r="182" spans="1:10">
      <c r="A182" s="965"/>
      <c r="B182" s="965"/>
      <c r="C182" s="965"/>
      <c r="D182" s="965"/>
      <c r="E182" s="965"/>
      <c r="F182" s="965"/>
      <c r="G182" s="965"/>
      <c r="H182" s="965"/>
      <c r="I182" s="965"/>
      <c r="J182" s="965"/>
    </row>
    <row r="183" spans="1:10">
      <c r="A183" s="965"/>
      <c r="B183" s="965"/>
      <c r="C183" s="965"/>
      <c r="D183" s="965"/>
      <c r="E183" s="965"/>
      <c r="F183" s="965"/>
      <c r="G183" s="965"/>
      <c r="H183" s="965"/>
      <c r="I183" s="965"/>
      <c r="J183" s="965"/>
    </row>
    <row r="184" spans="1:10">
      <c r="A184" s="965"/>
      <c r="B184" s="965"/>
      <c r="C184" s="965"/>
      <c r="D184" s="965"/>
      <c r="E184" s="965"/>
      <c r="F184" s="965"/>
      <c r="G184" s="965"/>
      <c r="H184" s="965"/>
      <c r="I184" s="965"/>
      <c r="J184" s="965"/>
    </row>
    <row r="185" spans="1:10">
      <c r="A185" s="965"/>
      <c r="B185" s="965"/>
      <c r="C185" s="965"/>
      <c r="D185" s="965"/>
      <c r="E185" s="965"/>
      <c r="F185" s="965"/>
      <c r="G185" s="965"/>
      <c r="H185" s="965"/>
      <c r="I185" s="965"/>
      <c r="J185" s="965"/>
    </row>
    <row r="186" spans="1:10">
      <c r="A186" s="965"/>
      <c r="B186" s="965"/>
      <c r="C186" s="965"/>
      <c r="D186" s="965"/>
      <c r="E186" s="965"/>
      <c r="F186" s="965"/>
      <c r="G186" s="965"/>
      <c r="H186" s="965"/>
      <c r="I186" s="965"/>
      <c r="J186" s="965"/>
    </row>
    <row r="187" spans="1:10">
      <c r="A187" s="965"/>
      <c r="B187" s="965"/>
      <c r="C187" s="965"/>
      <c r="D187" s="965"/>
      <c r="E187" s="965"/>
      <c r="F187" s="965"/>
      <c r="G187" s="965"/>
      <c r="H187" s="965"/>
      <c r="I187" s="965"/>
      <c r="J187" s="965"/>
    </row>
    <row r="188" spans="1:10">
      <c r="A188" s="965"/>
      <c r="B188" s="965"/>
      <c r="C188" s="965"/>
      <c r="D188" s="965"/>
      <c r="E188" s="965"/>
      <c r="F188" s="965"/>
      <c r="G188" s="965"/>
      <c r="H188" s="965"/>
      <c r="I188" s="965"/>
      <c r="J188" s="965"/>
    </row>
    <row r="189" spans="1:10">
      <c r="A189" s="965"/>
      <c r="B189" s="965"/>
      <c r="C189" s="965"/>
      <c r="D189" s="965"/>
      <c r="E189" s="965"/>
      <c r="F189" s="965"/>
      <c r="G189" s="965"/>
      <c r="H189" s="965"/>
      <c r="I189" s="965"/>
      <c r="J189" s="965"/>
    </row>
    <row r="190" spans="1:10">
      <c r="A190" s="965"/>
      <c r="B190" s="965"/>
      <c r="C190" s="965"/>
      <c r="D190" s="965"/>
      <c r="E190" s="965"/>
      <c r="F190" s="965"/>
      <c r="G190" s="965"/>
      <c r="H190" s="965"/>
      <c r="I190" s="965"/>
      <c r="J190" s="965"/>
    </row>
    <row r="191" spans="1:10">
      <c r="A191" s="965"/>
      <c r="B191" s="965"/>
      <c r="C191" s="965"/>
      <c r="D191" s="965"/>
      <c r="E191" s="965"/>
      <c r="F191" s="965"/>
      <c r="G191" s="965"/>
      <c r="H191" s="965"/>
      <c r="I191" s="965"/>
      <c r="J191" s="965"/>
    </row>
    <row r="192" spans="1:10">
      <c r="A192" s="965"/>
      <c r="B192" s="965"/>
      <c r="C192" s="965"/>
      <c r="D192" s="965"/>
      <c r="E192" s="965"/>
      <c r="F192" s="965"/>
      <c r="G192" s="965"/>
      <c r="H192" s="965"/>
      <c r="I192" s="965"/>
      <c r="J192" s="965"/>
    </row>
    <row r="193" spans="1:10">
      <c r="A193" s="965"/>
      <c r="B193" s="965"/>
      <c r="C193" s="965"/>
      <c r="D193" s="965"/>
      <c r="E193" s="965"/>
      <c r="F193" s="965"/>
      <c r="G193" s="965"/>
      <c r="H193" s="965"/>
      <c r="I193" s="965"/>
      <c r="J193" s="965"/>
    </row>
    <row r="194" spans="1:10">
      <c r="A194" s="965"/>
      <c r="B194" s="965"/>
      <c r="C194" s="965"/>
      <c r="D194" s="965"/>
      <c r="E194" s="965"/>
      <c r="F194" s="965"/>
      <c r="G194" s="965"/>
      <c r="H194" s="965"/>
      <c r="I194" s="965"/>
      <c r="J194" s="965"/>
    </row>
    <row r="195" spans="1:10">
      <c r="A195" s="965"/>
      <c r="B195" s="965"/>
      <c r="C195" s="965"/>
      <c r="D195" s="965"/>
      <c r="E195" s="965"/>
      <c r="F195" s="965"/>
      <c r="G195" s="965"/>
      <c r="H195" s="965"/>
      <c r="I195" s="965"/>
      <c r="J195" s="965"/>
    </row>
    <row r="196" spans="1:10">
      <c r="A196" s="965"/>
      <c r="B196" s="965"/>
      <c r="C196" s="965"/>
      <c r="D196" s="965"/>
      <c r="E196" s="965"/>
      <c r="F196" s="965"/>
      <c r="G196" s="965"/>
      <c r="H196" s="965"/>
      <c r="I196" s="965"/>
      <c r="J196" s="965"/>
    </row>
    <row r="197" spans="1:10">
      <c r="A197" s="965"/>
      <c r="B197" s="965"/>
      <c r="C197" s="965"/>
      <c r="D197" s="965"/>
      <c r="E197" s="965"/>
      <c r="F197" s="965"/>
      <c r="G197" s="965"/>
      <c r="H197" s="965"/>
      <c r="I197" s="965"/>
      <c r="J197" s="965"/>
    </row>
    <row r="198" spans="1:10">
      <c r="A198" s="965"/>
      <c r="B198" s="965"/>
      <c r="C198" s="965"/>
      <c r="D198" s="965"/>
      <c r="E198" s="965"/>
      <c r="F198" s="965"/>
      <c r="G198" s="965"/>
      <c r="H198" s="965"/>
      <c r="I198" s="965"/>
      <c r="J198" s="965"/>
    </row>
    <row r="199" spans="1:10">
      <c r="A199" s="965"/>
      <c r="B199" s="965"/>
      <c r="C199" s="965"/>
      <c r="D199" s="965"/>
      <c r="E199" s="965"/>
      <c r="F199" s="965"/>
      <c r="G199" s="965"/>
      <c r="H199" s="965"/>
      <c r="I199" s="965"/>
      <c r="J199" s="965"/>
    </row>
    <row r="200" spans="1:10">
      <c r="A200" s="965"/>
      <c r="B200" s="965"/>
      <c r="C200" s="965"/>
      <c r="D200" s="965"/>
      <c r="E200" s="965"/>
      <c r="F200" s="965"/>
      <c r="G200" s="965"/>
      <c r="H200" s="965"/>
      <c r="I200" s="965"/>
      <c r="J200" s="965"/>
    </row>
    <row r="201" spans="1:10">
      <c r="A201" s="965"/>
      <c r="B201" s="965"/>
      <c r="C201" s="965"/>
      <c r="D201" s="965"/>
      <c r="E201" s="965"/>
      <c r="F201" s="965"/>
      <c r="G201" s="965"/>
      <c r="H201" s="965"/>
      <c r="I201" s="965"/>
      <c r="J201" s="965"/>
    </row>
    <row r="202" spans="1:10">
      <c r="A202" s="965"/>
      <c r="B202" s="965"/>
      <c r="C202" s="965"/>
      <c r="D202" s="965"/>
      <c r="E202" s="965"/>
      <c r="F202" s="965"/>
      <c r="G202" s="965"/>
      <c r="H202" s="965"/>
      <c r="I202" s="965"/>
      <c r="J202" s="965"/>
    </row>
    <row r="203" spans="1:10">
      <c r="A203" s="965"/>
      <c r="B203" s="965"/>
      <c r="C203" s="965"/>
      <c r="D203" s="965"/>
      <c r="E203" s="965"/>
      <c r="F203" s="965"/>
      <c r="G203" s="965"/>
      <c r="H203" s="965"/>
      <c r="I203" s="965"/>
      <c r="J203" s="965"/>
    </row>
    <row r="204" spans="1:10">
      <c r="A204" s="965"/>
      <c r="B204" s="965"/>
      <c r="C204" s="965"/>
      <c r="D204" s="965"/>
      <c r="E204" s="965"/>
      <c r="F204" s="965"/>
      <c r="G204" s="965"/>
      <c r="H204" s="965"/>
      <c r="I204" s="965"/>
      <c r="J204" s="965"/>
    </row>
    <row r="205" spans="1:10">
      <c r="A205" s="965"/>
      <c r="B205" s="965"/>
      <c r="C205" s="965"/>
      <c r="D205" s="965"/>
      <c r="E205" s="965"/>
      <c r="F205" s="965"/>
      <c r="G205" s="965"/>
      <c r="H205" s="965"/>
      <c r="I205" s="965"/>
      <c r="J205" s="965"/>
    </row>
    <row r="206" spans="1:10">
      <c r="A206" s="965"/>
      <c r="B206" s="965"/>
      <c r="C206" s="965"/>
      <c r="D206" s="965"/>
      <c r="E206" s="965"/>
      <c r="F206" s="965"/>
      <c r="G206" s="965"/>
      <c r="H206" s="965"/>
      <c r="I206" s="965"/>
      <c r="J206" s="965"/>
    </row>
    <row r="207" spans="1:10">
      <c r="A207" s="965"/>
      <c r="B207" s="965"/>
      <c r="C207" s="965"/>
      <c r="D207" s="965"/>
      <c r="E207" s="965"/>
      <c r="F207" s="965"/>
      <c r="G207" s="965"/>
      <c r="H207" s="965"/>
      <c r="I207" s="965"/>
      <c r="J207" s="965"/>
    </row>
    <row r="208" spans="1:10">
      <c r="A208" s="965"/>
      <c r="B208" s="965"/>
      <c r="C208" s="965"/>
      <c r="D208" s="965"/>
      <c r="E208" s="965"/>
      <c r="F208" s="965"/>
      <c r="G208" s="965"/>
      <c r="H208" s="965"/>
      <c r="I208" s="965"/>
      <c r="J208" s="965"/>
    </row>
    <row r="209" spans="1:10">
      <c r="A209" s="965"/>
      <c r="B209" s="965"/>
      <c r="C209" s="965"/>
      <c r="D209" s="965"/>
      <c r="E209" s="965"/>
      <c r="F209" s="965"/>
      <c r="G209" s="965"/>
      <c r="H209" s="965"/>
      <c r="I209" s="965"/>
      <c r="J209" s="965"/>
    </row>
    <row r="210" spans="1:10">
      <c r="A210" s="965"/>
      <c r="B210" s="965"/>
      <c r="C210" s="965"/>
      <c r="D210" s="965"/>
      <c r="E210" s="965"/>
      <c r="F210" s="965"/>
      <c r="G210" s="965"/>
      <c r="H210" s="965"/>
      <c r="I210" s="965"/>
      <c r="J210" s="965"/>
    </row>
    <row r="211" spans="1:10">
      <c r="A211" s="965"/>
      <c r="B211" s="965"/>
      <c r="C211" s="965"/>
      <c r="D211" s="965"/>
      <c r="E211" s="965"/>
      <c r="F211" s="965"/>
      <c r="G211" s="965"/>
      <c r="H211" s="965"/>
      <c r="I211" s="965"/>
      <c r="J211" s="965"/>
    </row>
    <row r="212" spans="1:10">
      <c r="A212" s="965"/>
      <c r="B212" s="965"/>
      <c r="C212" s="965"/>
      <c r="D212" s="965"/>
      <c r="E212" s="965"/>
      <c r="F212" s="965"/>
      <c r="G212" s="965"/>
      <c r="H212" s="965"/>
      <c r="I212" s="965"/>
      <c r="J212" s="965"/>
    </row>
    <row r="213" spans="1:10">
      <c r="A213" s="965"/>
      <c r="B213" s="965"/>
      <c r="C213" s="965"/>
      <c r="D213" s="965"/>
      <c r="E213" s="965"/>
      <c r="F213" s="965"/>
      <c r="G213" s="965"/>
      <c r="H213" s="965"/>
      <c r="I213" s="965"/>
      <c r="J213" s="965"/>
    </row>
    <row r="214" spans="1:10">
      <c r="A214" s="965"/>
      <c r="B214" s="965"/>
      <c r="C214" s="965"/>
      <c r="D214" s="965"/>
      <c r="E214" s="965"/>
      <c r="F214" s="965"/>
      <c r="G214" s="965"/>
      <c r="H214" s="965"/>
      <c r="I214" s="965"/>
      <c r="J214" s="965"/>
    </row>
    <row r="215" spans="1:10">
      <c r="A215" s="965"/>
      <c r="B215" s="965"/>
      <c r="C215" s="965"/>
      <c r="D215" s="965"/>
      <c r="E215" s="965"/>
      <c r="F215" s="965"/>
      <c r="G215" s="965"/>
      <c r="H215" s="965"/>
      <c r="I215" s="965"/>
      <c r="J215" s="965"/>
    </row>
    <row r="216" spans="1:10">
      <c r="A216" s="965"/>
      <c r="B216" s="965"/>
      <c r="C216" s="965"/>
      <c r="D216" s="965"/>
      <c r="E216" s="965"/>
      <c r="F216" s="965"/>
      <c r="G216" s="965"/>
      <c r="H216" s="965"/>
      <c r="I216" s="965"/>
      <c r="J216" s="965"/>
    </row>
    <row r="217" spans="1:10">
      <c r="A217" s="965"/>
      <c r="B217" s="965"/>
      <c r="C217" s="965"/>
      <c r="D217" s="965"/>
      <c r="E217" s="965"/>
      <c r="F217" s="965"/>
      <c r="G217" s="965"/>
      <c r="H217" s="965"/>
      <c r="I217" s="965"/>
      <c r="J217" s="965"/>
    </row>
    <row r="218" spans="1:10">
      <c r="A218" s="965"/>
      <c r="B218" s="965"/>
      <c r="C218" s="965"/>
      <c r="D218" s="965"/>
      <c r="E218" s="965"/>
      <c r="F218" s="965"/>
      <c r="G218" s="965"/>
      <c r="H218" s="965"/>
      <c r="I218" s="965"/>
      <c r="J218" s="965"/>
    </row>
    <row r="219" spans="1:10">
      <c r="A219" s="965"/>
      <c r="B219" s="965"/>
      <c r="C219" s="965"/>
      <c r="D219" s="965"/>
      <c r="E219" s="965"/>
      <c r="F219" s="965"/>
      <c r="G219" s="965"/>
      <c r="H219" s="965"/>
      <c r="I219" s="965"/>
      <c r="J219" s="965"/>
    </row>
    <row r="220" spans="1:10">
      <c r="A220" s="965"/>
      <c r="B220" s="965"/>
      <c r="C220" s="965"/>
      <c r="D220" s="965"/>
      <c r="E220" s="965"/>
      <c r="F220" s="965"/>
      <c r="G220" s="965"/>
      <c r="H220" s="965"/>
      <c r="I220" s="965"/>
      <c r="J220" s="965"/>
    </row>
    <row r="221" spans="1:10">
      <c r="A221" s="965"/>
      <c r="B221" s="965"/>
      <c r="C221" s="965"/>
      <c r="D221" s="965"/>
      <c r="E221" s="965"/>
      <c r="F221" s="965"/>
      <c r="G221" s="965"/>
      <c r="H221" s="965"/>
      <c r="I221" s="965"/>
      <c r="J221" s="965"/>
    </row>
    <row r="222" spans="1:10">
      <c r="A222" s="965"/>
      <c r="B222" s="965"/>
      <c r="C222" s="965"/>
      <c r="D222" s="965"/>
      <c r="E222" s="965"/>
      <c r="F222" s="965"/>
      <c r="G222" s="965"/>
      <c r="H222" s="965"/>
      <c r="I222" s="965"/>
      <c r="J222" s="965"/>
    </row>
    <row r="223" spans="1:10">
      <c r="A223" s="965"/>
      <c r="B223" s="965"/>
      <c r="C223" s="965"/>
      <c r="D223" s="965"/>
      <c r="E223" s="965"/>
      <c r="F223" s="965"/>
      <c r="G223" s="965"/>
      <c r="H223" s="965"/>
      <c r="I223" s="965"/>
      <c r="J223" s="965"/>
    </row>
    <row r="224" spans="1:10">
      <c r="A224" s="965"/>
      <c r="B224" s="965"/>
      <c r="C224" s="965"/>
      <c r="D224" s="965"/>
      <c r="E224" s="965"/>
      <c r="F224" s="965"/>
      <c r="G224" s="965"/>
      <c r="H224" s="965"/>
      <c r="I224" s="965"/>
      <c r="J224" s="965"/>
    </row>
    <row r="225" spans="1:10">
      <c r="A225" s="965"/>
      <c r="B225" s="965"/>
      <c r="C225" s="965"/>
      <c r="D225" s="965"/>
      <c r="E225" s="965"/>
      <c r="F225" s="965"/>
      <c r="G225" s="965"/>
      <c r="H225" s="965"/>
      <c r="I225" s="965"/>
      <c r="J225" s="965"/>
    </row>
    <row r="226" spans="1:10">
      <c r="A226" s="965"/>
      <c r="B226" s="965"/>
      <c r="C226" s="965"/>
      <c r="D226" s="965"/>
      <c r="E226" s="965"/>
      <c r="F226" s="965"/>
      <c r="G226" s="965"/>
      <c r="H226" s="965"/>
      <c r="I226" s="965"/>
      <c r="J226" s="965"/>
    </row>
    <row r="227" spans="1:10">
      <c r="A227" s="965"/>
      <c r="B227" s="965"/>
      <c r="C227" s="965"/>
      <c r="D227" s="965"/>
      <c r="E227" s="965"/>
      <c r="F227" s="965"/>
      <c r="G227" s="965"/>
      <c r="H227" s="965"/>
      <c r="I227" s="965"/>
      <c r="J227" s="965"/>
    </row>
    <row r="228" spans="1:10">
      <c r="A228" s="965"/>
      <c r="B228" s="965"/>
      <c r="C228" s="965"/>
      <c r="D228" s="965"/>
      <c r="E228" s="965"/>
      <c r="F228" s="965"/>
      <c r="G228" s="965"/>
      <c r="H228" s="965"/>
      <c r="I228" s="965"/>
      <c r="J228" s="965"/>
    </row>
    <row r="229" spans="1:10">
      <c r="A229" s="965"/>
      <c r="B229" s="965"/>
      <c r="C229" s="965"/>
      <c r="D229" s="965"/>
      <c r="E229" s="965"/>
      <c r="F229" s="965"/>
      <c r="G229" s="965"/>
      <c r="H229" s="965"/>
      <c r="I229" s="965"/>
      <c r="J229" s="965"/>
    </row>
    <row r="230" spans="1:10">
      <c r="A230" s="965"/>
      <c r="B230" s="965"/>
      <c r="C230" s="965"/>
      <c r="D230" s="965"/>
      <c r="E230" s="965"/>
      <c r="F230" s="965"/>
      <c r="G230" s="965"/>
      <c r="H230" s="965"/>
      <c r="I230" s="965"/>
      <c r="J230" s="965"/>
    </row>
    <row r="231" spans="1:10">
      <c r="A231" s="965"/>
      <c r="B231" s="965"/>
      <c r="C231" s="965"/>
      <c r="D231" s="965"/>
      <c r="E231" s="965"/>
      <c r="F231" s="965"/>
      <c r="G231" s="965"/>
      <c r="H231" s="965"/>
      <c r="I231" s="965"/>
      <c r="J231" s="965"/>
    </row>
    <row r="232" spans="1:10">
      <c r="A232" s="965"/>
      <c r="B232" s="965"/>
      <c r="C232" s="965"/>
      <c r="D232" s="965"/>
      <c r="E232" s="965"/>
      <c r="F232" s="965"/>
      <c r="G232" s="965"/>
      <c r="H232" s="965"/>
      <c r="I232" s="965"/>
      <c r="J232" s="965"/>
    </row>
    <row r="233" spans="1:10">
      <c r="A233" s="965"/>
      <c r="B233" s="965"/>
      <c r="C233" s="965"/>
      <c r="D233" s="965"/>
      <c r="E233" s="965"/>
      <c r="F233" s="965"/>
      <c r="G233" s="965"/>
      <c r="H233" s="965"/>
      <c r="I233" s="965"/>
      <c r="J233" s="965"/>
    </row>
    <row r="234" spans="1:10">
      <c r="A234" s="965"/>
      <c r="B234" s="965"/>
      <c r="C234" s="965"/>
      <c r="D234" s="965"/>
      <c r="E234" s="965"/>
      <c r="F234" s="965"/>
      <c r="G234" s="965"/>
      <c r="H234" s="965"/>
      <c r="I234" s="965"/>
      <c r="J234" s="965"/>
    </row>
    <row r="235" spans="1:10">
      <c r="A235" s="965"/>
      <c r="B235" s="965"/>
      <c r="C235" s="965"/>
      <c r="D235" s="965"/>
      <c r="E235" s="965"/>
      <c r="F235" s="965"/>
      <c r="G235" s="965"/>
      <c r="H235" s="965"/>
      <c r="I235" s="965"/>
      <c r="J235" s="965"/>
    </row>
    <row r="236" spans="1:10">
      <c r="A236" s="965"/>
      <c r="B236" s="965"/>
      <c r="C236" s="965"/>
      <c r="D236" s="965"/>
      <c r="E236" s="965"/>
      <c r="F236" s="965"/>
      <c r="G236" s="965"/>
      <c r="H236" s="965"/>
      <c r="I236" s="965"/>
      <c r="J236" s="965"/>
    </row>
    <row r="237" spans="1:10">
      <c r="A237" s="965"/>
      <c r="B237" s="965"/>
      <c r="C237" s="965"/>
      <c r="D237" s="965"/>
      <c r="E237" s="965"/>
      <c r="F237" s="965"/>
      <c r="G237" s="965"/>
      <c r="H237" s="965"/>
      <c r="I237" s="965"/>
      <c r="J237" s="965"/>
    </row>
    <row r="238" spans="1:10">
      <c r="A238" s="965"/>
      <c r="B238" s="965"/>
      <c r="C238" s="965"/>
      <c r="D238" s="965"/>
      <c r="E238" s="965"/>
      <c r="F238" s="965"/>
      <c r="G238" s="965"/>
      <c r="H238" s="965"/>
      <c r="I238" s="965"/>
      <c r="J238" s="965"/>
    </row>
    <row r="239" spans="1:10">
      <c r="A239" s="965"/>
      <c r="B239" s="965"/>
      <c r="C239" s="965"/>
      <c r="D239" s="965"/>
      <c r="E239" s="965"/>
      <c r="F239" s="965"/>
      <c r="G239" s="965"/>
      <c r="H239" s="965"/>
      <c r="I239" s="965"/>
      <c r="J239" s="965"/>
    </row>
    <row r="240" spans="1:10">
      <c r="A240" s="965"/>
      <c r="B240" s="965"/>
      <c r="C240" s="965"/>
      <c r="D240" s="965"/>
      <c r="E240" s="965"/>
      <c r="F240" s="965"/>
      <c r="G240" s="965"/>
      <c r="H240" s="965"/>
      <c r="I240" s="965"/>
      <c r="J240" s="965"/>
    </row>
    <row r="241" spans="1:10">
      <c r="A241" s="965"/>
      <c r="B241" s="965"/>
      <c r="C241" s="965"/>
      <c r="D241" s="965"/>
      <c r="E241" s="965"/>
      <c r="F241" s="965"/>
      <c r="G241" s="965"/>
      <c r="H241" s="965"/>
      <c r="I241" s="965"/>
      <c r="J241" s="965"/>
    </row>
    <row r="242" spans="1:10">
      <c r="A242" s="965"/>
      <c r="B242" s="965"/>
      <c r="C242" s="965"/>
      <c r="D242" s="965"/>
      <c r="E242" s="965"/>
      <c r="F242" s="965"/>
      <c r="G242" s="965"/>
      <c r="H242" s="965"/>
      <c r="I242" s="965"/>
      <c r="J242" s="965"/>
    </row>
    <row r="243" spans="1:10">
      <c r="A243" s="965"/>
      <c r="B243" s="965"/>
      <c r="C243" s="965"/>
      <c r="D243" s="965"/>
      <c r="E243" s="965"/>
      <c r="F243" s="965"/>
      <c r="G243" s="965"/>
      <c r="H243" s="965"/>
      <c r="I243" s="965"/>
      <c r="J243" s="965"/>
    </row>
    <row r="244" spans="1:10">
      <c r="A244" s="965"/>
      <c r="B244" s="965"/>
      <c r="C244" s="965"/>
      <c r="D244" s="965"/>
      <c r="E244" s="965"/>
      <c r="F244" s="965"/>
      <c r="G244" s="965"/>
      <c r="H244" s="965"/>
      <c r="I244" s="965"/>
      <c r="J244" s="965"/>
    </row>
    <row r="245" spans="1:10">
      <c r="A245" s="965"/>
      <c r="B245" s="965"/>
      <c r="C245" s="965"/>
      <c r="D245" s="965"/>
      <c r="E245" s="965"/>
      <c r="F245" s="965"/>
      <c r="G245" s="965"/>
      <c r="H245" s="965"/>
      <c r="I245" s="965"/>
      <c r="J245" s="965"/>
    </row>
    <row r="246" spans="1:10">
      <c r="A246" s="965"/>
      <c r="B246" s="965"/>
      <c r="C246" s="965"/>
      <c r="D246" s="965"/>
      <c r="E246" s="965"/>
      <c r="F246" s="965"/>
      <c r="G246" s="965"/>
      <c r="H246" s="965"/>
      <c r="I246" s="965"/>
      <c r="J246" s="965"/>
    </row>
    <row r="247" spans="1:10">
      <c r="A247" s="965"/>
      <c r="B247" s="965"/>
      <c r="C247" s="965"/>
      <c r="D247" s="965"/>
      <c r="E247" s="965"/>
      <c r="F247" s="965"/>
      <c r="G247" s="965"/>
      <c r="H247" s="965"/>
      <c r="I247" s="965"/>
      <c r="J247" s="965"/>
    </row>
    <row r="248" spans="1:10">
      <c r="A248" s="965"/>
      <c r="B248" s="965"/>
      <c r="C248" s="965"/>
      <c r="D248" s="965"/>
      <c r="E248" s="965"/>
      <c r="F248" s="965"/>
      <c r="G248" s="965"/>
      <c r="H248" s="965"/>
      <c r="I248" s="965"/>
      <c r="J248" s="965"/>
    </row>
    <row r="249" spans="1:10">
      <c r="A249" s="965"/>
      <c r="B249" s="965"/>
      <c r="C249" s="965"/>
      <c r="D249" s="965"/>
      <c r="E249" s="965"/>
      <c r="F249" s="965"/>
      <c r="G249" s="965"/>
      <c r="H249" s="965"/>
      <c r="I249" s="965"/>
      <c r="J249" s="965"/>
    </row>
    <row r="250" spans="1:10">
      <c r="A250" s="965"/>
      <c r="B250" s="965"/>
      <c r="C250" s="965"/>
      <c r="D250" s="965"/>
      <c r="E250" s="965"/>
      <c r="F250" s="965"/>
      <c r="G250" s="965"/>
      <c r="H250" s="965"/>
      <c r="I250" s="965"/>
      <c r="J250" s="965"/>
    </row>
    <row r="251" spans="1:10">
      <c r="A251" s="965"/>
      <c r="B251" s="965"/>
      <c r="C251" s="965"/>
      <c r="D251" s="965"/>
      <c r="E251" s="965"/>
      <c r="F251" s="965"/>
      <c r="G251" s="965"/>
      <c r="H251" s="965"/>
      <c r="I251" s="965"/>
      <c r="J251" s="965"/>
    </row>
    <row r="252" spans="1:10">
      <c r="A252" s="965"/>
      <c r="B252" s="965"/>
      <c r="C252" s="965"/>
      <c r="D252" s="965"/>
      <c r="E252" s="965"/>
      <c r="F252" s="965"/>
      <c r="G252" s="965"/>
      <c r="H252" s="965"/>
      <c r="I252" s="965"/>
      <c r="J252" s="965"/>
    </row>
    <row r="253" spans="1:10">
      <c r="A253" s="965"/>
      <c r="B253" s="965"/>
      <c r="C253" s="965"/>
      <c r="D253" s="965"/>
      <c r="E253" s="965"/>
      <c r="F253" s="965"/>
      <c r="G253" s="965"/>
      <c r="H253" s="965"/>
      <c r="I253" s="965"/>
      <c r="J253" s="965"/>
    </row>
    <row r="254" spans="1:10">
      <c r="A254" s="965"/>
      <c r="B254" s="965"/>
      <c r="C254" s="965"/>
      <c r="D254" s="965"/>
      <c r="E254" s="965"/>
      <c r="F254" s="965"/>
      <c r="G254" s="965"/>
      <c r="H254" s="965"/>
      <c r="I254" s="965"/>
      <c r="J254" s="965"/>
    </row>
    <row r="255" spans="1:10">
      <c r="A255" s="965"/>
      <c r="B255" s="965"/>
      <c r="C255" s="965"/>
      <c r="D255" s="965"/>
      <c r="E255" s="965"/>
      <c r="F255" s="965"/>
      <c r="G255" s="965"/>
      <c r="H255" s="965"/>
      <c r="I255" s="965"/>
      <c r="J255" s="965"/>
    </row>
    <row r="256" spans="1:10">
      <c r="A256" s="965"/>
      <c r="B256" s="965"/>
      <c r="C256" s="965"/>
      <c r="D256" s="965"/>
      <c r="E256" s="965"/>
      <c r="F256" s="965"/>
      <c r="G256" s="965"/>
      <c r="H256" s="965"/>
      <c r="I256" s="965"/>
      <c r="J256" s="965"/>
    </row>
    <row r="257" spans="1:10">
      <c r="A257" s="965"/>
      <c r="B257" s="965"/>
      <c r="C257" s="965"/>
      <c r="D257" s="965"/>
      <c r="E257" s="965"/>
      <c r="F257" s="965"/>
      <c r="G257" s="965"/>
      <c r="H257" s="965"/>
      <c r="I257" s="965"/>
      <c r="J257" s="965"/>
    </row>
    <row r="258" spans="1:10">
      <c r="A258" s="965"/>
      <c r="B258" s="965"/>
      <c r="C258" s="965"/>
      <c r="D258" s="965"/>
      <c r="E258" s="965"/>
      <c r="F258" s="965"/>
      <c r="G258" s="965"/>
      <c r="H258" s="965"/>
      <c r="I258" s="965"/>
      <c r="J258" s="965"/>
    </row>
    <row r="259" spans="1:10">
      <c r="A259" s="965"/>
      <c r="B259" s="965"/>
      <c r="C259" s="965"/>
      <c r="D259" s="965"/>
      <c r="E259" s="965"/>
      <c r="F259" s="965"/>
      <c r="G259" s="965"/>
      <c r="H259" s="965"/>
      <c r="I259" s="965"/>
      <c r="J259" s="965"/>
    </row>
    <row r="260" spans="1:10">
      <c r="A260" s="965"/>
      <c r="B260" s="965"/>
      <c r="C260" s="965"/>
      <c r="D260" s="965"/>
      <c r="E260" s="965"/>
      <c r="F260" s="965"/>
      <c r="G260" s="965"/>
      <c r="H260" s="965"/>
      <c r="I260" s="965"/>
      <c r="J260" s="965"/>
    </row>
    <row r="261" spans="1:10">
      <c r="A261" s="965"/>
      <c r="B261" s="965"/>
      <c r="C261" s="965"/>
      <c r="D261" s="965"/>
      <c r="E261" s="965"/>
      <c r="F261" s="965"/>
      <c r="G261" s="965"/>
      <c r="H261" s="965"/>
      <c r="I261" s="965"/>
      <c r="J261" s="965"/>
    </row>
    <row r="262" spans="1:10">
      <c r="A262" s="965"/>
      <c r="B262" s="965"/>
      <c r="C262" s="965"/>
      <c r="D262" s="965"/>
      <c r="E262" s="965"/>
      <c r="F262" s="965"/>
      <c r="G262" s="965"/>
      <c r="H262" s="965"/>
      <c r="I262" s="965"/>
      <c r="J262" s="965"/>
    </row>
    <row r="263" spans="1:10">
      <c r="A263" s="965"/>
      <c r="B263" s="965"/>
      <c r="C263" s="965"/>
      <c r="D263" s="965"/>
      <c r="E263" s="965"/>
      <c r="F263" s="965"/>
      <c r="G263" s="965"/>
      <c r="H263" s="965"/>
      <c r="I263" s="965"/>
      <c r="J263" s="965"/>
    </row>
    <row r="264" spans="1:10">
      <c r="A264" s="965"/>
      <c r="B264" s="965"/>
      <c r="C264" s="965"/>
      <c r="D264" s="965"/>
      <c r="E264" s="965"/>
      <c r="F264" s="965"/>
      <c r="G264" s="965"/>
      <c r="H264" s="965"/>
      <c r="I264" s="965"/>
      <c r="J264" s="965"/>
    </row>
    <row r="265" spans="1:10">
      <c r="A265" s="965"/>
      <c r="B265" s="965"/>
      <c r="C265" s="965"/>
      <c r="D265" s="965"/>
      <c r="E265" s="965"/>
      <c r="F265" s="965"/>
      <c r="G265" s="965"/>
      <c r="H265" s="965"/>
      <c r="I265" s="965"/>
      <c r="J265" s="965"/>
    </row>
    <row r="266" spans="1:10">
      <c r="A266" s="965"/>
      <c r="B266" s="965"/>
      <c r="C266" s="965"/>
      <c r="D266" s="965"/>
      <c r="E266" s="965"/>
      <c r="F266" s="965"/>
      <c r="G266" s="965"/>
      <c r="H266" s="965"/>
      <c r="I266" s="965"/>
      <c r="J266" s="965"/>
    </row>
    <row r="267" spans="1:10">
      <c r="A267" s="965"/>
      <c r="B267" s="965"/>
      <c r="C267" s="965"/>
      <c r="D267" s="965"/>
      <c r="E267" s="965"/>
      <c r="F267" s="965"/>
      <c r="G267" s="965"/>
      <c r="H267" s="965"/>
      <c r="I267" s="965"/>
      <c r="J267" s="965"/>
    </row>
    <row r="268" spans="1:10">
      <c r="A268" s="965"/>
      <c r="B268" s="965"/>
      <c r="C268" s="965"/>
      <c r="D268" s="965"/>
      <c r="E268" s="965"/>
      <c r="F268" s="965"/>
      <c r="G268" s="965"/>
      <c r="H268" s="965"/>
      <c r="I268" s="965"/>
      <c r="J268" s="965"/>
    </row>
    <row r="269" spans="1:10">
      <c r="A269" s="965"/>
      <c r="B269" s="965"/>
      <c r="C269" s="965"/>
      <c r="D269" s="965"/>
      <c r="E269" s="965"/>
      <c r="F269" s="965"/>
      <c r="G269" s="965"/>
      <c r="H269" s="965"/>
      <c r="I269" s="965"/>
      <c r="J269" s="965"/>
    </row>
    <row r="270" spans="1:10">
      <c r="A270" s="965"/>
      <c r="B270" s="965"/>
      <c r="C270" s="965"/>
      <c r="D270" s="965"/>
      <c r="E270" s="965"/>
      <c r="F270" s="965"/>
      <c r="G270" s="965"/>
      <c r="H270" s="965"/>
      <c r="I270" s="965"/>
      <c r="J270" s="965"/>
    </row>
    <row r="271" spans="1:10">
      <c r="A271" s="965"/>
      <c r="B271" s="965"/>
      <c r="C271" s="965"/>
      <c r="D271" s="965"/>
      <c r="E271" s="965"/>
      <c r="F271" s="965"/>
      <c r="G271" s="965"/>
      <c r="H271" s="965"/>
      <c r="I271" s="965"/>
      <c r="J271" s="965"/>
    </row>
    <row r="272" spans="1:10">
      <c r="A272" s="965"/>
      <c r="B272" s="965"/>
      <c r="C272" s="965"/>
      <c r="D272" s="965"/>
      <c r="E272" s="965"/>
      <c r="F272" s="965"/>
      <c r="G272" s="965"/>
      <c r="H272" s="965"/>
      <c r="I272" s="965"/>
      <c r="J272" s="965"/>
    </row>
    <row r="273" spans="1:10">
      <c r="A273" s="965"/>
      <c r="B273" s="965"/>
      <c r="C273" s="965"/>
      <c r="D273" s="965"/>
      <c r="E273" s="965"/>
      <c r="F273" s="965"/>
      <c r="G273" s="965"/>
      <c r="H273" s="965"/>
      <c r="I273" s="965"/>
      <c r="J273" s="965"/>
    </row>
    <row r="274" spans="1:10">
      <c r="A274" s="965"/>
      <c r="B274" s="965"/>
      <c r="C274" s="965"/>
      <c r="D274" s="965"/>
      <c r="E274" s="965"/>
      <c r="F274" s="965"/>
      <c r="G274" s="965"/>
      <c r="H274" s="965"/>
      <c r="I274" s="965"/>
      <c r="J274" s="965"/>
    </row>
    <row r="275" spans="1:10">
      <c r="A275" s="965"/>
      <c r="B275" s="965"/>
      <c r="C275" s="965"/>
      <c r="D275" s="965"/>
      <c r="E275" s="965"/>
      <c r="F275" s="965"/>
      <c r="G275" s="965"/>
      <c r="H275" s="965"/>
      <c r="I275" s="965"/>
      <c r="J275" s="965"/>
    </row>
    <row r="276" spans="1:10">
      <c r="A276" s="965"/>
      <c r="B276" s="965"/>
      <c r="C276" s="965"/>
      <c r="D276" s="965"/>
      <c r="E276" s="965"/>
      <c r="F276" s="965"/>
      <c r="G276" s="965"/>
      <c r="H276" s="965"/>
      <c r="I276" s="965"/>
      <c r="J276" s="965"/>
    </row>
    <row r="277" spans="1:10">
      <c r="A277" s="965"/>
      <c r="B277" s="965"/>
      <c r="C277" s="965"/>
      <c r="D277" s="965"/>
      <c r="E277" s="965"/>
      <c r="F277" s="965"/>
      <c r="G277" s="965"/>
      <c r="H277" s="965"/>
      <c r="I277" s="965"/>
      <c r="J277" s="965"/>
    </row>
    <row r="278" spans="1:10">
      <c r="A278" s="965"/>
      <c r="B278" s="965"/>
      <c r="C278" s="965"/>
      <c r="D278" s="965"/>
      <c r="E278" s="965"/>
      <c r="F278" s="965"/>
      <c r="G278" s="965"/>
      <c r="H278" s="965"/>
      <c r="I278" s="965"/>
      <c r="J278" s="965"/>
    </row>
    <row r="279" spans="1:10">
      <c r="A279" s="965"/>
      <c r="B279" s="965"/>
      <c r="C279" s="965"/>
      <c r="D279" s="965"/>
      <c r="E279" s="965"/>
      <c r="F279" s="965"/>
      <c r="G279" s="965"/>
      <c r="H279" s="965"/>
      <c r="I279" s="965"/>
      <c r="J279" s="965"/>
    </row>
    <row r="280" spans="1:10">
      <c r="A280" s="965"/>
      <c r="B280" s="965"/>
      <c r="C280" s="965"/>
      <c r="D280" s="965"/>
      <c r="E280" s="965"/>
      <c r="F280" s="965"/>
      <c r="G280" s="965"/>
      <c r="H280" s="965"/>
      <c r="I280" s="965"/>
      <c r="J280" s="965"/>
    </row>
    <row r="281" spans="1:10">
      <c r="A281" s="965"/>
      <c r="B281" s="965"/>
      <c r="C281" s="965"/>
      <c r="D281" s="965"/>
      <c r="E281" s="965"/>
      <c r="F281" s="965"/>
      <c r="G281" s="965"/>
      <c r="H281" s="965"/>
      <c r="I281" s="965"/>
      <c r="J281" s="965"/>
    </row>
    <row r="282" spans="1:10">
      <c r="A282" s="965"/>
      <c r="B282" s="965"/>
      <c r="C282" s="965"/>
      <c r="D282" s="965"/>
      <c r="E282" s="965"/>
      <c r="F282" s="965"/>
      <c r="G282" s="965"/>
      <c r="H282" s="965"/>
      <c r="I282" s="965"/>
      <c r="J282" s="965"/>
    </row>
    <row r="283" spans="1:10">
      <c r="A283" s="965"/>
      <c r="B283" s="965"/>
      <c r="C283" s="965"/>
      <c r="D283" s="965"/>
      <c r="E283" s="965"/>
      <c r="F283" s="965"/>
      <c r="G283" s="965"/>
      <c r="H283" s="965"/>
      <c r="I283" s="965"/>
      <c r="J283" s="965"/>
    </row>
    <row r="284" spans="1:10">
      <c r="A284" s="965"/>
      <c r="B284" s="965"/>
      <c r="C284" s="965"/>
      <c r="D284" s="965"/>
      <c r="E284" s="965"/>
      <c r="F284" s="965"/>
      <c r="G284" s="965"/>
      <c r="H284" s="965"/>
      <c r="I284" s="965"/>
      <c r="J284" s="965"/>
    </row>
    <row r="285" spans="1:10">
      <c r="A285" s="965"/>
      <c r="B285" s="965"/>
      <c r="C285" s="965"/>
      <c r="D285" s="965"/>
      <c r="E285" s="965"/>
      <c r="F285" s="965"/>
      <c r="G285" s="965"/>
      <c r="H285" s="965"/>
      <c r="I285" s="965"/>
      <c r="J285" s="965"/>
    </row>
    <row r="286" spans="1:10">
      <c r="A286" s="965"/>
      <c r="B286" s="965"/>
      <c r="C286" s="965"/>
      <c r="D286" s="965"/>
      <c r="E286" s="965"/>
      <c r="F286" s="965"/>
      <c r="G286" s="965"/>
      <c r="H286" s="965"/>
      <c r="I286" s="965"/>
      <c r="J286" s="965"/>
    </row>
    <row r="287" spans="1:10">
      <c r="A287" s="965"/>
      <c r="B287" s="965"/>
      <c r="C287" s="965"/>
      <c r="D287" s="965"/>
      <c r="E287" s="965"/>
      <c r="F287" s="965"/>
      <c r="G287" s="965"/>
      <c r="H287" s="965"/>
      <c r="I287" s="965"/>
      <c r="J287" s="965"/>
    </row>
    <row r="288" spans="1:10">
      <c r="A288" s="965"/>
      <c r="B288" s="965"/>
      <c r="C288" s="965"/>
      <c r="D288" s="965"/>
      <c r="E288" s="965"/>
      <c r="F288" s="965"/>
      <c r="G288" s="965"/>
      <c r="H288" s="965"/>
      <c r="I288" s="965"/>
      <c r="J288" s="965"/>
    </row>
    <row r="289" spans="1:10">
      <c r="A289" s="965"/>
      <c r="B289" s="965"/>
      <c r="C289" s="965"/>
      <c r="D289" s="965"/>
      <c r="E289" s="965"/>
      <c r="F289" s="965"/>
      <c r="G289" s="965"/>
      <c r="H289" s="965"/>
      <c r="I289" s="965"/>
      <c r="J289" s="965"/>
    </row>
    <row r="290" spans="1:10">
      <c r="A290" s="965"/>
      <c r="B290" s="965"/>
      <c r="C290" s="965"/>
      <c r="D290" s="965"/>
      <c r="E290" s="965"/>
      <c r="F290" s="965"/>
      <c r="G290" s="965"/>
      <c r="H290" s="965"/>
      <c r="I290" s="965"/>
      <c r="J290" s="965"/>
    </row>
    <row r="291" spans="1:10">
      <c r="A291" s="965"/>
      <c r="B291" s="965"/>
      <c r="C291" s="965"/>
      <c r="D291" s="965"/>
      <c r="E291" s="965"/>
      <c r="F291" s="965"/>
      <c r="G291" s="965"/>
      <c r="H291" s="965"/>
      <c r="I291" s="965"/>
      <c r="J291" s="965"/>
    </row>
    <row r="292" spans="1:10">
      <c r="A292" s="965"/>
      <c r="B292" s="965"/>
      <c r="C292" s="965"/>
      <c r="D292" s="965"/>
      <c r="E292" s="965"/>
      <c r="F292" s="965"/>
      <c r="G292" s="965"/>
      <c r="H292" s="965"/>
      <c r="I292" s="965"/>
      <c r="J292" s="965"/>
    </row>
    <row r="293" spans="1:10">
      <c r="A293" s="965"/>
      <c r="B293" s="965"/>
      <c r="C293" s="965"/>
      <c r="D293" s="965"/>
      <c r="E293" s="965"/>
      <c r="F293" s="965"/>
      <c r="G293" s="965"/>
      <c r="H293" s="965"/>
      <c r="I293" s="965"/>
      <c r="J293" s="965"/>
    </row>
    <row r="294" spans="1:10">
      <c r="A294" s="965"/>
      <c r="B294" s="965"/>
      <c r="C294" s="965"/>
      <c r="D294" s="965"/>
      <c r="E294" s="965"/>
      <c r="F294" s="965"/>
      <c r="G294" s="965"/>
      <c r="H294" s="965"/>
      <c r="I294" s="965"/>
      <c r="J294" s="965"/>
    </row>
    <row r="295" spans="1:10">
      <c r="A295" s="965"/>
      <c r="B295" s="965"/>
      <c r="C295" s="965"/>
      <c r="D295" s="965"/>
      <c r="E295" s="965"/>
      <c r="F295" s="965"/>
      <c r="G295" s="965"/>
      <c r="H295" s="965"/>
      <c r="I295" s="965"/>
      <c r="J295" s="965"/>
    </row>
    <row r="296" spans="1:10">
      <c r="A296" s="965"/>
      <c r="B296" s="965"/>
      <c r="C296" s="965"/>
      <c r="D296" s="965"/>
      <c r="E296" s="965"/>
      <c r="F296" s="965"/>
      <c r="G296" s="965"/>
      <c r="H296" s="965"/>
      <c r="I296" s="965"/>
      <c r="J296" s="965"/>
    </row>
    <row r="297" spans="1:10">
      <c r="A297" s="965"/>
      <c r="B297" s="965"/>
      <c r="C297" s="965"/>
      <c r="D297" s="965"/>
      <c r="E297" s="965"/>
      <c r="F297" s="965"/>
      <c r="G297" s="965"/>
      <c r="H297" s="965"/>
      <c r="I297" s="965"/>
      <c r="J297" s="965"/>
    </row>
    <row r="298" spans="1:10">
      <c r="A298" s="965"/>
      <c r="B298" s="965"/>
      <c r="C298" s="965"/>
      <c r="D298" s="965"/>
      <c r="E298" s="965"/>
      <c r="F298" s="965"/>
      <c r="G298" s="965"/>
      <c r="H298" s="965"/>
      <c r="I298" s="965"/>
      <c r="J298" s="965"/>
    </row>
    <row r="299" spans="1:10">
      <c r="A299" s="965"/>
      <c r="B299" s="965"/>
      <c r="C299" s="965"/>
      <c r="D299" s="965"/>
      <c r="E299" s="965"/>
      <c r="F299" s="965"/>
      <c r="G299" s="965"/>
      <c r="H299" s="965"/>
      <c r="I299" s="965"/>
      <c r="J299" s="965"/>
    </row>
    <row r="300" spans="1:10">
      <c r="A300" s="965"/>
      <c r="B300" s="965"/>
      <c r="C300" s="965"/>
      <c r="D300" s="965"/>
      <c r="E300" s="965"/>
      <c r="F300" s="965"/>
      <c r="G300" s="965"/>
      <c r="H300" s="965"/>
      <c r="I300" s="965"/>
      <c r="J300" s="965"/>
    </row>
    <row r="301" spans="1:10">
      <c r="A301" s="965"/>
      <c r="B301" s="965"/>
      <c r="C301" s="965"/>
      <c r="D301" s="965"/>
      <c r="E301" s="965"/>
      <c r="F301" s="965"/>
      <c r="G301" s="965"/>
      <c r="H301" s="965"/>
      <c r="I301" s="965"/>
      <c r="J301" s="965"/>
    </row>
    <row r="302" spans="1:10">
      <c r="A302" s="965"/>
      <c r="B302" s="965"/>
      <c r="C302" s="965"/>
      <c r="D302" s="965"/>
      <c r="E302" s="965"/>
      <c r="F302" s="965"/>
      <c r="G302" s="965"/>
      <c r="H302" s="965"/>
      <c r="I302" s="965"/>
      <c r="J302" s="965"/>
    </row>
    <row r="303" spans="1:10">
      <c r="A303" s="965"/>
      <c r="B303" s="965"/>
      <c r="C303" s="965"/>
      <c r="D303" s="965"/>
      <c r="E303" s="965"/>
      <c r="F303" s="965"/>
      <c r="G303" s="965"/>
      <c r="H303" s="965"/>
      <c r="I303" s="965"/>
      <c r="J303" s="965"/>
    </row>
    <row r="304" spans="1:10">
      <c r="A304" s="965"/>
      <c r="B304" s="965"/>
      <c r="C304" s="965"/>
      <c r="D304" s="965"/>
      <c r="E304" s="965"/>
      <c r="F304" s="965"/>
      <c r="G304" s="965"/>
      <c r="H304" s="965"/>
      <c r="I304" s="965"/>
      <c r="J304" s="965"/>
    </row>
    <row r="305" spans="1:10">
      <c r="A305" s="965"/>
      <c r="B305" s="965"/>
      <c r="C305" s="965"/>
      <c r="D305" s="965"/>
      <c r="E305" s="965"/>
      <c r="F305" s="965"/>
      <c r="G305" s="965"/>
      <c r="H305" s="965"/>
      <c r="I305" s="965"/>
      <c r="J305" s="965"/>
    </row>
    <row r="306" spans="1:10">
      <c r="A306" s="965"/>
      <c r="B306" s="965"/>
      <c r="C306" s="965"/>
      <c r="D306" s="965"/>
      <c r="E306" s="965"/>
      <c r="F306" s="965"/>
      <c r="G306" s="965"/>
      <c r="H306" s="965"/>
      <c r="I306" s="965"/>
      <c r="J306" s="965"/>
    </row>
    <row r="307" spans="1:10">
      <c r="A307" s="965"/>
      <c r="B307" s="965"/>
      <c r="C307" s="965"/>
      <c r="D307" s="965"/>
      <c r="E307" s="965"/>
      <c r="F307" s="965"/>
      <c r="G307" s="965"/>
      <c r="H307" s="965"/>
      <c r="I307" s="965"/>
      <c r="J307" s="965"/>
    </row>
    <row r="308" spans="1:10">
      <c r="A308" s="965"/>
      <c r="B308" s="965"/>
      <c r="C308" s="965"/>
      <c r="D308" s="965"/>
      <c r="E308" s="965"/>
      <c r="F308" s="965"/>
      <c r="G308" s="965"/>
      <c r="H308" s="965"/>
      <c r="I308" s="965"/>
      <c r="J308" s="965"/>
    </row>
    <row r="309" spans="1:10">
      <c r="A309" s="965"/>
      <c r="B309" s="965"/>
      <c r="C309" s="965"/>
      <c r="D309" s="965"/>
      <c r="E309" s="965"/>
      <c r="F309" s="965"/>
      <c r="G309" s="965"/>
      <c r="H309" s="965"/>
      <c r="I309" s="965"/>
      <c r="J309" s="965"/>
    </row>
    <row r="310" spans="1:10">
      <c r="A310" s="965"/>
      <c r="B310" s="965"/>
      <c r="C310" s="965"/>
      <c r="D310" s="965"/>
      <c r="E310" s="965"/>
      <c r="F310" s="965"/>
      <c r="G310" s="965"/>
      <c r="H310" s="965"/>
      <c r="I310" s="965"/>
      <c r="J310" s="965"/>
    </row>
    <row r="311" spans="1:10">
      <c r="A311" s="965"/>
      <c r="B311" s="965"/>
      <c r="C311" s="965"/>
      <c r="D311" s="965"/>
      <c r="E311" s="965"/>
      <c r="F311" s="965"/>
      <c r="G311" s="965"/>
      <c r="H311" s="965"/>
      <c r="I311" s="965"/>
      <c r="J311" s="965"/>
    </row>
    <row r="312" spans="1:10">
      <c r="A312" s="965"/>
      <c r="B312" s="965"/>
      <c r="C312" s="965"/>
      <c r="D312" s="965"/>
      <c r="E312" s="965"/>
      <c r="F312" s="965"/>
      <c r="G312" s="965"/>
      <c r="H312" s="965"/>
      <c r="I312" s="965"/>
      <c r="J312" s="965"/>
    </row>
    <row r="313" spans="1:10">
      <c r="A313" s="965"/>
      <c r="B313" s="965"/>
      <c r="C313" s="965"/>
      <c r="D313" s="965"/>
      <c r="E313" s="965"/>
      <c r="F313" s="965"/>
      <c r="G313" s="965"/>
      <c r="H313" s="965"/>
      <c r="I313" s="965"/>
      <c r="J313" s="965"/>
    </row>
    <row r="314" spans="1:10">
      <c r="A314" s="965"/>
      <c r="B314" s="965"/>
      <c r="C314" s="965"/>
      <c r="D314" s="965"/>
      <c r="E314" s="965"/>
      <c r="F314" s="965"/>
      <c r="G314" s="965"/>
      <c r="H314" s="965"/>
      <c r="I314" s="965"/>
      <c r="J314" s="965"/>
    </row>
    <row r="315" spans="1:10">
      <c r="A315" s="965"/>
      <c r="B315" s="965"/>
      <c r="C315" s="965"/>
      <c r="D315" s="965"/>
      <c r="E315" s="965"/>
      <c r="F315" s="965"/>
      <c r="G315" s="965"/>
      <c r="H315" s="965"/>
      <c r="I315" s="965"/>
      <c r="J315" s="965"/>
    </row>
    <row r="316" spans="1:10">
      <c r="A316" s="965"/>
      <c r="B316" s="965"/>
      <c r="C316" s="965"/>
      <c r="D316" s="965"/>
      <c r="E316" s="965"/>
      <c r="F316" s="965"/>
      <c r="G316" s="965"/>
      <c r="H316" s="965"/>
      <c r="I316" s="965"/>
      <c r="J316" s="965"/>
    </row>
    <row r="317" spans="1:10">
      <c r="A317" s="965"/>
      <c r="B317" s="965"/>
      <c r="C317" s="965"/>
      <c r="D317" s="965"/>
      <c r="E317" s="965"/>
      <c r="F317" s="965"/>
      <c r="G317" s="965"/>
      <c r="H317" s="965"/>
      <c r="I317" s="965"/>
      <c r="J317" s="965"/>
    </row>
    <row r="318" spans="1:10">
      <c r="A318" s="965"/>
      <c r="B318" s="965"/>
      <c r="C318" s="965"/>
      <c r="D318" s="965"/>
      <c r="E318" s="965"/>
      <c r="F318" s="965"/>
      <c r="G318" s="965"/>
      <c r="H318" s="965"/>
      <c r="I318" s="965"/>
      <c r="J318" s="965"/>
    </row>
    <row r="319" spans="1:10">
      <c r="A319" s="965"/>
      <c r="B319" s="965"/>
      <c r="C319" s="965"/>
      <c r="D319" s="965"/>
      <c r="E319" s="965"/>
      <c r="F319" s="965"/>
      <c r="G319" s="965"/>
      <c r="H319" s="965"/>
      <c r="I319" s="965"/>
      <c r="J319" s="965"/>
    </row>
    <row r="320" spans="1:10">
      <c r="A320" s="965"/>
      <c r="B320" s="965"/>
      <c r="C320" s="965"/>
      <c r="D320" s="965"/>
      <c r="E320" s="965"/>
      <c r="F320" s="965"/>
      <c r="G320" s="965"/>
      <c r="H320" s="965"/>
      <c r="I320" s="965"/>
      <c r="J320" s="965"/>
    </row>
    <row r="321" spans="1:10">
      <c r="A321" s="965"/>
      <c r="B321" s="965"/>
      <c r="C321" s="965"/>
      <c r="D321" s="965"/>
      <c r="E321" s="965"/>
      <c r="F321" s="965"/>
      <c r="G321" s="965"/>
      <c r="H321" s="965"/>
      <c r="I321" s="965"/>
      <c r="J321" s="965"/>
    </row>
    <row r="322" spans="1:10">
      <c r="A322" s="965"/>
      <c r="B322" s="965"/>
      <c r="C322" s="965"/>
      <c r="D322" s="965"/>
      <c r="E322" s="965"/>
      <c r="F322" s="965"/>
      <c r="G322" s="965"/>
      <c r="H322" s="965"/>
      <c r="I322" s="965"/>
      <c r="J322" s="965"/>
    </row>
    <row r="323" spans="1:10">
      <c r="A323" s="965"/>
      <c r="B323" s="965"/>
      <c r="C323" s="965"/>
      <c r="D323" s="965"/>
      <c r="E323" s="965"/>
      <c r="F323" s="965"/>
      <c r="G323" s="965"/>
      <c r="H323" s="965"/>
      <c r="I323" s="965"/>
      <c r="J323" s="965"/>
    </row>
    <row r="324" spans="1:10">
      <c r="A324" s="965"/>
      <c r="B324" s="965"/>
      <c r="C324" s="965"/>
      <c r="D324" s="965"/>
      <c r="E324" s="965"/>
      <c r="F324" s="965"/>
      <c r="G324" s="965"/>
      <c r="H324" s="965"/>
      <c r="I324" s="965"/>
      <c r="J324" s="965"/>
    </row>
    <row r="325" spans="1:10">
      <c r="A325" s="965"/>
      <c r="B325" s="965"/>
      <c r="C325" s="965"/>
      <c r="D325" s="965"/>
      <c r="E325" s="965"/>
      <c r="F325" s="965"/>
      <c r="G325" s="965"/>
      <c r="H325" s="965"/>
      <c r="I325" s="965"/>
      <c r="J325" s="965"/>
    </row>
    <row r="326" spans="1:10">
      <c r="A326" s="965"/>
      <c r="B326" s="965"/>
      <c r="C326" s="965"/>
      <c r="D326" s="965"/>
      <c r="E326" s="965"/>
      <c r="F326" s="965"/>
      <c r="G326" s="965"/>
      <c r="H326" s="965"/>
      <c r="I326" s="965"/>
      <c r="J326" s="965"/>
    </row>
    <row r="327" spans="1:10">
      <c r="A327" s="965"/>
      <c r="B327" s="965"/>
      <c r="C327" s="965"/>
      <c r="D327" s="965"/>
      <c r="E327" s="965"/>
      <c r="F327" s="965"/>
      <c r="G327" s="965"/>
      <c r="H327" s="965"/>
      <c r="I327" s="965"/>
      <c r="J327" s="965"/>
    </row>
    <row r="328" spans="1:10">
      <c r="A328" s="965"/>
      <c r="B328" s="965"/>
      <c r="C328" s="965"/>
      <c r="D328" s="965"/>
      <c r="E328" s="965"/>
      <c r="F328" s="965"/>
      <c r="G328" s="965"/>
      <c r="H328" s="965"/>
      <c r="I328" s="965"/>
      <c r="J328" s="965"/>
    </row>
    <row r="329" spans="1:10">
      <c r="A329" s="965"/>
      <c r="B329" s="965"/>
      <c r="C329" s="965"/>
      <c r="D329" s="965"/>
      <c r="E329" s="965"/>
      <c r="F329" s="965"/>
      <c r="G329" s="965"/>
      <c r="H329" s="965"/>
      <c r="I329" s="965"/>
      <c r="J329" s="965"/>
    </row>
    <row r="330" spans="1:10">
      <c r="A330" s="965"/>
      <c r="B330" s="965"/>
      <c r="C330" s="965"/>
      <c r="D330" s="965"/>
      <c r="E330" s="965"/>
      <c r="F330" s="965"/>
      <c r="G330" s="965"/>
      <c r="H330" s="965"/>
      <c r="I330" s="965"/>
      <c r="J330" s="965"/>
    </row>
    <row r="331" spans="1:10">
      <c r="A331" s="965"/>
      <c r="B331" s="965"/>
      <c r="C331" s="965"/>
      <c r="D331" s="965"/>
      <c r="E331" s="965"/>
      <c r="F331" s="965"/>
      <c r="G331" s="965"/>
      <c r="H331" s="965"/>
      <c r="I331" s="965"/>
      <c r="J331" s="965"/>
    </row>
    <row r="332" spans="1:10">
      <c r="A332" s="965"/>
      <c r="B332" s="965"/>
      <c r="C332" s="965"/>
      <c r="D332" s="965"/>
      <c r="E332" s="965"/>
      <c r="F332" s="965"/>
      <c r="G332" s="965"/>
      <c r="H332" s="965"/>
      <c r="I332" s="965"/>
      <c r="J332" s="965"/>
    </row>
    <row r="333" spans="1:10">
      <c r="A333" s="965"/>
      <c r="B333" s="965"/>
      <c r="C333" s="965"/>
      <c r="D333" s="965"/>
      <c r="E333" s="965"/>
      <c r="F333" s="965"/>
      <c r="G333" s="965"/>
      <c r="H333" s="965"/>
      <c r="I333" s="965"/>
      <c r="J333" s="965"/>
    </row>
    <row r="334" spans="1:10">
      <c r="A334" s="965"/>
      <c r="B334" s="965"/>
      <c r="C334" s="965"/>
      <c r="D334" s="965"/>
      <c r="E334" s="965"/>
      <c r="F334" s="965"/>
      <c r="G334" s="965"/>
      <c r="H334" s="965"/>
      <c r="I334" s="965"/>
      <c r="J334" s="965"/>
    </row>
    <row r="335" spans="1:10">
      <c r="A335" s="965"/>
      <c r="B335" s="965"/>
      <c r="C335" s="965"/>
      <c r="D335" s="965"/>
      <c r="E335" s="965"/>
      <c r="F335" s="965"/>
      <c r="G335" s="965"/>
      <c r="H335" s="965"/>
      <c r="I335" s="965"/>
      <c r="J335" s="965"/>
    </row>
    <row r="336" spans="1:10">
      <c r="A336" s="965"/>
      <c r="B336" s="965"/>
      <c r="C336" s="965"/>
      <c r="D336" s="965"/>
      <c r="E336" s="965"/>
      <c r="F336" s="965"/>
      <c r="G336" s="965"/>
      <c r="H336" s="965"/>
      <c r="I336" s="965"/>
      <c r="J336" s="965"/>
    </row>
    <row r="337" spans="1:10">
      <c r="A337" s="965"/>
      <c r="B337" s="965"/>
      <c r="C337" s="965"/>
      <c r="D337" s="965"/>
      <c r="E337" s="965"/>
      <c r="F337" s="965"/>
      <c r="G337" s="965"/>
      <c r="H337" s="965"/>
      <c r="I337" s="965"/>
      <c r="J337" s="965"/>
    </row>
    <row r="338" spans="1:10">
      <c r="A338" s="965"/>
      <c r="B338" s="965"/>
      <c r="C338" s="965"/>
      <c r="D338" s="965"/>
      <c r="E338" s="965"/>
      <c r="F338" s="965"/>
      <c r="G338" s="965"/>
      <c r="H338" s="965"/>
      <c r="I338" s="965"/>
      <c r="J338" s="965"/>
    </row>
    <row r="339" spans="1:10">
      <c r="A339" s="965"/>
      <c r="B339" s="965"/>
      <c r="C339" s="965"/>
      <c r="D339" s="965"/>
      <c r="E339" s="965"/>
      <c r="F339" s="965"/>
      <c r="G339" s="965"/>
      <c r="H339" s="965"/>
      <c r="I339" s="965"/>
      <c r="J339" s="965"/>
    </row>
    <row r="340" spans="1:10">
      <c r="A340" s="965"/>
      <c r="B340" s="965"/>
      <c r="C340" s="965"/>
      <c r="D340" s="965"/>
      <c r="E340" s="965"/>
      <c r="F340" s="965"/>
      <c r="G340" s="965"/>
      <c r="H340" s="965"/>
      <c r="I340" s="965"/>
      <c r="J340" s="965"/>
    </row>
    <row r="341" spans="1:10">
      <c r="A341" s="965"/>
      <c r="B341" s="965"/>
      <c r="C341" s="965"/>
      <c r="D341" s="965"/>
      <c r="E341" s="965"/>
      <c r="F341" s="965"/>
      <c r="G341" s="965"/>
      <c r="H341" s="965"/>
      <c r="I341" s="965"/>
      <c r="J341" s="965"/>
    </row>
    <row r="342" spans="1:10">
      <c r="A342" s="965"/>
      <c r="B342" s="965"/>
      <c r="C342" s="965"/>
      <c r="D342" s="965"/>
      <c r="E342" s="965"/>
      <c r="F342" s="965"/>
      <c r="G342" s="965"/>
      <c r="H342" s="965"/>
      <c r="I342" s="965"/>
      <c r="J342" s="965"/>
    </row>
    <row r="343" spans="1:10">
      <c r="A343" s="965"/>
      <c r="B343" s="965"/>
      <c r="C343" s="965"/>
      <c r="D343" s="965"/>
      <c r="E343" s="965"/>
      <c r="F343" s="965"/>
      <c r="G343" s="965"/>
      <c r="H343" s="965"/>
      <c r="I343" s="965"/>
      <c r="J343" s="965"/>
    </row>
    <row r="344" spans="1:10">
      <c r="A344" s="965"/>
      <c r="B344" s="965"/>
      <c r="C344" s="965"/>
      <c r="D344" s="965"/>
      <c r="E344" s="965"/>
      <c r="F344" s="965"/>
      <c r="G344" s="965"/>
      <c r="H344" s="965"/>
      <c r="I344" s="965"/>
      <c r="J344" s="965"/>
    </row>
    <row r="345" spans="1:10">
      <c r="A345" s="965"/>
      <c r="B345" s="965"/>
      <c r="C345" s="965"/>
      <c r="D345" s="965"/>
      <c r="E345" s="965"/>
      <c r="F345" s="965"/>
      <c r="G345" s="965"/>
      <c r="H345" s="965"/>
      <c r="I345" s="965"/>
      <c r="J345" s="965"/>
    </row>
    <row r="346" spans="1:10">
      <c r="A346" s="965"/>
      <c r="B346" s="965"/>
      <c r="C346" s="965"/>
      <c r="D346" s="965"/>
      <c r="E346" s="965"/>
      <c r="F346" s="965"/>
      <c r="G346" s="965"/>
      <c r="H346" s="965"/>
      <c r="I346" s="965"/>
      <c r="J346" s="965"/>
    </row>
    <row r="347" spans="1:10">
      <c r="A347" s="965"/>
      <c r="B347" s="965"/>
      <c r="C347" s="965"/>
      <c r="D347" s="965"/>
      <c r="E347" s="965"/>
      <c r="F347" s="965"/>
      <c r="G347" s="965"/>
      <c r="H347" s="965"/>
      <c r="I347" s="965"/>
      <c r="J347" s="965"/>
    </row>
    <row r="348" spans="1:10">
      <c r="A348" s="965"/>
      <c r="B348" s="965"/>
      <c r="C348" s="965"/>
      <c r="D348" s="965"/>
      <c r="E348" s="965"/>
      <c r="F348" s="965"/>
      <c r="G348" s="965"/>
      <c r="H348" s="965"/>
      <c r="I348" s="965"/>
      <c r="J348" s="965"/>
    </row>
    <row r="349" spans="1:10">
      <c r="A349" s="965"/>
      <c r="B349" s="965"/>
      <c r="C349" s="965"/>
      <c r="D349" s="965"/>
      <c r="E349" s="965"/>
      <c r="F349" s="965"/>
      <c r="G349" s="965"/>
      <c r="H349" s="965"/>
      <c r="I349" s="965"/>
      <c r="J349" s="965"/>
    </row>
    <row r="350" spans="1:10">
      <c r="A350" s="965"/>
      <c r="B350" s="965"/>
      <c r="C350" s="965"/>
      <c r="D350" s="965"/>
      <c r="E350" s="965"/>
      <c r="F350" s="965"/>
      <c r="G350" s="965"/>
      <c r="H350" s="965"/>
      <c r="I350" s="965"/>
      <c r="J350" s="965"/>
    </row>
    <row r="351" spans="1:10">
      <c r="A351" s="965"/>
      <c r="B351" s="965"/>
      <c r="C351" s="965"/>
      <c r="D351" s="965"/>
      <c r="E351" s="965"/>
      <c r="F351" s="965"/>
      <c r="G351" s="965"/>
      <c r="H351" s="965"/>
      <c r="I351" s="965"/>
      <c r="J351" s="965"/>
    </row>
    <row r="352" spans="1:10">
      <c r="A352" s="965"/>
      <c r="B352" s="965"/>
      <c r="C352" s="965"/>
      <c r="D352" s="965"/>
      <c r="E352" s="965"/>
      <c r="F352" s="965"/>
      <c r="G352" s="965"/>
      <c r="H352" s="965"/>
      <c r="I352" s="965"/>
      <c r="J352" s="965"/>
    </row>
    <row r="353" spans="1:10">
      <c r="A353" s="965"/>
      <c r="B353" s="965"/>
      <c r="C353" s="965"/>
      <c r="D353" s="965"/>
      <c r="E353" s="965"/>
      <c r="F353" s="965"/>
      <c r="G353" s="965"/>
      <c r="H353" s="965"/>
      <c r="I353" s="965"/>
      <c r="J353" s="965"/>
    </row>
    <row r="354" spans="1:10">
      <c r="A354" s="965"/>
      <c r="B354" s="965"/>
      <c r="C354" s="965"/>
      <c r="D354" s="965"/>
      <c r="E354" s="965"/>
      <c r="F354" s="965"/>
      <c r="G354" s="965"/>
      <c r="H354" s="965"/>
      <c r="I354" s="965"/>
      <c r="J354" s="965"/>
    </row>
    <row r="355" spans="1:10">
      <c r="A355" s="965"/>
      <c r="B355" s="965"/>
      <c r="C355" s="965"/>
      <c r="D355" s="965"/>
      <c r="E355" s="965"/>
      <c r="F355" s="965"/>
      <c r="G355" s="965"/>
      <c r="H355" s="965"/>
      <c r="I355" s="965"/>
      <c r="J355" s="965"/>
    </row>
    <row r="356" spans="1:10">
      <c r="A356" s="965"/>
      <c r="B356" s="965"/>
      <c r="C356" s="965"/>
      <c r="D356" s="965"/>
      <c r="E356" s="965"/>
      <c r="F356" s="965"/>
      <c r="G356" s="965"/>
      <c r="H356" s="965"/>
      <c r="I356" s="965"/>
      <c r="J356" s="965"/>
    </row>
    <row r="357" spans="1:10">
      <c r="A357" s="965"/>
      <c r="B357" s="965"/>
      <c r="C357" s="965"/>
      <c r="D357" s="965"/>
      <c r="E357" s="965"/>
      <c r="F357" s="965"/>
      <c r="G357" s="965"/>
      <c r="H357" s="965"/>
      <c r="I357" s="965"/>
      <c r="J357" s="965"/>
    </row>
    <row r="358" spans="1:10">
      <c r="A358" s="965"/>
      <c r="B358" s="965"/>
      <c r="C358" s="965"/>
      <c r="D358" s="965"/>
      <c r="E358" s="965"/>
      <c r="F358" s="965"/>
      <c r="G358" s="965"/>
      <c r="H358" s="965"/>
      <c r="I358" s="965"/>
      <c r="J358" s="965"/>
    </row>
    <row r="359" spans="1:10">
      <c r="A359" s="965"/>
      <c r="B359" s="965"/>
      <c r="C359" s="965"/>
      <c r="D359" s="965"/>
      <c r="E359" s="965"/>
      <c r="F359" s="965"/>
      <c r="G359" s="965"/>
      <c r="H359" s="965"/>
      <c r="I359" s="965"/>
      <c r="J359" s="965"/>
    </row>
    <row r="360" spans="1:10">
      <c r="A360" s="965"/>
      <c r="B360" s="965"/>
      <c r="C360" s="965"/>
      <c r="D360" s="965"/>
      <c r="E360" s="965"/>
      <c r="F360" s="965"/>
      <c r="G360" s="965"/>
      <c r="H360" s="965"/>
      <c r="I360" s="965"/>
      <c r="J360" s="965"/>
    </row>
    <row r="361" spans="1:10">
      <c r="A361" s="965"/>
      <c r="B361" s="965"/>
      <c r="C361" s="965"/>
      <c r="D361" s="965"/>
      <c r="E361" s="965"/>
      <c r="F361" s="965"/>
      <c r="G361" s="965"/>
      <c r="H361" s="965"/>
      <c r="I361" s="965"/>
      <c r="J361" s="965"/>
    </row>
    <row r="362" spans="1:10">
      <c r="A362" s="965"/>
      <c r="B362" s="965"/>
      <c r="C362" s="965"/>
      <c r="D362" s="965"/>
      <c r="E362" s="965"/>
      <c r="F362" s="965"/>
      <c r="G362" s="965"/>
      <c r="H362" s="965"/>
      <c r="I362" s="965"/>
      <c r="J362" s="965"/>
    </row>
    <row r="363" spans="1:10">
      <c r="A363" s="965"/>
      <c r="B363" s="965"/>
      <c r="C363" s="965"/>
      <c r="D363" s="965"/>
      <c r="E363" s="965"/>
      <c r="F363" s="965"/>
      <c r="G363" s="965"/>
      <c r="H363" s="965"/>
      <c r="I363" s="965"/>
      <c r="J363" s="965"/>
    </row>
    <row r="364" spans="1:10">
      <c r="A364" s="965"/>
      <c r="B364" s="965"/>
      <c r="C364" s="965"/>
      <c r="D364" s="965"/>
      <c r="E364" s="965"/>
      <c r="F364" s="965"/>
      <c r="G364" s="965"/>
      <c r="H364" s="965"/>
      <c r="I364" s="965"/>
      <c r="J364" s="965"/>
    </row>
    <row r="365" spans="1:10">
      <c r="A365" s="965"/>
      <c r="B365" s="965"/>
      <c r="C365" s="965"/>
      <c r="D365" s="965"/>
      <c r="E365" s="965"/>
      <c r="F365" s="965"/>
      <c r="G365" s="965"/>
      <c r="H365" s="965"/>
      <c r="I365" s="965"/>
      <c r="J365" s="965"/>
    </row>
    <row r="366" spans="1:10">
      <c r="A366" s="965"/>
      <c r="B366" s="965"/>
      <c r="C366" s="965"/>
      <c r="D366" s="965"/>
      <c r="E366" s="965"/>
      <c r="F366" s="965"/>
      <c r="G366" s="965"/>
      <c r="H366" s="965"/>
      <c r="I366" s="965"/>
      <c r="J366" s="965"/>
    </row>
    <row r="367" spans="1:10">
      <c r="A367" s="965"/>
      <c r="B367" s="965"/>
      <c r="C367" s="965"/>
      <c r="D367" s="965"/>
      <c r="E367" s="965"/>
      <c r="F367" s="965"/>
      <c r="G367" s="965"/>
      <c r="H367" s="965"/>
      <c r="I367" s="965"/>
      <c r="J367" s="965"/>
    </row>
    <row r="368" spans="1:10">
      <c r="A368" s="965"/>
      <c r="B368" s="965"/>
      <c r="C368" s="965"/>
      <c r="D368" s="965"/>
      <c r="E368" s="965"/>
      <c r="F368" s="965"/>
      <c r="G368" s="965"/>
      <c r="H368" s="965"/>
      <c r="I368" s="965"/>
      <c r="J368" s="965"/>
    </row>
    <row r="369" spans="1:10">
      <c r="A369" s="965"/>
      <c r="B369" s="965"/>
      <c r="C369" s="965"/>
      <c r="D369" s="965"/>
      <c r="E369" s="965"/>
      <c r="F369" s="965"/>
      <c r="G369" s="965"/>
      <c r="H369" s="965"/>
      <c r="I369" s="965"/>
      <c r="J369" s="965"/>
    </row>
    <row r="370" spans="1:10">
      <c r="A370" s="965"/>
      <c r="B370" s="965"/>
      <c r="C370" s="965"/>
      <c r="D370" s="965"/>
      <c r="E370" s="965"/>
      <c r="F370" s="965"/>
      <c r="G370" s="965"/>
      <c r="H370" s="965"/>
      <c r="I370" s="965"/>
      <c r="J370" s="965"/>
    </row>
    <row r="371" spans="1:10">
      <c r="A371" s="965"/>
      <c r="B371" s="965"/>
      <c r="C371" s="965"/>
      <c r="D371" s="965"/>
      <c r="E371" s="965"/>
      <c r="F371" s="965"/>
      <c r="G371" s="965"/>
      <c r="H371" s="965"/>
      <c r="I371" s="965"/>
      <c r="J371" s="965"/>
    </row>
    <row r="372" spans="1:10">
      <c r="A372" s="965"/>
      <c r="B372" s="965"/>
      <c r="C372" s="965"/>
      <c r="D372" s="965"/>
      <c r="E372" s="965"/>
      <c r="F372" s="965"/>
      <c r="G372" s="965"/>
      <c r="H372" s="965"/>
      <c r="I372" s="965"/>
      <c r="J372" s="965"/>
    </row>
    <row r="373" spans="1:10">
      <c r="A373" s="965"/>
      <c r="B373" s="965"/>
      <c r="C373" s="965"/>
      <c r="D373" s="965"/>
      <c r="E373" s="965"/>
      <c r="F373" s="965"/>
      <c r="G373" s="965"/>
      <c r="H373" s="965"/>
      <c r="I373" s="965"/>
      <c r="J373" s="965"/>
    </row>
    <row r="374" spans="1:10">
      <c r="A374" s="965"/>
      <c r="B374" s="965"/>
      <c r="C374" s="965"/>
      <c r="D374" s="965"/>
      <c r="E374" s="965"/>
      <c r="F374" s="965"/>
      <c r="G374" s="965"/>
      <c r="H374" s="965"/>
      <c r="I374" s="965"/>
      <c r="J374" s="965"/>
    </row>
    <row r="375" spans="1:10">
      <c r="A375" s="965"/>
      <c r="B375" s="965"/>
      <c r="C375" s="965"/>
      <c r="D375" s="965"/>
      <c r="E375" s="965"/>
      <c r="F375" s="965"/>
      <c r="G375" s="965"/>
      <c r="H375" s="965"/>
      <c r="I375" s="965"/>
      <c r="J375" s="965"/>
    </row>
    <row r="376" spans="1:10">
      <c r="A376" s="965"/>
      <c r="B376" s="965"/>
      <c r="C376" s="965"/>
      <c r="D376" s="965"/>
      <c r="E376" s="965"/>
      <c r="F376" s="965"/>
      <c r="G376" s="965"/>
      <c r="H376" s="965"/>
      <c r="I376" s="965"/>
      <c r="J376" s="965"/>
    </row>
    <row r="377" spans="1:10">
      <c r="A377" s="965"/>
      <c r="B377" s="965"/>
      <c r="C377" s="965"/>
      <c r="D377" s="965"/>
      <c r="E377" s="965"/>
      <c r="F377" s="965"/>
      <c r="G377" s="965"/>
      <c r="H377" s="965"/>
      <c r="I377" s="965"/>
      <c r="J377" s="965"/>
    </row>
    <row r="378" spans="1:10">
      <c r="A378" s="965"/>
      <c r="B378" s="965"/>
      <c r="C378" s="965"/>
      <c r="D378" s="965"/>
      <c r="E378" s="965"/>
      <c r="F378" s="965"/>
      <c r="G378" s="965"/>
      <c r="H378" s="965"/>
      <c r="I378" s="965"/>
      <c r="J378" s="965"/>
    </row>
    <row r="379" spans="1:10">
      <c r="A379" s="965"/>
      <c r="B379" s="965"/>
      <c r="C379" s="965"/>
      <c r="D379" s="965"/>
      <c r="E379" s="965"/>
      <c r="F379" s="965"/>
      <c r="G379" s="965"/>
      <c r="H379" s="965"/>
      <c r="I379" s="965"/>
      <c r="J379" s="965"/>
    </row>
    <row r="380" spans="1:10">
      <c r="A380" s="965"/>
      <c r="B380" s="965"/>
      <c r="C380" s="965"/>
      <c r="D380" s="965"/>
      <c r="E380" s="965"/>
      <c r="F380" s="965"/>
      <c r="G380" s="965"/>
      <c r="H380" s="965"/>
      <c r="I380" s="965"/>
      <c r="J380" s="965"/>
    </row>
    <row r="381" spans="1:10">
      <c r="A381" s="965"/>
      <c r="B381" s="965"/>
      <c r="C381" s="965"/>
      <c r="D381" s="965"/>
      <c r="E381" s="965"/>
      <c r="F381" s="965"/>
      <c r="G381" s="965"/>
      <c r="H381" s="965"/>
      <c r="I381" s="965"/>
      <c r="J381" s="965"/>
    </row>
    <row r="382" spans="1:10">
      <c r="A382" s="965"/>
      <c r="B382" s="965"/>
      <c r="C382" s="965"/>
      <c r="D382" s="965"/>
      <c r="E382" s="965"/>
      <c r="F382" s="965"/>
      <c r="G382" s="965"/>
      <c r="H382" s="965"/>
      <c r="I382" s="965"/>
      <c r="J382" s="965"/>
    </row>
    <row r="383" spans="1:10">
      <c r="A383" s="965"/>
      <c r="B383" s="965"/>
      <c r="C383" s="965"/>
      <c r="D383" s="965"/>
      <c r="E383" s="965"/>
      <c r="F383" s="965"/>
      <c r="G383" s="965"/>
      <c r="H383" s="965"/>
      <c r="I383" s="965"/>
      <c r="J383" s="965"/>
    </row>
    <row r="384" spans="1:10">
      <c r="A384" s="965"/>
      <c r="B384" s="965"/>
      <c r="C384" s="965"/>
      <c r="D384" s="965"/>
      <c r="E384" s="965"/>
      <c r="F384" s="965"/>
      <c r="G384" s="965"/>
      <c r="H384" s="965"/>
      <c r="I384" s="965"/>
      <c r="J384" s="965"/>
    </row>
    <row r="385" spans="1:10">
      <c r="A385" s="965"/>
      <c r="B385" s="965"/>
      <c r="C385" s="965"/>
      <c r="D385" s="965"/>
      <c r="E385" s="965"/>
      <c r="F385" s="965"/>
      <c r="G385" s="965"/>
      <c r="H385" s="965"/>
      <c r="I385" s="965"/>
      <c r="J385" s="965"/>
    </row>
    <row r="386" spans="1:10">
      <c r="A386" s="965"/>
      <c r="B386" s="965"/>
      <c r="C386" s="965"/>
      <c r="D386" s="965"/>
      <c r="E386" s="965"/>
      <c r="F386" s="965"/>
      <c r="G386" s="965"/>
      <c r="H386" s="965"/>
      <c r="I386" s="965"/>
      <c r="J386" s="965"/>
    </row>
    <row r="387" spans="1:10">
      <c r="A387" s="965"/>
      <c r="B387" s="965"/>
      <c r="C387" s="965"/>
      <c r="D387" s="965"/>
      <c r="E387" s="965"/>
      <c r="F387" s="965"/>
      <c r="G387" s="965"/>
      <c r="H387" s="965"/>
      <c r="I387" s="965"/>
      <c r="J387" s="965"/>
    </row>
    <row r="388" spans="1:10">
      <c r="A388" s="965"/>
      <c r="B388" s="965"/>
      <c r="C388" s="965"/>
      <c r="D388" s="965"/>
      <c r="E388" s="965"/>
      <c r="F388" s="965"/>
      <c r="G388" s="965"/>
      <c r="H388" s="965"/>
      <c r="I388" s="965"/>
      <c r="J388" s="965"/>
    </row>
    <row r="389" spans="1:10">
      <c r="A389" s="965"/>
      <c r="B389" s="965"/>
      <c r="C389" s="965"/>
      <c r="D389" s="965"/>
      <c r="E389" s="965"/>
      <c r="F389" s="965"/>
      <c r="G389" s="965"/>
      <c r="H389" s="965"/>
      <c r="I389" s="965"/>
      <c r="J389" s="965"/>
    </row>
    <row r="390" spans="1:10">
      <c r="A390" s="965"/>
      <c r="B390" s="965"/>
      <c r="C390" s="965"/>
      <c r="D390" s="965"/>
      <c r="E390" s="965"/>
      <c r="F390" s="965"/>
      <c r="G390" s="965"/>
      <c r="H390" s="965"/>
      <c r="I390" s="965"/>
      <c r="J390" s="965"/>
    </row>
    <row r="391" spans="1:10">
      <c r="A391" s="965"/>
      <c r="B391" s="965"/>
      <c r="C391" s="965"/>
      <c r="D391" s="965"/>
      <c r="E391" s="965"/>
      <c r="F391" s="965"/>
      <c r="G391" s="965"/>
      <c r="H391" s="965"/>
      <c r="I391" s="965"/>
      <c r="J391" s="965"/>
    </row>
  </sheetData>
  <mergeCells count="2">
    <mergeCell ref="A1:J1"/>
    <mergeCell ref="G10:J10"/>
  </mergeCells>
  <pageMargins left="0.7" right="0.7" top="0.75" bottom="0.75" header="0.3" footer="0.3"/>
  <pageSetup paperSize="9" scale="63" orientation="landscape" r:id="rId1"/>
  <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R19"/>
  <sheetViews>
    <sheetView showGridLines="0" workbookViewId="0">
      <selection activeCell="N36" sqref="N36"/>
    </sheetView>
  </sheetViews>
  <sheetFormatPr defaultRowHeight="12.75"/>
  <cols>
    <col min="1" max="1" width="13.5703125" style="132" customWidth="1"/>
    <col min="2" max="2" width="10.85546875" style="132" bestFit="1" customWidth="1"/>
    <col min="3" max="16384" width="9.140625" style="132"/>
  </cols>
  <sheetData>
    <row r="1" spans="1:17">
      <c r="A1" s="212" t="s">
        <v>147</v>
      </c>
      <c r="J1" s="136" t="s">
        <v>217</v>
      </c>
      <c r="Q1" s="136" t="s">
        <v>229</v>
      </c>
    </row>
    <row r="2" spans="1:17">
      <c r="B2" s="135">
        <v>2014</v>
      </c>
      <c r="C2" s="135">
        <v>2015</v>
      </c>
      <c r="D2" s="135">
        <v>2016</v>
      </c>
      <c r="E2" s="135">
        <v>2017</v>
      </c>
      <c r="F2" s="135">
        <v>2018</v>
      </c>
      <c r="G2" s="135">
        <v>2019</v>
      </c>
    </row>
    <row r="3" spans="1:17">
      <c r="A3" s="166" t="s">
        <v>118</v>
      </c>
      <c r="B3" s="330">
        <v>-2.7</v>
      </c>
      <c r="C3" s="330">
        <v>-2.7</v>
      </c>
      <c r="D3" s="330">
        <v>-2.2000000000000002</v>
      </c>
      <c r="E3" s="330">
        <v>-1.5</v>
      </c>
      <c r="F3" s="330">
        <v>-0.5</v>
      </c>
      <c r="G3" s="330"/>
    </row>
    <row r="4" spans="1:17">
      <c r="A4" s="132" t="s">
        <v>155</v>
      </c>
      <c r="B4" s="330">
        <v>-2.7</v>
      </c>
      <c r="C4" s="330">
        <v>-2.7</v>
      </c>
      <c r="D4" s="330">
        <v>-1.970000324279477</v>
      </c>
      <c r="E4" s="330">
        <v>-1.2900001435861632</v>
      </c>
      <c r="F4" s="330">
        <v>-0.44000038092532345</v>
      </c>
      <c r="G4" s="330">
        <v>0.15999958902343381</v>
      </c>
    </row>
    <row r="5" spans="1:17">
      <c r="A5" s="132" t="s">
        <v>17</v>
      </c>
      <c r="B5" s="330">
        <v>-2.707304098680122</v>
      </c>
      <c r="C5" s="330">
        <v>-2.7073322035670961</v>
      </c>
      <c r="D5" s="330">
        <v>-2.5472177835214533</v>
      </c>
      <c r="E5" s="330">
        <v>-1.5545633992716255</v>
      </c>
      <c r="F5" s="330">
        <v>-0.80175295330137464</v>
      </c>
      <c r="G5" s="330">
        <v>4.0534908410381158E-3</v>
      </c>
    </row>
    <row r="6" spans="1:17" ht="15" customHeight="1">
      <c r="A6" s="166" t="s">
        <v>119</v>
      </c>
      <c r="B6" s="330">
        <v>-2.6947031302364932</v>
      </c>
      <c r="C6" s="330">
        <v>-2.9693939526414308</v>
      </c>
      <c r="D6" s="330">
        <v>-2.3431433096745962</v>
      </c>
      <c r="E6" s="330">
        <v>-1.6396175912840589</v>
      </c>
      <c r="F6" s="331"/>
      <c r="G6" s="331"/>
    </row>
    <row r="7" spans="1:17">
      <c r="A7" s="166" t="s">
        <v>120</v>
      </c>
      <c r="B7" s="330">
        <v>-2.6970000000000001</v>
      </c>
      <c r="C7" s="330">
        <v>-2.97</v>
      </c>
      <c r="D7" s="330">
        <v>-2.3260000000000001</v>
      </c>
      <c r="E7" s="330">
        <v>-2.2069999999999999</v>
      </c>
      <c r="F7" s="330">
        <v>-1.9610000000000001</v>
      </c>
      <c r="G7" s="330">
        <v>-1.9119999999999999</v>
      </c>
    </row>
    <row r="10" spans="1:17">
      <c r="A10" s="211" t="s">
        <v>75</v>
      </c>
    </row>
    <row r="11" spans="1:17">
      <c r="A11" s="211"/>
      <c r="B11" s="135">
        <v>2014</v>
      </c>
      <c r="C11" s="135">
        <v>2015</v>
      </c>
      <c r="D11" s="135">
        <v>2016</v>
      </c>
      <c r="E11" s="135">
        <v>2017</v>
      </c>
      <c r="F11" s="135">
        <v>2018</v>
      </c>
      <c r="G11" s="135">
        <v>2019</v>
      </c>
    </row>
    <row r="12" spans="1:17">
      <c r="A12" s="166" t="s">
        <v>118</v>
      </c>
      <c r="B12" s="330">
        <v>-2.2000000000000002</v>
      </c>
      <c r="C12" s="330">
        <v>-2.2999999999999998</v>
      </c>
      <c r="D12" s="330">
        <v>-2</v>
      </c>
      <c r="E12" s="330">
        <v>-1.4</v>
      </c>
      <c r="F12" s="330">
        <v>-0.7</v>
      </c>
      <c r="G12" s="330"/>
      <c r="H12" s="141"/>
    </row>
    <row r="13" spans="1:17">
      <c r="A13" s="132" t="s">
        <v>155</v>
      </c>
      <c r="B13" s="330">
        <v>-2.0407861276060175</v>
      </c>
      <c r="C13" s="330">
        <v>-1.8919034604769032</v>
      </c>
      <c r="D13" s="330">
        <v>-1.7210802883302219</v>
      </c>
      <c r="E13" s="330">
        <v>-0.95489722113730902</v>
      </c>
      <c r="F13" s="330">
        <v>-0.36147986662393167</v>
      </c>
      <c r="G13" s="330">
        <v>-0.205851192474369</v>
      </c>
      <c r="H13" s="141"/>
    </row>
    <row r="14" spans="1:17">
      <c r="A14" s="132" t="s">
        <v>17</v>
      </c>
      <c r="B14" s="330">
        <v>-2.5194632656997418</v>
      </c>
      <c r="C14" s="330">
        <v>-2.4077288162691266</v>
      </c>
      <c r="D14" s="330">
        <v>-2.4235039790288901</v>
      </c>
      <c r="E14" s="330">
        <v>-1.5448816326570884</v>
      </c>
      <c r="F14" s="330">
        <v>-0.78048043808243095</v>
      </c>
      <c r="G14" s="330">
        <v>-0.11667301183286857</v>
      </c>
      <c r="H14" s="141"/>
    </row>
    <row r="15" spans="1:17">
      <c r="A15" s="166" t="s">
        <v>119</v>
      </c>
      <c r="B15" s="330">
        <v>-1.587</v>
      </c>
      <c r="C15" s="330">
        <v>-2.2090000000000001</v>
      </c>
      <c r="D15" s="330">
        <v>-1.746</v>
      </c>
      <c r="E15" s="330">
        <v>-1.2030000000000001</v>
      </c>
      <c r="F15" s="331"/>
      <c r="G15" s="331"/>
      <c r="H15" s="141"/>
    </row>
    <row r="16" spans="1:17">
      <c r="A16" s="166" t="s">
        <v>120</v>
      </c>
      <c r="B16" s="330">
        <v>-2.4969999999999999</v>
      </c>
      <c r="C16" s="330">
        <v>-2.6070000000000002</v>
      </c>
      <c r="D16" s="330">
        <v>-2.2759999999999998</v>
      </c>
      <c r="E16" s="330">
        <v>-2.2570000000000001</v>
      </c>
      <c r="F16" s="330">
        <v>-2.1349999999999998</v>
      </c>
      <c r="G16" s="330">
        <v>-2.1459999999999999</v>
      </c>
    </row>
    <row r="18" spans="1:18">
      <c r="A18" s="332"/>
      <c r="B18" s="158"/>
      <c r="C18" s="158"/>
      <c r="D18" s="165"/>
      <c r="E18" s="165"/>
      <c r="F18" s="165"/>
      <c r="G18" s="165"/>
      <c r="H18" s="165"/>
      <c r="I18" s="165"/>
      <c r="J18" s="165"/>
      <c r="K18" s="165"/>
      <c r="L18" s="165"/>
      <c r="M18" s="165"/>
      <c r="N18" s="165"/>
      <c r="O18" s="165"/>
      <c r="P18" s="165"/>
      <c r="Q18" s="165"/>
      <c r="R18" s="165"/>
    </row>
    <row r="19" spans="1:18">
      <c r="A19" s="333"/>
      <c r="B19" s="142"/>
      <c r="C19" s="142"/>
      <c r="D19" s="165"/>
      <c r="E19" s="165"/>
      <c r="F19" s="165"/>
      <c r="G19" s="165"/>
      <c r="H19" s="165"/>
      <c r="I19" s="165"/>
      <c r="J19" s="165"/>
      <c r="K19" s="165"/>
      <c r="L19" s="165"/>
      <c r="M19" s="165"/>
      <c r="N19" s="165"/>
      <c r="O19" s="165"/>
      <c r="P19" s="165"/>
      <c r="Q19" s="165"/>
      <c r="R19" s="165"/>
    </row>
  </sheetData>
  <pageMargins left="0.7" right="0.7" top="0.75" bottom="0.75" header="0.3" footer="0.3"/>
  <pageSetup paperSize="9" orientation="portrait" verticalDpi="0" r:id="rId1"/>
  <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3"/>
  <sheetViews>
    <sheetView showGridLines="0" workbookViewId="0">
      <selection activeCell="S7" sqref="S7:T7"/>
    </sheetView>
  </sheetViews>
  <sheetFormatPr defaultRowHeight="12.75"/>
  <cols>
    <col min="1" max="1" width="22.7109375" style="109" customWidth="1"/>
    <col min="2" max="16384" width="9.140625" style="109"/>
  </cols>
  <sheetData>
    <row r="1" spans="1:22">
      <c r="A1" s="314"/>
      <c r="B1" s="314"/>
      <c r="C1" s="314"/>
      <c r="D1" s="314"/>
      <c r="E1" s="314"/>
      <c r="F1" s="314"/>
      <c r="G1" s="314"/>
      <c r="H1" s="314"/>
      <c r="I1" s="314"/>
      <c r="J1" s="314"/>
      <c r="K1" s="314"/>
      <c r="L1" s="314"/>
      <c r="M1" s="314"/>
      <c r="N1" s="314"/>
      <c r="O1" s="314"/>
      <c r="P1" s="314"/>
      <c r="Q1" s="314"/>
      <c r="R1" s="314"/>
      <c r="T1" s="1" t="s">
        <v>15</v>
      </c>
      <c r="U1" s="6"/>
      <c r="V1" s="6"/>
    </row>
    <row r="2" spans="1:22">
      <c r="A2" s="315" t="s">
        <v>218</v>
      </c>
      <c r="B2" s="315"/>
      <c r="C2" s="315"/>
      <c r="D2" s="315"/>
      <c r="E2" s="316"/>
      <c r="F2" s="316"/>
      <c r="G2" s="316"/>
      <c r="H2" s="316"/>
      <c r="I2" s="316"/>
      <c r="J2" s="316"/>
      <c r="K2" s="316"/>
      <c r="L2" s="316"/>
      <c r="M2" s="316"/>
      <c r="N2" s="316"/>
      <c r="O2" s="316"/>
      <c r="P2" s="316"/>
      <c r="Q2" s="316"/>
      <c r="R2" s="316"/>
      <c r="S2" s="317"/>
      <c r="U2" s="6"/>
      <c r="V2" s="6"/>
    </row>
    <row r="3" spans="1:22">
      <c r="A3" s="318"/>
      <c r="B3" s="319">
        <v>1999</v>
      </c>
      <c r="C3" s="319">
        <v>2000</v>
      </c>
      <c r="D3" s="319">
        <v>2001</v>
      </c>
      <c r="E3" s="319">
        <v>2002</v>
      </c>
      <c r="F3" s="319">
        <v>2003</v>
      </c>
      <c r="G3" s="319">
        <v>2004</v>
      </c>
      <c r="H3" s="319">
        <v>2005</v>
      </c>
      <c r="I3" s="319">
        <v>2006</v>
      </c>
      <c r="J3" s="319">
        <v>2007</v>
      </c>
      <c r="K3" s="319">
        <v>2008</v>
      </c>
      <c r="L3" s="319">
        <v>2009</v>
      </c>
      <c r="M3" s="319">
        <v>2010</v>
      </c>
      <c r="N3" s="319">
        <v>2011</v>
      </c>
      <c r="O3" s="319">
        <v>2012</v>
      </c>
      <c r="P3" s="320">
        <v>2013</v>
      </c>
      <c r="Q3" s="320">
        <v>2014</v>
      </c>
      <c r="R3" s="320">
        <v>2015</v>
      </c>
      <c r="S3" s="320" t="s">
        <v>114</v>
      </c>
      <c r="T3" s="320" t="s">
        <v>221</v>
      </c>
      <c r="U3" s="320" t="s">
        <v>222</v>
      </c>
      <c r="V3" s="320" t="s">
        <v>223</v>
      </c>
    </row>
    <row r="4" spans="1:22">
      <c r="A4" s="316" t="s">
        <v>225</v>
      </c>
      <c r="B4" s="321">
        <v>-7.2762684078521485</v>
      </c>
      <c r="C4" s="321">
        <v>-12.023555992949657</v>
      </c>
      <c r="D4" s="321">
        <v>-6.4012287747809715</v>
      </c>
      <c r="E4" s="321">
        <v>-8.088026223316648</v>
      </c>
      <c r="F4" s="321">
        <v>-2.703100885656804</v>
      </c>
      <c r="G4" s="321">
        <v>-2.3083847597149769</v>
      </c>
      <c r="H4" s="321">
        <v>-2.8832631493342271</v>
      </c>
      <c r="I4" s="321">
        <v>-3.5919726616991903</v>
      </c>
      <c r="J4" s="321">
        <v>-1.9488088762154281</v>
      </c>
      <c r="K4" s="321">
        <v>-2.4277429641007071</v>
      </c>
      <c r="L4" s="321">
        <v>-7.8042144163590956</v>
      </c>
      <c r="M4" s="321">
        <v>-7.4849098735818087</v>
      </c>
      <c r="N4" s="321">
        <v>-4.2769641158080738</v>
      </c>
      <c r="O4" s="321">
        <v>-4.3449077417180746</v>
      </c>
      <c r="P4" s="321">
        <v>-2.7199713091159627</v>
      </c>
      <c r="Q4" s="322">
        <v>-2.707304098680122</v>
      </c>
      <c r="R4" s="322">
        <v>-2.7073322035670961</v>
      </c>
      <c r="S4" s="322">
        <v>-2.5472177835214533</v>
      </c>
      <c r="T4" s="322">
        <v>-1.5545633992716255</v>
      </c>
      <c r="U4" s="322">
        <v>-0.81722062014439856</v>
      </c>
      <c r="V4" s="322">
        <v>-6.7935775571050178E-3</v>
      </c>
    </row>
    <row r="5" spans="1:22">
      <c r="A5" s="314" t="s">
        <v>219</v>
      </c>
      <c r="B5" s="323">
        <v>0.27849133922890235</v>
      </c>
      <c r="C5" s="323">
        <v>0.26668877483398712</v>
      </c>
      <c r="D5" s="323">
        <v>0.49479407165076195</v>
      </c>
      <c r="E5" s="323">
        <v>0.17863566892283411</v>
      </c>
      <c r="F5" s="323">
        <v>0.37109461139269528</v>
      </c>
      <c r="G5" s="323">
        <v>0.60328082154345075</v>
      </c>
      <c r="H5" s="323">
        <v>6.8672567552393121E-2</v>
      </c>
      <c r="I5" s="323">
        <v>-0.16914854310249594</v>
      </c>
      <c r="J5" s="323">
        <v>-1.0281874183495707</v>
      </c>
      <c r="K5" s="323">
        <v>-1.0751750028192928</v>
      </c>
      <c r="L5" s="323">
        <v>-0.25680183043282095</v>
      </c>
      <c r="M5" s="323">
        <v>-0.150720114249521</v>
      </c>
      <c r="N5" s="323">
        <v>-0.14412414602986076</v>
      </c>
      <c r="O5" s="323">
        <v>9.4523209888067727E-2</v>
      </c>
      <c r="P5" s="323">
        <v>0.45105374668850723</v>
      </c>
      <c r="Q5" s="323">
        <v>0.31329393501641128</v>
      </c>
      <c r="R5" s="323">
        <v>7.1366606200137489E-2</v>
      </c>
      <c r="S5" s="323">
        <v>5.7457816654561081E-2</v>
      </c>
      <c r="T5" s="323">
        <v>2.8444259591968619E-3</v>
      </c>
      <c r="U5" s="323">
        <v>1.4785061908260927E-2</v>
      </c>
      <c r="V5" s="323">
        <v>-0.12682192324560107</v>
      </c>
    </row>
    <row r="6" spans="1:22">
      <c r="A6" s="314" t="s">
        <v>220</v>
      </c>
      <c r="B6" s="324">
        <v>-8.0125824937998386E-2</v>
      </c>
      <c r="C6" s="324">
        <v>5.0452671250866263</v>
      </c>
      <c r="D6" s="324">
        <v>-0.51720168111312548</v>
      </c>
      <c r="E6" s="324">
        <v>2.4530866515300374</v>
      </c>
      <c r="F6" s="324">
        <v>0.42209625570291009</v>
      </c>
      <c r="G6" s="324">
        <v>-8.7567649642636372E-2</v>
      </c>
      <c r="H6" s="324">
        <v>0.49111630022633551</v>
      </c>
      <c r="I6" s="324">
        <v>0.405549957645293</v>
      </c>
      <c r="J6" s="324">
        <v>-0.53055991963267291</v>
      </c>
      <c r="K6" s="324">
        <v>0.4248454423478869</v>
      </c>
      <c r="L6" s="324">
        <v>0.57660910679594546</v>
      </c>
      <c r="M6" s="324">
        <v>0.41110660505820873</v>
      </c>
      <c r="N6" s="324">
        <v>-0.98531855342185792</v>
      </c>
      <c r="O6" s="324">
        <v>-0.40138882604838527</v>
      </c>
      <c r="P6" s="324">
        <v>-0.21253029664211665</v>
      </c>
      <c r="Q6" s="324">
        <v>-0.12545310203603099</v>
      </c>
      <c r="R6" s="324">
        <v>0.2282367810978321</v>
      </c>
      <c r="S6" s="324">
        <v>6.6255987838002031E-2</v>
      </c>
      <c r="T6" s="324">
        <v>6.8373406553401284E-3</v>
      </c>
      <c r="U6" s="324">
        <v>6.4874533106828091E-3</v>
      </c>
      <c r="V6" s="324">
        <v>6.0954205716943731E-3</v>
      </c>
    </row>
    <row r="7" spans="1:22">
      <c r="A7" s="325" t="s">
        <v>226</v>
      </c>
      <c r="B7" s="321">
        <v>-7.0779028935612445</v>
      </c>
      <c r="C7" s="321">
        <v>-6.7116000930290429</v>
      </c>
      <c r="D7" s="321">
        <v>-6.4236363842433342</v>
      </c>
      <c r="E7" s="321">
        <v>-5.4563039028637768</v>
      </c>
      <c r="F7" s="321">
        <v>-1.9099100185611984</v>
      </c>
      <c r="G7" s="321">
        <v>-1.7926715878141624</v>
      </c>
      <c r="H7" s="321">
        <v>-2.3234742815554985</v>
      </c>
      <c r="I7" s="321">
        <v>-3.355571247156393</v>
      </c>
      <c r="J7" s="321">
        <v>-3.5075562141976717</v>
      </c>
      <c r="K7" s="321">
        <v>-3.0780725245721134</v>
      </c>
      <c r="L7" s="321">
        <v>-7.4844071399959713</v>
      </c>
      <c r="M7" s="321">
        <v>-7.2245233827731203</v>
      </c>
      <c r="N7" s="321">
        <v>-5.4064068152597926</v>
      </c>
      <c r="O7" s="321">
        <v>-4.6517733578783922</v>
      </c>
      <c r="P7" s="321">
        <v>-2.4814478590695721</v>
      </c>
      <c r="Q7" s="321">
        <v>-2.5194632656997418</v>
      </c>
      <c r="R7" s="321">
        <v>-2.4077288162691266</v>
      </c>
      <c r="S7" s="321">
        <v>-2.4235039790288901</v>
      </c>
      <c r="T7" s="321">
        <v>-1.5448816326570884</v>
      </c>
      <c r="U7" s="321">
        <v>-0.79594810492545487</v>
      </c>
      <c r="V7" s="321">
        <v>-0.12752008023101172</v>
      </c>
    </row>
    <row r="9" spans="1:22">
      <c r="B9" s="1632">
        <f>-B5</f>
        <v>-0.27849133922890235</v>
      </c>
      <c r="C9" s="1632">
        <f t="shared" ref="C9:V10" si="0">-C5</f>
        <v>-0.26668877483398712</v>
      </c>
      <c r="D9" s="1632">
        <f t="shared" si="0"/>
        <v>-0.49479407165076195</v>
      </c>
      <c r="E9" s="1632">
        <f t="shared" si="0"/>
        <v>-0.17863566892283411</v>
      </c>
      <c r="F9" s="1632">
        <f t="shared" si="0"/>
        <v>-0.37109461139269528</v>
      </c>
      <c r="G9" s="1632">
        <f t="shared" si="0"/>
        <v>-0.60328082154345075</v>
      </c>
      <c r="H9" s="1632">
        <f t="shared" si="0"/>
        <v>-6.8672567552393121E-2</v>
      </c>
      <c r="I9" s="1632">
        <f t="shared" si="0"/>
        <v>0.16914854310249594</v>
      </c>
      <c r="J9" s="1632">
        <f t="shared" si="0"/>
        <v>1.0281874183495707</v>
      </c>
      <c r="K9" s="1632">
        <f t="shared" si="0"/>
        <v>1.0751750028192928</v>
      </c>
      <c r="L9" s="1632">
        <f t="shared" si="0"/>
        <v>0.25680183043282095</v>
      </c>
      <c r="M9" s="1632">
        <f t="shared" si="0"/>
        <v>0.150720114249521</v>
      </c>
      <c r="N9" s="1632">
        <f t="shared" si="0"/>
        <v>0.14412414602986076</v>
      </c>
      <c r="O9" s="1632">
        <f t="shared" si="0"/>
        <v>-9.4523209888067727E-2</v>
      </c>
      <c r="P9" s="1632">
        <f t="shared" si="0"/>
        <v>-0.45105374668850723</v>
      </c>
      <c r="Q9" s="1632">
        <f t="shared" si="0"/>
        <v>-0.31329393501641128</v>
      </c>
      <c r="R9" s="1632">
        <f t="shared" si="0"/>
        <v>-7.1366606200137489E-2</v>
      </c>
      <c r="S9" s="1632">
        <f t="shared" si="0"/>
        <v>-5.7457816654561081E-2</v>
      </c>
      <c r="T9" s="1632">
        <f t="shared" si="0"/>
        <v>-2.8444259591968619E-3</v>
      </c>
      <c r="U9" s="1632">
        <f t="shared" si="0"/>
        <v>-1.4785061908260927E-2</v>
      </c>
      <c r="V9" s="1632">
        <f t="shared" si="0"/>
        <v>0.12682192324560107</v>
      </c>
    </row>
    <row r="10" spans="1:22">
      <c r="B10" s="1632">
        <f>-B6</f>
        <v>8.0125824937998386E-2</v>
      </c>
      <c r="C10" s="1632">
        <f t="shared" si="0"/>
        <v>-5.0452671250866263</v>
      </c>
      <c r="D10" s="1632">
        <f t="shared" si="0"/>
        <v>0.51720168111312548</v>
      </c>
      <c r="E10" s="1632">
        <f t="shared" si="0"/>
        <v>-2.4530866515300374</v>
      </c>
      <c r="F10" s="1632">
        <f t="shared" si="0"/>
        <v>-0.42209625570291009</v>
      </c>
      <c r="G10" s="1632">
        <f t="shared" si="0"/>
        <v>8.7567649642636372E-2</v>
      </c>
      <c r="H10" s="1632">
        <f t="shared" si="0"/>
        <v>-0.49111630022633551</v>
      </c>
      <c r="I10" s="1632">
        <f t="shared" si="0"/>
        <v>-0.405549957645293</v>
      </c>
      <c r="J10" s="1632">
        <f t="shared" si="0"/>
        <v>0.53055991963267291</v>
      </c>
      <c r="K10" s="1632">
        <f t="shared" si="0"/>
        <v>-0.4248454423478869</v>
      </c>
      <c r="L10" s="1632">
        <f t="shared" si="0"/>
        <v>-0.57660910679594546</v>
      </c>
      <c r="M10" s="1632">
        <f t="shared" si="0"/>
        <v>-0.41110660505820873</v>
      </c>
      <c r="N10" s="1632">
        <f t="shared" si="0"/>
        <v>0.98531855342185792</v>
      </c>
      <c r="O10" s="1632">
        <f t="shared" si="0"/>
        <v>0.40138882604838527</v>
      </c>
      <c r="P10" s="1632">
        <f t="shared" si="0"/>
        <v>0.21253029664211665</v>
      </c>
      <c r="Q10" s="1632">
        <f t="shared" si="0"/>
        <v>0.12545310203603099</v>
      </c>
      <c r="R10" s="1632">
        <f t="shared" si="0"/>
        <v>-0.2282367810978321</v>
      </c>
      <c r="S10" s="1632">
        <f t="shared" si="0"/>
        <v>-6.6255987838002031E-2</v>
      </c>
      <c r="T10" s="1632">
        <f t="shared" si="0"/>
        <v>-6.8373406553401284E-3</v>
      </c>
      <c r="U10" s="1632">
        <f t="shared" si="0"/>
        <v>-6.4874533106828091E-3</v>
      </c>
      <c r="V10" s="1632">
        <f t="shared" si="0"/>
        <v>-6.0954205716943731E-3</v>
      </c>
    </row>
    <row r="13" spans="1:22">
      <c r="F13" s="315" t="s">
        <v>296</v>
      </c>
    </row>
  </sheetData>
  <pageMargins left="0.7" right="0.7" top="0.75" bottom="0.75" header="0.3" footer="0.3"/>
  <pageSetup paperSize="9" orientation="portrait" verticalDpi="0" r:id="rId1"/>
  <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6"/>
  <sheetViews>
    <sheetView showGridLines="0" workbookViewId="0"/>
  </sheetViews>
  <sheetFormatPr defaultRowHeight="15"/>
  <cols>
    <col min="1" max="1" width="57.7109375" style="758" customWidth="1"/>
    <col min="2" max="16384" width="9.140625" style="758"/>
  </cols>
  <sheetData>
    <row r="1" spans="1:33">
      <c r="A1" s="793" t="s">
        <v>894</v>
      </c>
      <c r="B1" s="794"/>
      <c r="C1" s="794"/>
      <c r="D1" s="794"/>
      <c r="E1" s="794"/>
      <c r="F1" s="794"/>
      <c r="G1" s="794"/>
      <c r="H1" s="794"/>
      <c r="I1" s="793"/>
      <c r="J1" s="793"/>
      <c r="K1" s="793"/>
      <c r="L1" s="793"/>
      <c r="N1" s="792" t="s">
        <v>893</v>
      </c>
      <c r="X1" s="792" t="s">
        <v>892</v>
      </c>
    </row>
    <row r="2" spans="1:33">
      <c r="A2" s="513"/>
      <c r="B2" s="514" t="s">
        <v>891</v>
      </c>
      <c r="C2" s="514" t="s">
        <v>890</v>
      </c>
      <c r="D2" s="514" t="s">
        <v>536</v>
      </c>
      <c r="E2" s="514" t="s">
        <v>537</v>
      </c>
      <c r="F2" s="514" t="s">
        <v>538</v>
      </c>
      <c r="G2" s="514" t="s">
        <v>539</v>
      </c>
      <c r="H2" s="514" t="s">
        <v>540</v>
      </c>
      <c r="I2" s="514" t="s">
        <v>541</v>
      </c>
      <c r="J2" s="514" t="s">
        <v>542</v>
      </c>
      <c r="K2" s="514" t="s">
        <v>543</v>
      </c>
      <c r="L2" s="514" t="s">
        <v>544</v>
      </c>
    </row>
    <row r="3" spans="1:33">
      <c r="A3" s="989" t="s">
        <v>889</v>
      </c>
      <c r="AF3" s="445"/>
      <c r="AG3" s="445"/>
    </row>
    <row r="4" spans="1:33">
      <c r="A4" s="988" t="s">
        <v>887</v>
      </c>
      <c r="B4" s="983">
        <v>0</v>
      </c>
      <c r="C4" s="983">
        <v>-1.7034003623572787</v>
      </c>
      <c r="D4" s="983">
        <v>1.9136447883284831</v>
      </c>
      <c r="E4" s="983">
        <v>-0.28250052282571403</v>
      </c>
      <c r="F4" s="983">
        <v>2.2651051317183573</v>
      </c>
      <c r="G4" s="983">
        <v>0.6957282826927198</v>
      </c>
      <c r="H4" s="983">
        <v>1.576620267571208</v>
      </c>
      <c r="I4" s="983">
        <v>-0.69925940804280629</v>
      </c>
      <c r="J4" s="983">
        <v>-3.4959883133225844E-2</v>
      </c>
      <c r="K4" s="983">
        <v>-0.3668672863541218</v>
      </c>
      <c r="L4" s="983">
        <v>-0.60407051124857247</v>
      </c>
      <c r="AF4" s="445"/>
      <c r="AG4" s="445"/>
    </row>
    <row r="5" spans="1:33">
      <c r="A5" s="988" t="s">
        <v>886</v>
      </c>
      <c r="B5" s="983">
        <v>0</v>
      </c>
      <c r="C5" s="983">
        <v>2.0226836130729384</v>
      </c>
      <c r="D5" s="983">
        <v>1.2943240709190902</v>
      </c>
      <c r="E5" s="983">
        <v>0.21456478569383153</v>
      </c>
      <c r="F5" s="983">
        <v>-0.6402055099301811</v>
      </c>
      <c r="G5" s="983">
        <v>-0.68306596067663827</v>
      </c>
      <c r="H5" s="983">
        <v>-1.576660870995827</v>
      </c>
      <c r="I5" s="983">
        <v>0.87420849139365742</v>
      </c>
      <c r="J5" s="983">
        <v>0.99863763140478867</v>
      </c>
      <c r="K5" s="983">
        <v>1.1338533835944464</v>
      </c>
      <c r="L5" s="983">
        <v>1.4098874912628934</v>
      </c>
      <c r="AF5" s="445"/>
      <c r="AG5" s="445"/>
    </row>
    <row r="6" spans="1:33">
      <c r="A6" s="988" t="s">
        <v>885</v>
      </c>
      <c r="B6" s="983">
        <v>0</v>
      </c>
      <c r="C6" s="983">
        <v>0.31928325071565977</v>
      </c>
      <c r="D6" s="983">
        <v>3.2079688592475732</v>
      </c>
      <c r="E6" s="983">
        <v>-6.7935737131882501E-2</v>
      </c>
      <c r="F6" s="983">
        <v>1.6248996217881762</v>
      </c>
      <c r="G6" s="983">
        <v>1.2662322016081529E-2</v>
      </c>
      <c r="H6" s="983">
        <v>-4.0603424618979034E-5</v>
      </c>
      <c r="I6" s="983">
        <v>0.17494908335085113</v>
      </c>
      <c r="J6" s="983">
        <v>0.96367774827156283</v>
      </c>
      <c r="K6" s="983">
        <v>0.76698609724032463</v>
      </c>
      <c r="L6" s="983">
        <v>0.80581698001432089</v>
      </c>
      <c r="AF6" s="445"/>
      <c r="AG6" s="445"/>
    </row>
    <row r="8" spans="1:33">
      <c r="A8" s="989" t="s">
        <v>888</v>
      </c>
    </row>
    <row r="9" spans="1:33">
      <c r="A9" s="988" t="s">
        <v>887</v>
      </c>
      <c r="B9" s="983">
        <v>0</v>
      </c>
      <c r="C9" s="983">
        <v>-1.7034003623572787</v>
      </c>
      <c r="D9" s="983">
        <v>0.21024442597120441</v>
      </c>
      <c r="E9" s="983">
        <v>-7.2256096854509622E-2</v>
      </c>
      <c r="F9" s="983">
        <v>2.1928490348638476</v>
      </c>
      <c r="G9" s="983">
        <v>2.8885773175565674</v>
      </c>
      <c r="H9" s="983">
        <v>4.4651975851277754</v>
      </c>
      <c r="I9" s="983">
        <v>3.7659381770849691</v>
      </c>
      <c r="J9" s="983">
        <v>3.7309782939517433</v>
      </c>
      <c r="K9" s="983">
        <v>3.3641110075976215</v>
      </c>
      <c r="L9" s="983">
        <v>2.760040496349049</v>
      </c>
    </row>
    <row r="10" spans="1:33">
      <c r="A10" s="988" t="s">
        <v>886</v>
      </c>
      <c r="B10" s="983">
        <v>0</v>
      </c>
      <c r="C10" s="983">
        <v>2.0226836130729384</v>
      </c>
      <c r="D10" s="983">
        <v>3.3170076839920286</v>
      </c>
      <c r="E10" s="983">
        <v>3.5315724696858601</v>
      </c>
      <c r="F10" s="983">
        <v>2.891366959755679</v>
      </c>
      <c r="G10" s="983">
        <v>2.2083009990790408</v>
      </c>
      <c r="H10" s="983">
        <v>0.63164012808321379</v>
      </c>
      <c r="I10" s="983">
        <v>1.5058486194768712</v>
      </c>
      <c r="J10" s="983">
        <v>2.5044862508816599</v>
      </c>
      <c r="K10" s="983">
        <v>3.6383396344761065</v>
      </c>
      <c r="L10" s="983">
        <v>5.0482271257390003</v>
      </c>
      <c r="M10" s="983"/>
    </row>
    <row r="11" spans="1:33">
      <c r="A11" s="987" t="s">
        <v>885</v>
      </c>
      <c r="B11" s="986">
        <v>0</v>
      </c>
      <c r="C11" s="986">
        <v>0.31928325071565977</v>
      </c>
      <c r="D11" s="986">
        <v>3.527252109963233</v>
      </c>
      <c r="E11" s="986">
        <v>3.4593163728313505</v>
      </c>
      <c r="F11" s="986">
        <v>5.0842159946195267</v>
      </c>
      <c r="G11" s="986">
        <v>5.0968783166356086</v>
      </c>
      <c r="H11" s="986">
        <v>5.0968377132109897</v>
      </c>
      <c r="I11" s="986">
        <v>5.2717867965618401</v>
      </c>
      <c r="J11" s="986">
        <v>6.2354645448334036</v>
      </c>
      <c r="K11" s="986">
        <v>7.002450642073728</v>
      </c>
      <c r="L11" s="986">
        <v>7.8082676220880494</v>
      </c>
    </row>
    <row r="13" spans="1:33">
      <c r="A13" s="985"/>
      <c r="B13" s="983"/>
      <c r="C13" s="983"/>
      <c r="D13" s="983"/>
      <c r="E13" s="983"/>
      <c r="F13" s="983"/>
      <c r="G13" s="983"/>
      <c r="H13" s="983"/>
      <c r="I13" s="983"/>
      <c r="J13" s="983"/>
      <c r="K13" s="983"/>
      <c r="L13" s="983"/>
    </row>
    <row r="14" spans="1:33">
      <c r="A14" s="984"/>
      <c r="B14" s="983"/>
      <c r="C14" s="983"/>
      <c r="D14" s="983"/>
      <c r="E14" s="983"/>
      <c r="F14" s="983"/>
      <c r="G14" s="983"/>
      <c r="H14" s="983"/>
      <c r="I14" s="983"/>
      <c r="J14" s="983"/>
      <c r="K14" s="983"/>
      <c r="L14" s="983"/>
    </row>
    <row r="15" spans="1:33">
      <c r="C15" s="983"/>
      <c r="D15" s="983"/>
      <c r="E15" s="983"/>
      <c r="F15" s="983"/>
      <c r="G15" s="983"/>
      <c r="H15" s="983"/>
      <c r="I15" s="983"/>
      <c r="J15" s="983"/>
      <c r="K15" s="983"/>
      <c r="L15" s="983"/>
    </row>
    <row r="16" spans="1:33">
      <c r="A16" s="984"/>
      <c r="B16" s="983"/>
      <c r="C16" s="983"/>
      <c r="D16" s="983"/>
      <c r="E16" s="983"/>
      <c r="F16" s="983"/>
      <c r="G16" s="983"/>
      <c r="H16" s="983"/>
      <c r="I16" s="983"/>
      <c r="J16" s="983"/>
      <c r="K16" s="983"/>
      <c r="L16" s="983"/>
    </row>
  </sheetData>
  <pageMargins left="0.7" right="0.7" top="0.75" bottom="0.75" header="0.3" footer="0.3"/>
  <drawing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9"/>
  <sheetViews>
    <sheetView showGridLines="0" workbookViewId="0">
      <selection activeCell="F1" sqref="F1"/>
    </sheetView>
  </sheetViews>
  <sheetFormatPr defaultRowHeight="15"/>
  <cols>
    <col min="1" max="4" width="9.140625" style="942"/>
    <col min="5" max="5" width="15.85546875" style="942" customWidth="1"/>
    <col min="6" max="6" width="22.28515625" style="942" customWidth="1"/>
    <col min="7" max="16384" width="9.140625" style="942"/>
  </cols>
  <sheetData>
    <row r="1" spans="1:14">
      <c r="F1" s="432" t="s">
        <v>1447</v>
      </c>
    </row>
    <row r="2" spans="1:14">
      <c r="A2" s="1637" t="s">
        <v>1444</v>
      </c>
      <c r="B2" s="1637" t="s">
        <v>55</v>
      </c>
      <c r="C2" s="1638">
        <v>15627</v>
      </c>
    </row>
    <row r="3" spans="1:14">
      <c r="A3" s="931"/>
      <c r="B3" s="1637" t="s">
        <v>1445</v>
      </c>
      <c r="C3" s="1638">
        <v>10270</v>
      </c>
      <c r="L3" s="433"/>
      <c r="M3" s="433"/>
      <c r="N3" s="433"/>
    </row>
    <row r="4" spans="1:14">
      <c r="A4" s="1637" t="s">
        <v>1439</v>
      </c>
      <c r="B4" s="1637" t="s">
        <v>1435</v>
      </c>
      <c r="C4" s="1638">
        <v>1148</v>
      </c>
      <c r="E4" s="1639"/>
      <c r="L4" s="433"/>
      <c r="M4" s="433"/>
      <c r="N4" s="433"/>
    </row>
    <row r="5" spans="1:14">
      <c r="A5" s="931"/>
      <c r="B5" s="1637" t="s">
        <v>1441</v>
      </c>
      <c r="C5" s="1638">
        <v>1495</v>
      </c>
      <c r="L5" s="433"/>
      <c r="M5" s="433"/>
      <c r="N5" s="433"/>
    </row>
    <row r="6" spans="1:14">
      <c r="A6" s="931"/>
      <c r="B6" s="1637" t="s">
        <v>1442</v>
      </c>
      <c r="C6" s="1640">
        <v>176</v>
      </c>
    </row>
    <row r="7" spans="1:14">
      <c r="A7" s="1637" t="s">
        <v>1434</v>
      </c>
      <c r="B7" s="1637" t="s">
        <v>897</v>
      </c>
      <c r="C7" s="1640">
        <v>548</v>
      </c>
    </row>
    <row r="8" spans="1:14">
      <c r="A8" s="931"/>
      <c r="B8" s="1637" t="s">
        <v>43</v>
      </c>
      <c r="C8" s="1638">
        <v>3387</v>
      </c>
    </row>
    <row r="9" spans="1:14">
      <c r="A9" s="931"/>
      <c r="B9" s="1637" t="s">
        <v>1446</v>
      </c>
      <c r="C9" s="1640">
        <v>763</v>
      </c>
    </row>
  </sheetData>
  <pageMargins left="0.7" right="0.7" top="0.75" bottom="0.75" header="0.3" footer="0.3"/>
  <pageSetup paperSize="9" scale="42" orientation="landscape" verticalDpi="0" r:id="rId1"/>
  <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7"/>
  <sheetViews>
    <sheetView showGridLines="0" zoomScaleNormal="100" workbookViewId="0">
      <selection activeCell="N2" sqref="N2"/>
    </sheetView>
  </sheetViews>
  <sheetFormatPr defaultRowHeight="15"/>
  <cols>
    <col min="1" max="1" width="57.7109375" style="758" customWidth="1"/>
    <col min="2" max="16384" width="9.140625" style="758"/>
  </cols>
  <sheetData>
    <row r="1" spans="1:25">
      <c r="A1" s="793"/>
      <c r="B1" s="794"/>
      <c r="C1" s="794"/>
      <c r="D1" s="794"/>
      <c r="E1" s="794"/>
      <c r="F1" s="794"/>
      <c r="G1" s="794"/>
      <c r="H1" s="794"/>
      <c r="I1" s="793"/>
      <c r="J1" s="793"/>
      <c r="K1" s="793"/>
      <c r="L1" s="793"/>
    </row>
    <row r="2" spans="1:25">
      <c r="A2" s="513"/>
      <c r="B2" s="514" t="s">
        <v>891</v>
      </c>
      <c r="C2" s="514" t="s">
        <v>890</v>
      </c>
      <c r="D2" s="514" t="s">
        <v>536</v>
      </c>
      <c r="E2" s="514" t="s">
        <v>537</v>
      </c>
      <c r="F2" s="514" t="s">
        <v>538</v>
      </c>
      <c r="G2" s="514" t="s">
        <v>539</v>
      </c>
      <c r="H2" s="514" t="s">
        <v>540</v>
      </c>
      <c r="I2" s="514" t="s">
        <v>541</v>
      </c>
      <c r="J2" s="514" t="s">
        <v>542</v>
      </c>
      <c r="K2" s="514" t="s">
        <v>543</v>
      </c>
      <c r="L2" s="514" t="s">
        <v>544</v>
      </c>
      <c r="N2" s="432" t="s">
        <v>1475</v>
      </c>
    </row>
    <row r="3" spans="1:25">
      <c r="A3" s="927" t="s">
        <v>1437</v>
      </c>
      <c r="B3" s="936">
        <v>36.280127016654923</v>
      </c>
      <c r="C3" s="936">
        <v>34.66007372298094</v>
      </c>
      <c r="D3" s="936">
        <v>36.539932207421501</v>
      </c>
      <c r="E3" s="936">
        <v>36.285180218283848</v>
      </c>
      <c r="F3" s="936">
        <v>38.720746556217541</v>
      </c>
      <c r="G3" s="936">
        <v>39.309960709131708</v>
      </c>
      <c r="H3" s="936">
        <v>42.854235082403882</v>
      </c>
      <c r="I3" s="936">
        <v>39.896064786057089</v>
      </c>
      <c r="J3" s="936">
        <v>39.802910941181196</v>
      </c>
      <c r="K3" s="936">
        <v>39.119575063193373</v>
      </c>
      <c r="L3" s="936">
        <v>38.301540056129632</v>
      </c>
      <c r="W3" s="433"/>
      <c r="X3" s="433"/>
      <c r="Y3" s="433"/>
    </row>
    <row r="4" spans="1:25">
      <c r="A4" s="927" t="s">
        <v>1436</v>
      </c>
      <c r="B4" s="932">
        <v>26.531614459468532</v>
      </c>
      <c r="C4" s="932">
        <v>25.558798966516861</v>
      </c>
      <c r="D4" s="932">
        <v>26.357296314394457</v>
      </c>
      <c r="E4" s="932">
        <v>25.937519675352632</v>
      </c>
      <c r="F4" s="932">
        <v>27.914492985914773</v>
      </c>
      <c r="G4" s="932">
        <v>29.086609743516483</v>
      </c>
      <c r="H4" s="932">
        <v>30.121992752651057</v>
      </c>
      <c r="I4" s="932">
        <v>30.80417714698601</v>
      </c>
      <c r="J4" s="932">
        <v>30.899489140579213</v>
      </c>
      <c r="K4" s="932">
        <v>30.759252303386159</v>
      </c>
      <c r="L4" s="932">
        <v>30.439391225886929</v>
      </c>
      <c r="W4" s="433"/>
      <c r="X4" s="433"/>
      <c r="Y4" s="433"/>
    </row>
    <row r="5" spans="1:25">
      <c r="A5" s="927" t="s">
        <v>1435</v>
      </c>
      <c r="B5" s="936">
        <v>1.4112411166282168</v>
      </c>
      <c r="C5" s="936">
        <v>1.2892646413810553</v>
      </c>
      <c r="D5" s="936">
        <v>1.5100354071802364</v>
      </c>
      <c r="E5" s="936">
        <v>1.4571983801330062</v>
      </c>
      <c r="F5" s="936">
        <v>1.6612903087910322</v>
      </c>
      <c r="G5" s="936">
        <v>1.70571203930667</v>
      </c>
      <c r="H5" s="936">
        <v>3.5501863831755749</v>
      </c>
      <c r="I5" s="936">
        <v>1.067592939437837</v>
      </c>
      <c r="J5" s="936">
        <v>1.1528873476489023</v>
      </c>
      <c r="K5" s="936">
        <v>0.89389880716072823</v>
      </c>
      <c r="L5" s="936">
        <v>0.73913551524290277</v>
      </c>
      <c r="W5" s="433"/>
      <c r="X5" s="433"/>
      <c r="Y5" s="433"/>
    </row>
    <row r="6" spans="1:25">
      <c r="A6" s="927" t="s">
        <v>1434</v>
      </c>
      <c r="B6" s="936">
        <v>8.3372714405581743</v>
      </c>
      <c r="C6" s="936">
        <v>7.8120101150830239</v>
      </c>
      <c r="D6" s="936">
        <v>8.6726004858468073</v>
      </c>
      <c r="E6" s="936">
        <v>8.8904621627982099</v>
      </c>
      <c r="F6" s="936">
        <v>9.1449632615117356</v>
      </c>
      <c r="G6" s="936">
        <v>8.517638926308555</v>
      </c>
      <c r="H6" s="936">
        <v>9.1820559465772504</v>
      </c>
      <c r="I6" s="936">
        <v>8.0242946996332414</v>
      </c>
      <c r="J6" s="936">
        <v>7.7505344529530804</v>
      </c>
      <c r="K6" s="936">
        <v>7.466423952646486</v>
      </c>
      <c r="L6" s="936">
        <v>7.1230133149997998</v>
      </c>
      <c r="W6" s="433"/>
      <c r="X6" s="433"/>
      <c r="Y6" s="433"/>
    </row>
    <row r="7" spans="1:25">
      <c r="A7" s="927" t="s">
        <v>1433</v>
      </c>
      <c r="B7" s="936">
        <v>32.642739488809504</v>
      </c>
      <c r="C7" s="936">
        <v>30.939339126452225</v>
      </c>
      <c r="D7" s="936">
        <v>32.852983914780708</v>
      </c>
      <c r="E7" s="936">
        <v>32.570483391954994</v>
      </c>
      <c r="F7" s="936">
        <v>34.835588523673351</v>
      </c>
      <c r="G7" s="936">
        <v>35.531316806366071</v>
      </c>
      <c r="H7" s="936">
        <v>37.107937073937279</v>
      </c>
      <c r="I7" s="936">
        <v>36.695388137318695</v>
      </c>
      <c r="J7" s="936">
        <v>36.660144867853241</v>
      </c>
      <c r="K7" s="936">
        <v>36.290389494541344</v>
      </c>
      <c r="L7" s="936">
        <v>35.681573968979627</v>
      </c>
    </row>
  </sheetData>
  <pageMargins left="0.7" right="0.7" top="0.75" bottom="0.75" header="0.3" footer="0.3"/>
  <drawing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23"/>
  <sheetViews>
    <sheetView showGridLines="0" workbookViewId="0">
      <selection activeCell="J29" sqref="J29"/>
    </sheetView>
  </sheetViews>
  <sheetFormatPr defaultRowHeight="15"/>
  <cols>
    <col min="1" max="1" width="57.7109375" style="758" customWidth="1"/>
    <col min="2" max="16384" width="9.140625" style="758"/>
  </cols>
  <sheetData>
    <row r="1" spans="1:35">
      <c r="A1" s="793" t="s">
        <v>905</v>
      </c>
      <c r="B1" s="794"/>
      <c r="C1" s="794"/>
      <c r="D1" s="794"/>
      <c r="E1" s="794"/>
      <c r="F1" s="794"/>
      <c r="G1" s="794"/>
      <c r="H1" s="793"/>
      <c r="I1" s="793"/>
      <c r="J1" s="793"/>
      <c r="K1" s="793"/>
      <c r="M1" s="792" t="s">
        <v>904</v>
      </c>
      <c r="X1" s="792" t="s">
        <v>903</v>
      </c>
    </row>
    <row r="2" spans="1:35">
      <c r="A2" s="996"/>
      <c r="B2" s="514" t="s">
        <v>890</v>
      </c>
      <c r="C2" s="514" t="s">
        <v>536</v>
      </c>
      <c r="D2" s="514" t="s">
        <v>537</v>
      </c>
      <c r="E2" s="514" t="s">
        <v>538</v>
      </c>
      <c r="F2" s="514" t="s">
        <v>539</v>
      </c>
      <c r="G2" s="514" t="s">
        <v>540</v>
      </c>
      <c r="H2" s="514" t="s">
        <v>541</v>
      </c>
      <c r="I2" s="514" t="s">
        <v>542</v>
      </c>
      <c r="J2" s="514" t="s">
        <v>543</v>
      </c>
      <c r="K2" s="514" t="s">
        <v>544</v>
      </c>
    </row>
    <row r="3" spans="1:35">
      <c r="A3" s="989" t="s">
        <v>889</v>
      </c>
      <c r="B3" s="990"/>
      <c r="C3" s="990"/>
      <c r="D3" s="990"/>
      <c r="E3" s="990"/>
      <c r="F3" s="990"/>
      <c r="G3" s="990"/>
      <c r="H3" s="990"/>
      <c r="I3" s="990"/>
      <c r="J3" s="990"/>
      <c r="K3" s="990"/>
      <c r="AH3" s="445"/>
      <c r="AI3" s="445"/>
    </row>
    <row r="4" spans="1:35">
      <c r="A4" s="989" t="s">
        <v>902</v>
      </c>
      <c r="B4" s="995">
        <v>-1.7034003623572758</v>
      </c>
      <c r="C4" s="995">
        <v>1.5802222542339639</v>
      </c>
      <c r="D4" s="995">
        <v>-0.4334354846913735</v>
      </c>
      <c r="E4" s="995">
        <v>2.2651051317183493</v>
      </c>
      <c r="F4" s="995">
        <v>0.5897578522312461</v>
      </c>
      <c r="G4" s="995">
        <v>1.4192168871051583</v>
      </c>
      <c r="H4" s="995">
        <v>9.0583404011797611E-3</v>
      </c>
      <c r="I4" s="995">
        <v>-7.3512363961525259E-2</v>
      </c>
      <c r="J4" s="995">
        <v>-0.35804951704589028</v>
      </c>
      <c r="K4" s="995">
        <v>-0.59701887646674379</v>
      </c>
      <c r="AH4" s="445"/>
      <c r="AI4" s="445"/>
    </row>
    <row r="5" spans="1:35">
      <c r="A5" s="990" t="s">
        <v>901</v>
      </c>
      <c r="B5" s="994">
        <v>-0.32400147412313557</v>
      </c>
      <c r="C5" s="994">
        <v>0.41413903798781898</v>
      </c>
      <c r="D5" s="994">
        <v>-0.59313354890266867</v>
      </c>
      <c r="E5" s="994">
        <v>0.43761513495693172</v>
      </c>
      <c r="F5" s="994">
        <v>0.3721473402354275</v>
      </c>
      <c r="G5" s="994">
        <v>0.21913459176046518</v>
      </c>
      <c r="H5" s="994">
        <v>-1.5158140952687419E-2</v>
      </c>
      <c r="I5" s="994">
        <v>7.9658723199441256E-2</v>
      </c>
      <c r="J5" s="994">
        <v>-0.21277887399560494</v>
      </c>
      <c r="K5" s="994">
        <v>-0.20648672326038764</v>
      </c>
      <c r="AH5" s="445"/>
      <c r="AI5" s="445"/>
    </row>
    <row r="6" spans="1:35">
      <c r="A6" s="990" t="s">
        <v>900</v>
      </c>
      <c r="B6" s="994">
        <v>-0.19855058187469615</v>
      </c>
      <c r="C6" s="994">
        <v>9.8166770221357294E-2</v>
      </c>
      <c r="D6" s="994">
        <v>7.5977365464107952E-2</v>
      </c>
      <c r="E6" s="994">
        <v>0.54120659445233055</v>
      </c>
      <c r="F6" s="994">
        <v>0.49940223845327181</v>
      </c>
      <c r="G6" s="994">
        <v>0.54733723339293361</v>
      </c>
      <c r="H6" s="994">
        <v>0.36482092240706987</v>
      </c>
      <c r="I6" s="994">
        <v>-4.2262157416481254E-2</v>
      </c>
      <c r="J6" s="994">
        <v>0.1125545919076969</v>
      </c>
      <c r="K6" s="994">
        <v>-4.7272393689627139E-3</v>
      </c>
      <c r="AH6" s="445"/>
      <c r="AI6" s="445"/>
    </row>
    <row r="7" spans="1:35">
      <c r="A7" s="990" t="s">
        <v>899</v>
      </c>
      <c r="B7" s="994">
        <v>-4.0691393708710789E-5</v>
      </c>
      <c r="C7" s="994">
        <v>-1.118923075483544E-5</v>
      </c>
      <c r="D7" s="994">
        <v>-1.9011110741464084E-6</v>
      </c>
      <c r="E7" s="994">
        <v>-7.0676043991272602E-6</v>
      </c>
      <c r="F7" s="994">
        <v>-4.1709183761129831E-6</v>
      </c>
      <c r="G7" s="994">
        <v>-1.2892155832182705E-5</v>
      </c>
      <c r="H7" s="994">
        <v>7.6252834063666024E-6</v>
      </c>
      <c r="I7" s="994">
        <v>0</v>
      </c>
      <c r="J7" s="994">
        <v>0</v>
      </c>
      <c r="K7" s="994">
        <v>0</v>
      </c>
    </row>
    <row r="8" spans="1:35">
      <c r="A8" s="990" t="s">
        <v>898</v>
      </c>
      <c r="B8" s="994">
        <v>-0.45022274556013736</v>
      </c>
      <c r="C8" s="994">
        <v>0.28620272889917447</v>
      </c>
      <c r="D8" s="994">
        <v>9.7381445507811942E-2</v>
      </c>
      <c r="E8" s="994">
        <v>0.99815864875727534</v>
      </c>
      <c r="F8" s="994">
        <v>0.30057134983138861</v>
      </c>
      <c r="G8" s="994">
        <v>0.26892407613700609</v>
      </c>
      <c r="H8" s="994">
        <v>0.33251398759717382</v>
      </c>
      <c r="I8" s="994">
        <v>5.791542781023426E-2</v>
      </c>
      <c r="J8" s="994">
        <v>-4.0012555105140755E-2</v>
      </c>
      <c r="K8" s="994">
        <v>-0.10864711486987565</v>
      </c>
    </row>
    <row r="9" spans="1:35">
      <c r="A9" s="990" t="s">
        <v>897</v>
      </c>
      <c r="B9" s="994">
        <v>-0.39536003821588073</v>
      </c>
      <c r="C9" s="994">
        <v>-1.0082151019425048E-2</v>
      </c>
      <c r="D9" s="994">
        <v>0.19470523875763951</v>
      </c>
      <c r="E9" s="994">
        <v>-0.23443596560988478</v>
      </c>
      <c r="F9" s="994">
        <v>-0.17504240835832047</v>
      </c>
      <c r="G9" s="994">
        <v>7.7366991350496295E-2</v>
      </c>
      <c r="H9" s="994">
        <v>-8.6140295920540733E-2</v>
      </c>
      <c r="I9" s="994">
        <v>-9.5252823574296687E-3</v>
      </c>
      <c r="J9" s="994">
        <v>-1.4346660046207495E-2</v>
      </c>
      <c r="K9" s="994">
        <v>-2.8798527578323071E-2</v>
      </c>
    </row>
    <row r="10" spans="1:35">
      <c r="A10" s="990" t="s">
        <v>43</v>
      </c>
      <c r="B10" s="994">
        <v>5.6308847928154729E-2</v>
      </c>
      <c r="C10" s="994">
        <v>1.7607492097048545E-2</v>
      </c>
      <c r="D10" s="994">
        <v>0.36087645008519886</v>
      </c>
      <c r="E10" s="994">
        <v>0.33009295245954462</v>
      </c>
      <c r="F10" s="994">
        <v>-0.19563190899372834</v>
      </c>
      <c r="G10" s="994">
        <v>8.6926569940411591E-2</v>
      </c>
      <c r="H10" s="994">
        <v>-0.14848576005179565</v>
      </c>
      <c r="I10" s="994">
        <v>-4.1908139894292873E-2</v>
      </c>
      <c r="J10" s="994">
        <v>-0.14363434211868301</v>
      </c>
      <c r="K10" s="994">
        <v>-0.18524118171354093</v>
      </c>
    </row>
    <row r="11" spans="1:35">
      <c r="A11" s="990" t="s">
        <v>896</v>
      </c>
      <c r="B11" s="994">
        <v>-0.39153367911788273</v>
      </c>
      <c r="C11" s="994">
        <v>0.774199565278754</v>
      </c>
      <c r="D11" s="994">
        <v>-0.56924053449238743</v>
      </c>
      <c r="E11" s="994">
        <v>0.19247483430655632</v>
      </c>
      <c r="F11" s="994">
        <v>-0.21168458801842632</v>
      </c>
      <c r="G11" s="994">
        <v>0.2195403166796801</v>
      </c>
      <c r="H11" s="994">
        <v>-0.55229635748948813</v>
      </c>
      <c r="I11" s="994">
        <v>-0.1283355850127807</v>
      </c>
      <c r="J11" s="994">
        <v>-6.9685657271511339E-2</v>
      </c>
      <c r="K11" s="994">
        <v>-7.3638621488799405E-2</v>
      </c>
    </row>
    <row r="12" spans="1:35">
      <c r="A12" s="993" t="s">
        <v>55</v>
      </c>
      <c r="B12" s="992">
        <v>-0.52259274739154038</v>
      </c>
      <c r="C12" s="992">
        <v>0.51229461897842143</v>
      </c>
      <c r="D12" s="992">
        <v>-0.51715808454963486</v>
      </c>
      <c r="E12" s="992">
        <v>0.9788146618048631</v>
      </c>
      <c r="F12" s="992">
        <v>0.87154540777032319</v>
      </c>
      <c r="G12" s="992">
        <v>0.76645893299756662</v>
      </c>
      <c r="H12" s="992">
        <v>0.34967040673778882</v>
      </c>
      <c r="I12" s="992">
        <v>3.7396565782960002E-2</v>
      </c>
      <c r="J12" s="992">
        <v>-0.10022428208790804</v>
      </c>
      <c r="K12" s="992">
        <v>-0.21121396262935035</v>
      </c>
      <c r="L12" s="792"/>
    </row>
    <row r="13" spans="1:35">
      <c r="A13" s="989" t="s">
        <v>888</v>
      </c>
      <c r="B13" s="990"/>
      <c r="C13" s="990"/>
      <c r="D13" s="990"/>
      <c r="E13" s="990"/>
      <c r="F13" s="990"/>
      <c r="G13" s="990"/>
      <c r="H13" s="990"/>
      <c r="I13" s="990"/>
      <c r="J13" s="990"/>
      <c r="K13" s="990"/>
    </row>
    <row r="14" spans="1:35">
      <c r="A14" s="989" t="s">
        <v>902</v>
      </c>
      <c r="B14" s="995">
        <f t="shared" ref="B14:B21" si="0">B4</f>
        <v>-1.7034003623572758</v>
      </c>
      <c r="C14" s="995">
        <f t="shared" ref="C14:K14" si="1">B14+C4</f>
        <v>-0.12317810812331187</v>
      </c>
      <c r="D14" s="995">
        <f t="shared" si="1"/>
        <v>-0.55661359281468537</v>
      </c>
      <c r="E14" s="995">
        <f t="shared" si="1"/>
        <v>1.7084915389036639</v>
      </c>
      <c r="F14" s="995">
        <f t="shared" si="1"/>
        <v>2.29824939113491</v>
      </c>
      <c r="G14" s="995">
        <f t="shared" si="1"/>
        <v>3.7174662782400683</v>
      </c>
      <c r="H14" s="995">
        <f t="shared" si="1"/>
        <v>3.726524618641248</v>
      </c>
      <c r="I14" s="995">
        <f t="shared" si="1"/>
        <v>3.6530122546797226</v>
      </c>
      <c r="J14" s="995">
        <f t="shared" si="1"/>
        <v>3.2949627376338322</v>
      </c>
      <c r="K14" s="995">
        <f t="shared" si="1"/>
        <v>2.6979438611670883</v>
      </c>
    </row>
    <row r="15" spans="1:35">
      <c r="A15" s="990" t="s">
        <v>901</v>
      </c>
      <c r="B15" s="994">
        <f t="shared" si="0"/>
        <v>-0.32400147412313557</v>
      </c>
      <c r="C15" s="994">
        <f t="shared" ref="C15:K15" si="2">B15+C5</f>
        <v>9.0137563864683412E-2</v>
      </c>
      <c r="D15" s="994">
        <f t="shared" si="2"/>
        <v>-0.50299598503798526</v>
      </c>
      <c r="E15" s="994">
        <f t="shared" si="2"/>
        <v>-6.5380850081053543E-2</v>
      </c>
      <c r="F15" s="994">
        <f t="shared" si="2"/>
        <v>0.30676649015437396</v>
      </c>
      <c r="G15" s="994">
        <f t="shared" si="2"/>
        <v>0.52590108191483909</v>
      </c>
      <c r="H15" s="994">
        <f t="shared" si="2"/>
        <v>0.51074294096215167</v>
      </c>
      <c r="I15" s="994">
        <f t="shared" si="2"/>
        <v>0.5904016641615929</v>
      </c>
      <c r="J15" s="994">
        <f t="shared" si="2"/>
        <v>0.37762279016598799</v>
      </c>
      <c r="K15" s="994">
        <f t="shared" si="2"/>
        <v>0.17113606690560035</v>
      </c>
    </row>
    <row r="16" spans="1:35">
      <c r="A16" s="990" t="s">
        <v>900</v>
      </c>
      <c r="B16" s="994">
        <f t="shared" si="0"/>
        <v>-0.19855058187469615</v>
      </c>
      <c r="C16" s="994">
        <f t="shared" ref="C16:K16" si="3">B16+C6</f>
        <v>-0.10038381165333886</v>
      </c>
      <c r="D16" s="994">
        <f t="shared" si="3"/>
        <v>-2.4406446189230907E-2</v>
      </c>
      <c r="E16" s="994">
        <f t="shared" si="3"/>
        <v>0.51680014826309961</v>
      </c>
      <c r="F16" s="994">
        <f t="shared" si="3"/>
        <v>1.0162023867163714</v>
      </c>
      <c r="G16" s="994">
        <f t="shared" si="3"/>
        <v>1.563539620109305</v>
      </c>
      <c r="H16" s="994">
        <f t="shared" si="3"/>
        <v>1.928360542516375</v>
      </c>
      <c r="I16" s="994">
        <f t="shared" si="3"/>
        <v>1.8860983850998938</v>
      </c>
      <c r="J16" s="994">
        <f t="shared" si="3"/>
        <v>1.9986529770075907</v>
      </c>
      <c r="K16" s="994">
        <f t="shared" si="3"/>
        <v>1.9939257376386279</v>
      </c>
    </row>
    <row r="17" spans="1:11">
      <c r="A17" s="990" t="s">
        <v>899</v>
      </c>
      <c r="B17" s="994">
        <f t="shared" si="0"/>
        <v>-4.0691393708710789E-5</v>
      </c>
      <c r="C17" s="994">
        <f t="shared" ref="C17:K17" si="4">B17+C7</f>
        <v>-5.1880624463546233E-5</v>
      </c>
      <c r="D17" s="994">
        <f t="shared" si="4"/>
        <v>-5.3781735537692642E-5</v>
      </c>
      <c r="E17" s="994">
        <f t="shared" si="4"/>
        <v>-6.0849339936819904E-5</v>
      </c>
      <c r="F17" s="994">
        <f t="shared" si="4"/>
        <v>-6.502025831293289E-5</v>
      </c>
      <c r="G17" s="994">
        <f t="shared" si="4"/>
        <v>-7.791241414511559E-5</v>
      </c>
      <c r="H17" s="994">
        <f t="shared" si="4"/>
        <v>-7.0287130738748982E-5</v>
      </c>
      <c r="I17" s="994">
        <f t="shared" si="4"/>
        <v>-7.0287130738748982E-5</v>
      </c>
      <c r="J17" s="994">
        <f t="shared" si="4"/>
        <v>-7.0287130738748982E-5</v>
      </c>
      <c r="K17" s="994">
        <f t="shared" si="4"/>
        <v>-7.0287130738748982E-5</v>
      </c>
    </row>
    <row r="18" spans="1:11">
      <c r="A18" s="990" t="s">
        <v>898</v>
      </c>
      <c r="B18" s="994">
        <f t="shared" si="0"/>
        <v>-0.45022274556013736</v>
      </c>
      <c r="C18" s="994">
        <f t="shared" ref="C18:K18" si="5">B18+C8</f>
        <v>-0.16402001666096289</v>
      </c>
      <c r="D18" s="994">
        <f t="shared" si="5"/>
        <v>-6.6638571153150944E-2</v>
      </c>
      <c r="E18" s="994">
        <f t="shared" si="5"/>
        <v>0.93152007760412436</v>
      </c>
      <c r="F18" s="994">
        <f t="shared" si="5"/>
        <v>1.232091427435513</v>
      </c>
      <c r="G18" s="994">
        <f t="shared" si="5"/>
        <v>1.501015503572519</v>
      </c>
      <c r="H18" s="994">
        <f t="shared" si="5"/>
        <v>1.8335294911696929</v>
      </c>
      <c r="I18" s="994">
        <f t="shared" si="5"/>
        <v>1.8914449189799272</v>
      </c>
      <c r="J18" s="994">
        <f t="shared" si="5"/>
        <v>1.8514323638747865</v>
      </c>
      <c r="K18" s="994">
        <f t="shared" si="5"/>
        <v>1.7427852490049109</v>
      </c>
    </row>
    <row r="19" spans="1:11">
      <c r="A19" s="990" t="s">
        <v>897</v>
      </c>
      <c r="B19" s="994">
        <f t="shared" si="0"/>
        <v>-0.39536003821588073</v>
      </c>
      <c r="C19" s="994">
        <f t="shared" ref="C19:K19" si="6">B19+C9</f>
        <v>-0.40544218923530578</v>
      </c>
      <c r="D19" s="994">
        <f t="shared" si="6"/>
        <v>-0.21073695047766627</v>
      </c>
      <c r="E19" s="994">
        <f t="shared" si="6"/>
        <v>-0.44517291608755105</v>
      </c>
      <c r="F19" s="994">
        <f t="shared" si="6"/>
        <v>-0.62021532444587146</v>
      </c>
      <c r="G19" s="994">
        <f t="shared" si="6"/>
        <v>-0.54284833309537517</v>
      </c>
      <c r="H19" s="994">
        <f t="shared" si="6"/>
        <v>-0.6289886290159159</v>
      </c>
      <c r="I19" s="994">
        <f t="shared" si="6"/>
        <v>-0.63851391137334557</v>
      </c>
      <c r="J19" s="994">
        <f t="shared" si="6"/>
        <v>-0.65286057141955312</v>
      </c>
      <c r="K19" s="994">
        <f t="shared" si="6"/>
        <v>-0.68165909899787613</v>
      </c>
    </row>
    <row r="20" spans="1:11">
      <c r="A20" s="990" t="s">
        <v>43</v>
      </c>
      <c r="B20" s="994">
        <f t="shared" si="0"/>
        <v>5.6308847928154729E-2</v>
      </c>
      <c r="C20" s="994">
        <f t="shared" ref="C20:K20" si="7">B20+C10</f>
        <v>7.3916340025203281E-2</v>
      </c>
      <c r="D20" s="994">
        <f t="shared" si="7"/>
        <v>0.43479279011040217</v>
      </c>
      <c r="E20" s="994">
        <f t="shared" si="7"/>
        <v>0.76488574256994679</v>
      </c>
      <c r="F20" s="994">
        <f t="shared" si="7"/>
        <v>0.5692538335762185</v>
      </c>
      <c r="G20" s="994">
        <f t="shared" si="7"/>
        <v>0.6561804035166301</v>
      </c>
      <c r="H20" s="994">
        <f t="shared" si="7"/>
        <v>0.50769464346483439</v>
      </c>
      <c r="I20" s="994">
        <f t="shared" si="7"/>
        <v>0.46578650357054152</v>
      </c>
      <c r="J20" s="994">
        <f t="shared" si="7"/>
        <v>0.32215216145185854</v>
      </c>
      <c r="K20" s="994">
        <f t="shared" si="7"/>
        <v>0.13691097973831762</v>
      </c>
    </row>
    <row r="21" spans="1:11">
      <c r="A21" s="990" t="s">
        <v>896</v>
      </c>
      <c r="B21" s="994">
        <f t="shared" si="0"/>
        <v>-0.39153367911788273</v>
      </c>
      <c r="C21" s="994">
        <f t="shared" ref="C21:K21" si="8">B21+C11</f>
        <v>0.38266588616087127</v>
      </c>
      <c r="D21" s="994">
        <f t="shared" si="8"/>
        <v>-0.18657464833151616</v>
      </c>
      <c r="E21" s="994">
        <f t="shared" si="8"/>
        <v>5.900185975040162E-3</v>
      </c>
      <c r="F21" s="994">
        <f t="shared" si="8"/>
        <v>-0.20578440204338616</v>
      </c>
      <c r="G21" s="994">
        <f t="shared" si="8"/>
        <v>1.3755914636293942E-2</v>
      </c>
      <c r="H21" s="994">
        <f t="shared" si="8"/>
        <v>-0.53854044285319413</v>
      </c>
      <c r="I21" s="994">
        <f t="shared" si="8"/>
        <v>-0.66687602786597489</v>
      </c>
      <c r="J21" s="994">
        <f t="shared" si="8"/>
        <v>-0.73656168513748621</v>
      </c>
      <c r="K21" s="994">
        <f t="shared" si="8"/>
        <v>-0.81020030662628562</v>
      </c>
    </row>
    <row r="22" spans="1:11">
      <c r="A22" s="993" t="s">
        <v>55</v>
      </c>
      <c r="B22" s="992">
        <f t="shared" ref="B22:K22" si="9">B15+B16+B17</f>
        <v>-0.52259274739154038</v>
      </c>
      <c r="C22" s="992">
        <f t="shared" si="9"/>
        <v>-1.0298128413118992E-2</v>
      </c>
      <c r="D22" s="992">
        <f t="shared" si="9"/>
        <v>-0.52745621296275391</v>
      </c>
      <c r="E22" s="992">
        <f t="shared" si="9"/>
        <v>0.45135844884210924</v>
      </c>
      <c r="F22" s="992">
        <f t="shared" si="9"/>
        <v>1.3229038566124323</v>
      </c>
      <c r="G22" s="992">
        <f t="shared" si="9"/>
        <v>2.0893627896099991</v>
      </c>
      <c r="H22" s="992">
        <f t="shared" si="9"/>
        <v>2.439033196347788</v>
      </c>
      <c r="I22" s="992">
        <f t="shared" si="9"/>
        <v>2.4764297621307478</v>
      </c>
      <c r="J22" s="992">
        <f t="shared" si="9"/>
        <v>2.3762054800428398</v>
      </c>
      <c r="K22" s="992">
        <f t="shared" si="9"/>
        <v>2.1649915174134895</v>
      </c>
    </row>
    <row r="23" spans="1:11">
      <c r="A23" s="991" t="s">
        <v>895</v>
      </c>
      <c r="B23" s="990"/>
      <c r="C23" s="990"/>
      <c r="D23" s="990"/>
      <c r="E23" s="990"/>
      <c r="F23" s="990"/>
      <c r="G23" s="990"/>
      <c r="H23" s="990"/>
      <c r="I23" s="990"/>
      <c r="J23" s="990"/>
      <c r="K23" s="990"/>
    </row>
  </sheetData>
  <pageMargins left="0.7" right="0.7" top="0.75" bottom="0.75" header="0.3" footer="0.3"/>
  <pageSetup paperSize="9" orientation="portrait" verticalDpi="0" r:id="rId1"/>
  <drawing r:id="rId2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8"/>
  <sheetViews>
    <sheetView showGridLines="0" zoomScaleNormal="100" workbookViewId="0">
      <selection activeCell="B18" sqref="B18"/>
    </sheetView>
  </sheetViews>
  <sheetFormatPr defaultColWidth="9.140625" defaultRowHeight="15"/>
  <cols>
    <col min="1" max="1" width="9.140625" style="433"/>
    <col min="2" max="2" width="12.7109375" style="433" bestFit="1" customWidth="1"/>
    <col min="3" max="3" width="8.28515625" style="433" bestFit="1" customWidth="1"/>
    <col min="4" max="4" width="16.5703125" style="433" bestFit="1" customWidth="1"/>
    <col min="5" max="5" width="21.140625" style="433" bestFit="1" customWidth="1"/>
    <col min="6" max="6" width="14" style="433" bestFit="1" customWidth="1"/>
    <col min="7" max="16384" width="9.140625" style="433"/>
  </cols>
  <sheetData>
    <row r="1" spans="1:6" ht="15.75" thickBot="1"/>
    <row r="2" spans="1:6" ht="15.75" thickTop="1">
      <c r="A2" s="434"/>
      <c r="B2" s="435" t="s">
        <v>443</v>
      </c>
      <c r="C2" s="435" t="s">
        <v>444</v>
      </c>
      <c r="D2" s="435" t="s">
        <v>445</v>
      </c>
      <c r="E2" s="435" t="s">
        <v>446</v>
      </c>
      <c r="F2" s="435" t="s">
        <v>447</v>
      </c>
    </row>
    <row r="3" spans="1:6" ht="15.75" thickBot="1">
      <c r="A3" s="436">
        <v>2008</v>
      </c>
      <c r="B3" s="437">
        <v>170.28</v>
      </c>
      <c r="C3" s="438"/>
      <c r="D3" s="439">
        <v>609.04</v>
      </c>
      <c r="E3" s="438"/>
      <c r="F3" s="440">
        <f>B3</f>
        <v>170.28</v>
      </c>
    </row>
    <row r="4" spans="1:6" ht="16.5" thickTop="1" thickBot="1">
      <c r="A4" s="436">
        <v>2009</v>
      </c>
      <c r="B4" s="441">
        <v>178.92</v>
      </c>
      <c r="C4" s="442">
        <f t="shared" ref="C4:C14" si="0">B4/B3-1</f>
        <v>5.0739957716701811E-2</v>
      </c>
      <c r="D4" s="443">
        <v>629.62</v>
      </c>
      <c r="E4" s="442">
        <f t="shared" ref="E4:E14" si="1">D4/D3-1</f>
        <v>3.3790884014186284E-2</v>
      </c>
      <c r="F4" s="444">
        <f t="shared" ref="F4:F14" si="2">F3*(1+E4)</f>
        <v>176.03391172993565</v>
      </c>
    </row>
    <row r="5" spans="1:6" ht="16.5" thickTop="1" thickBot="1">
      <c r="A5" s="436">
        <v>2010</v>
      </c>
      <c r="B5" s="441">
        <v>185.19</v>
      </c>
      <c r="C5" s="442">
        <f t="shared" si="0"/>
        <v>3.5043594902749886E-2</v>
      </c>
      <c r="D5" s="443">
        <v>651</v>
      </c>
      <c r="E5" s="442">
        <f t="shared" si="1"/>
        <v>3.3956989930434167E-2</v>
      </c>
      <c r="F5" s="444">
        <f t="shared" si="2"/>
        <v>182.01149349796401</v>
      </c>
    </row>
    <row r="6" spans="1:6" ht="16.5" thickTop="1" thickBot="1">
      <c r="A6" s="436">
        <v>2011</v>
      </c>
      <c r="B6" s="441">
        <v>185.38</v>
      </c>
      <c r="C6" s="442">
        <f t="shared" si="0"/>
        <v>1.0259733246935632E-3</v>
      </c>
      <c r="D6" s="443">
        <v>670</v>
      </c>
      <c r="E6" s="442">
        <f t="shared" si="1"/>
        <v>2.9185867895545226E-2</v>
      </c>
      <c r="F6" s="444">
        <f t="shared" si="2"/>
        <v>187.32365690266647</v>
      </c>
    </row>
    <row r="7" spans="1:6" ht="16.5" thickTop="1" thickBot="1">
      <c r="A7" s="436">
        <v>2012</v>
      </c>
      <c r="B7" s="441">
        <v>189.83</v>
      </c>
      <c r="C7" s="442">
        <f t="shared" si="0"/>
        <v>2.4004747006149518E-2</v>
      </c>
      <c r="D7" s="443">
        <v>703</v>
      </c>
      <c r="E7" s="442">
        <f t="shared" si="1"/>
        <v>4.925373134328348E-2</v>
      </c>
      <c r="F7" s="444">
        <f t="shared" si="2"/>
        <v>196.55004597399181</v>
      </c>
    </row>
    <row r="8" spans="1:6" ht="16.5" thickTop="1" thickBot="1">
      <c r="A8" s="436">
        <v>2013</v>
      </c>
      <c r="B8" s="441">
        <v>194.58</v>
      </c>
      <c r="C8" s="442">
        <f t="shared" si="0"/>
        <v>2.5022388452826227E-2</v>
      </c>
      <c r="D8" s="443">
        <v>718</v>
      </c>
      <c r="E8" s="442">
        <f t="shared" si="1"/>
        <v>2.1337126600284417E-2</v>
      </c>
      <c r="F8" s="444">
        <f t="shared" si="2"/>
        <v>200.7438591882306</v>
      </c>
    </row>
    <row r="9" spans="1:6" ht="16.5" thickTop="1" thickBot="1">
      <c r="A9" s="436">
        <v>2014</v>
      </c>
      <c r="B9" s="441">
        <v>198.09</v>
      </c>
      <c r="C9" s="442">
        <f t="shared" si="0"/>
        <v>1.8038852913968562E-2</v>
      </c>
      <c r="D9" s="443">
        <v>756</v>
      </c>
      <c r="E9" s="442">
        <f t="shared" si="1"/>
        <v>5.2924791086351064E-2</v>
      </c>
      <c r="F9" s="444">
        <f t="shared" si="2"/>
        <v>211.36818599763558</v>
      </c>
    </row>
    <row r="10" spans="1:6" ht="16.5" thickTop="1" thickBot="1">
      <c r="A10" s="436">
        <v>2015</v>
      </c>
      <c r="B10" s="441">
        <v>198.09</v>
      </c>
      <c r="C10" s="442">
        <f t="shared" si="0"/>
        <v>0</v>
      </c>
      <c r="D10" s="443">
        <v>775</v>
      </c>
      <c r="E10" s="442">
        <f t="shared" si="1"/>
        <v>2.5132275132275117E-2</v>
      </c>
      <c r="F10" s="444">
        <f t="shared" si="2"/>
        <v>216.68034940233807</v>
      </c>
    </row>
    <row r="11" spans="1:6" ht="16.5" thickTop="1" thickBot="1">
      <c r="A11" s="436">
        <v>2016</v>
      </c>
      <c r="B11" s="441">
        <v>198.09</v>
      </c>
      <c r="C11" s="442">
        <f t="shared" si="0"/>
        <v>0</v>
      </c>
      <c r="D11" s="443">
        <v>796.94</v>
      </c>
      <c r="E11" s="442">
        <f t="shared" si="1"/>
        <v>2.8309677419354973E-2</v>
      </c>
      <c r="F11" s="444">
        <f t="shared" si="2"/>
        <v>222.81450019703138</v>
      </c>
    </row>
    <row r="12" spans="1:6" ht="16.5" thickTop="1" thickBot="1">
      <c r="A12" s="436">
        <v>2017</v>
      </c>
      <c r="B12" s="441">
        <v>199.69</v>
      </c>
      <c r="C12" s="442">
        <f t="shared" si="0"/>
        <v>8.0771366550558277E-3</v>
      </c>
      <c r="D12" s="443">
        <v>825.03</v>
      </c>
      <c r="E12" s="442">
        <f t="shared" si="1"/>
        <v>3.5247321002835674E-2</v>
      </c>
      <c r="F12" s="444">
        <f t="shared" si="2"/>
        <v>230.66811440956255</v>
      </c>
    </row>
    <row r="13" spans="1:6" ht="16.5" thickTop="1" thickBot="1">
      <c r="A13" s="436">
        <v>2018</v>
      </c>
      <c r="B13" s="441">
        <v>202.45</v>
      </c>
      <c r="C13" s="442">
        <f t="shared" si="0"/>
        <v>1.3821423205969241E-2</v>
      </c>
      <c r="D13" s="443">
        <v>860.14</v>
      </c>
      <c r="E13" s="442">
        <f t="shared" si="1"/>
        <v>4.2556028265638757E-2</v>
      </c>
      <c r="F13" s="444">
        <f t="shared" si="2"/>
        <v>240.48443320635749</v>
      </c>
    </row>
    <row r="14" spans="1:6" ht="16.5" thickTop="1" thickBot="1">
      <c r="A14" s="436">
        <v>2019</v>
      </c>
      <c r="B14" s="441">
        <v>205.87</v>
      </c>
      <c r="C14" s="442">
        <f t="shared" si="0"/>
        <v>1.6893060014818495E-2</v>
      </c>
      <c r="D14" s="443">
        <v>901.39</v>
      </c>
      <c r="E14" s="442">
        <f t="shared" si="1"/>
        <v>4.7957309275234339E-2</v>
      </c>
      <c r="F14" s="444">
        <f t="shared" si="2"/>
        <v>252.0174195455142</v>
      </c>
    </row>
    <row r="15" spans="1:6" ht="15.75" thickTop="1">
      <c r="A15" s="436"/>
      <c r="B15" s="1629"/>
      <c r="C15" s="1630"/>
      <c r="D15" s="1629"/>
      <c r="E15" s="1630"/>
      <c r="F15" s="1631"/>
    </row>
    <row r="16" spans="1:6">
      <c r="A16" s="436"/>
      <c r="B16" s="1629"/>
      <c r="C16" s="1630"/>
      <c r="D16" s="1629"/>
      <c r="E16" s="1630"/>
      <c r="F16" s="1631"/>
    </row>
    <row r="18" spans="2:2">
      <c r="B18" s="432" t="s">
        <v>386</v>
      </c>
    </row>
  </sheetData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3"/>
  <sheetViews>
    <sheetView showGridLines="0" workbookViewId="0">
      <selection activeCell="C10" sqref="C10:F10"/>
    </sheetView>
  </sheetViews>
  <sheetFormatPr defaultRowHeight="15"/>
  <cols>
    <col min="1" max="1" width="37.28515625" style="758" customWidth="1"/>
    <col min="2" max="16384" width="9.140625" style="758"/>
  </cols>
  <sheetData>
    <row r="1" spans="1:10">
      <c r="A1" s="1699" t="s">
        <v>800</v>
      </c>
      <c r="B1" s="1699"/>
      <c r="C1" s="1699"/>
      <c r="D1" s="1699"/>
      <c r="E1" s="1699"/>
      <c r="F1" s="1699"/>
    </row>
    <row r="2" spans="1:10">
      <c r="A2" s="884"/>
      <c r="B2" s="884">
        <v>2015</v>
      </c>
      <c r="C2" s="884">
        <v>2016</v>
      </c>
      <c r="D2" s="884">
        <v>2017</v>
      </c>
      <c r="E2" s="884">
        <v>2018</v>
      </c>
      <c r="F2" s="884">
        <v>2019</v>
      </c>
      <c r="I2" s="109"/>
      <c r="J2" s="109"/>
    </row>
    <row r="3" spans="1:10">
      <c r="A3" s="759" t="s">
        <v>799</v>
      </c>
      <c r="B3" s="778"/>
      <c r="C3" s="778">
        <v>-1556.5</v>
      </c>
      <c r="D3" s="778">
        <v>-1083.5</v>
      </c>
      <c r="E3" s="778">
        <v>-389.5</v>
      </c>
      <c r="F3" s="778">
        <v>150.69999999999999</v>
      </c>
      <c r="G3" s="759"/>
      <c r="I3" s="109"/>
      <c r="J3" s="109"/>
    </row>
    <row r="4" spans="1:10">
      <c r="A4" s="882" t="s">
        <v>185</v>
      </c>
      <c r="B4" s="883">
        <v>-2.71</v>
      </c>
      <c r="C4" s="883">
        <v>-1.9323928463425331</v>
      </c>
      <c r="D4" s="883">
        <v>-1.2900132475468424</v>
      </c>
      <c r="E4" s="883">
        <v>-0.44000716010765212</v>
      </c>
      <c r="F4" s="883">
        <v>0.15995394846493752</v>
      </c>
      <c r="G4" s="759"/>
      <c r="I4" s="109"/>
      <c r="J4" s="109"/>
    </row>
    <row r="5" spans="1:10">
      <c r="A5" s="759" t="s">
        <v>798</v>
      </c>
      <c r="B5" s="778"/>
      <c r="C5" s="778">
        <v>-624.95655210137716</v>
      </c>
      <c r="D5" s="778">
        <v>-854.5600236954823</v>
      </c>
      <c r="E5" s="778">
        <v>-954.6489803727776</v>
      </c>
      <c r="F5" s="778">
        <v>-1043.006645855429</v>
      </c>
      <c r="G5" s="759"/>
      <c r="I5" s="595"/>
      <c r="J5" s="595"/>
    </row>
    <row r="6" spans="1:10">
      <c r="A6" s="759" t="s">
        <v>797</v>
      </c>
      <c r="B6" s="778"/>
      <c r="C6" s="778">
        <v>113.68775239022173</v>
      </c>
      <c r="D6" s="778">
        <v>621.6156661361199</v>
      </c>
      <c r="E6" s="778">
        <v>628.36776475308363</v>
      </c>
      <c r="F6" s="778">
        <v>895.6765073719622</v>
      </c>
      <c r="G6" s="759"/>
      <c r="I6" s="595"/>
      <c r="J6" s="595"/>
    </row>
    <row r="7" spans="1:10">
      <c r="A7" s="759" t="s">
        <v>796</v>
      </c>
      <c r="B7" s="778"/>
      <c r="C7" s="778">
        <f>C3+C5+C6</f>
        <v>-2067.7687997111557</v>
      </c>
      <c r="D7" s="778">
        <f>D3+D5+D6</f>
        <v>-1316.4443575593625</v>
      </c>
      <c r="E7" s="778">
        <f>E3+E5+E6</f>
        <v>-715.78121561969408</v>
      </c>
      <c r="F7" s="778">
        <f>F3+F5+F6</f>
        <v>3.3698615165332058</v>
      </c>
      <c r="G7" s="759"/>
    </row>
    <row r="8" spans="1:10">
      <c r="A8" s="882" t="s">
        <v>185</v>
      </c>
      <c r="B8" s="881">
        <v>-2.71</v>
      </c>
      <c r="C8" s="881">
        <v>-2.5470748948736213</v>
      </c>
      <c r="D8" s="881">
        <v>-1.5551103190106683</v>
      </c>
      <c r="E8" s="881">
        <v>-0.80228009968841585</v>
      </c>
      <c r="F8" s="881">
        <v>3.5488464429228902E-3</v>
      </c>
      <c r="G8" s="759"/>
    </row>
    <row r="9" spans="1:10">
      <c r="A9" s="880" t="s">
        <v>795</v>
      </c>
      <c r="B9" s="879"/>
      <c r="C9" s="879">
        <f>C3-C7</f>
        <v>511.26879971115568</v>
      </c>
      <c r="D9" s="879">
        <v>235.94909883379319</v>
      </c>
      <c r="E9" s="879">
        <v>322.74369474959548</v>
      </c>
      <c r="F9" s="879">
        <v>148.03766829764444</v>
      </c>
      <c r="G9" s="759"/>
    </row>
    <row r="10" spans="1:10">
      <c r="A10" s="878" t="s">
        <v>185</v>
      </c>
      <c r="B10" s="877"/>
      <c r="C10" s="877">
        <v>0.61468204853108821</v>
      </c>
      <c r="D10" s="877">
        <v>0.26509707146382588</v>
      </c>
      <c r="E10" s="877">
        <v>0.36227293958076373</v>
      </c>
      <c r="F10" s="877">
        <v>0.15640510202201463</v>
      </c>
      <c r="G10" s="759"/>
    </row>
    <row r="11" spans="1:10">
      <c r="A11" s="876" t="s">
        <v>794</v>
      </c>
      <c r="B11" s="759"/>
      <c r="C11" s="759"/>
      <c r="D11" s="759"/>
      <c r="E11" s="1700" t="s">
        <v>71</v>
      </c>
      <c r="F11" s="1700"/>
      <c r="G11" s="759"/>
    </row>
    <row r="12" spans="1:10">
      <c r="A12" s="876" t="s">
        <v>793</v>
      </c>
      <c r="B12" s="759"/>
      <c r="C12" s="759"/>
      <c r="D12" s="759"/>
      <c r="E12" s="759"/>
      <c r="F12" s="759"/>
      <c r="G12" s="759"/>
    </row>
    <row r="13" spans="1:10">
      <c r="A13" s="759"/>
      <c r="B13" s="759"/>
      <c r="C13" s="759"/>
      <c r="D13" s="759"/>
      <c r="E13" s="759"/>
      <c r="F13" s="759"/>
      <c r="G13" s="759"/>
    </row>
  </sheetData>
  <mergeCells count="2">
    <mergeCell ref="A1:F1"/>
    <mergeCell ref="E11:F11"/>
  </mergeCells>
  <pageMargins left="0.7" right="0.7" top="0.75" bottom="0.75" header="0.3" footer="0.3"/>
  <pageSetup paperSize="9" orientation="portrait" verticalDpi="0" r:id="rId1"/>
  <drawing r:id="rId2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M26"/>
  <sheetViews>
    <sheetView showGridLines="0" zoomScaleNormal="100" workbookViewId="0">
      <selection activeCell="A26" sqref="A26"/>
    </sheetView>
  </sheetViews>
  <sheetFormatPr defaultRowHeight="12.75"/>
  <cols>
    <col min="1" max="1" width="15.140625" style="445" customWidth="1"/>
    <col min="2" max="16384" width="9.140625" style="445"/>
  </cols>
  <sheetData>
    <row r="2" spans="1:13" ht="38.25">
      <c r="A2" s="446" t="s">
        <v>449</v>
      </c>
      <c r="B2" s="447">
        <v>2008</v>
      </c>
      <c r="C2" s="447">
        <v>2009</v>
      </c>
      <c r="D2" s="447">
        <v>2010</v>
      </c>
      <c r="E2" s="447">
        <v>2011</v>
      </c>
      <c r="F2" s="447">
        <v>2012</v>
      </c>
      <c r="G2" s="447">
        <v>2013</v>
      </c>
      <c r="H2" s="447">
        <v>2014</v>
      </c>
      <c r="I2" s="447">
        <v>2015</v>
      </c>
      <c r="J2" s="447">
        <v>2016</v>
      </c>
      <c r="K2" s="447">
        <v>2017</v>
      </c>
      <c r="L2" s="447">
        <v>2018</v>
      </c>
      <c r="M2" s="447">
        <v>2019</v>
      </c>
    </row>
    <row r="3" spans="1:13">
      <c r="A3" s="448">
        <v>1</v>
      </c>
      <c r="B3" s="449">
        <v>0</v>
      </c>
      <c r="C3" s="450">
        <v>0</v>
      </c>
      <c r="D3" s="450">
        <v>0</v>
      </c>
      <c r="E3" s="450">
        <v>0</v>
      </c>
      <c r="F3" s="450">
        <v>0</v>
      </c>
      <c r="G3" s="450">
        <v>0</v>
      </c>
      <c r="H3" s="450">
        <v>0</v>
      </c>
      <c r="I3" s="450">
        <v>0</v>
      </c>
      <c r="J3" s="450">
        <v>0</v>
      </c>
      <c r="K3" s="450">
        <v>0</v>
      </c>
      <c r="L3" s="450">
        <v>0</v>
      </c>
      <c r="M3" s="450">
        <v>0</v>
      </c>
    </row>
    <row r="4" spans="1:13">
      <c r="A4" s="448">
        <v>2</v>
      </c>
      <c r="B4" s="449">
        <v>0</v>
      </c>
      <c r="C4" s="450">
        <v>-1.8409700000000001E-2</v>
      </c>
      <c r="D4" s="450">
        <v>-2.1548299999999999E-2</v>
      </c>
      <c r="E4" s="450">
        <v>0</v>
      </c>
      <c r="F4" s="450">
        <v>3.2519300000000001E-2</v>
      </c>
      <c r="G4" s="450">
        <v>1.3225600000000001E-2</v>
      </c>
      <c r="H4" s="450">
        <v>0.27428910000000001</v>
      </c>
      <c r="I4" s="450">
        <v>0.31943890000000003</v>
      </c>
      <c r="J4" s="450">
        <v>0.36443039999999999</v>
      </c>
      <c r="K4" s="450">
        <v>0.41922470000000001</v>
      </c>
      <c r="L4" s="450">
        <v>0.60028360000000003</v>
      </c>
      <c r="M4" s="450">
        <v>0.64354420000000001</v>
      </c>
    </row>
    <row r="5" spans="1:13">
      <c r="A5" s="448">
        <v>3</v>
      </c>
      <c r="B5" s="449">
        <v>0</v>
      </c>
      <c r="C5" s="450">
        <v>-3.1426900000000001E-2</v>
      </c>
      <c r="D5" s="450">
        <v>-3.3168299999999998E-2</v>
      </c>
      <c r="E5" s="450">
        <v>2.1101000000000002E-2</v>
      </c>
      <c r="F5" s="450">
        <v>6.2911999999999996E-2</v>
      </c>
      <c r="G5" s="450">
        <v>5.6786999999999997E-2</v>
      </c>
      <c r="H5" s="450">
        <v>9.67774E-2</v>
      </c>
      <c r="I5" s="450">
        <v>0.1081886</v>
      </c>
      <c r="J5" s="450">
        <v>0.11551</v>
      </c>
      <c r="K5" s="450">
        <v>-0.12529370000000001</v>
      </c>
      <c r="L5" s="450">
        <v>-0.1080303</v>
      </c>
      <c r="M5" s="450">
        <v>-8.9199500000000001E-2</v>
      </c>
    </row>
    <row r="6" spans="1:13">
      <c r="A6" s="448">
        <v>4</v>
      </c>
      <c r="B6" s="449">
        <v>0</v>
      </c>
      <c r="C6" s="450">
        <v>-9.72359E-2</v>
      </c>
      <c r="D6" s="450">
        <v>-0.1026372</v>
      </c>
      <c r="E6" s="450">
        <v>6.4777000000000001E-2</v>
      </c>
      <c r="F6" s="450">
        <v>0.1191974</v>
      </c>
      <c r="G6" s="450">
        <v>0.1153381</v>
      </c>
      <c r="H6" s="450">
        <v>0.15007119999999999</v>
      </c>
      <c r="I6" s="450">
        <v>0.17515620000000001</v>
      </c>
      <c r="J6" s="450">
        <v>0.20210130000000001</v>
      </c>
      <c r="K6" s="450">
        <v>0.97453860000000003</v>
      </c>
      <c r="L6" s="450">
        <v>0.99286160000000001</v>
      </c>
      <c r="M6" s="450">
        <v>1.0020979999999999</v>
      </c>
    </row>
    <row r="7" spans="1:13">
      <c r="A7" s="448">
        <v>5</v>
      </c>
      <c r="B7" s="449">
        <v>0</v>
      </c>
      <c r="C7" s="450">
        <v>-0.17411080000000001</v>
      </c>
      <c r="D7" s="450">
        <v>-0.183781</v>
      </c>
      <c r="E7" s="450">
        <v>0.11608980000000001</v>
      </c>
      <c r="F7" s="450">
        <v>0.184141</v>
      </c>
      <c r="G7" s="450">
        <v>0.1824935</v>
      </c>
      <c r="H7" s="450">
        <v>0.22227669999999999</v>
      </c>
      <c r="I7" s="450">
        <v>0.28210259999999998</v>
      </c>
      <c r="J7" s="450">
        <v>0.35741659999999997</v>
      </c>
      <c r="K7" s="450">
        <v>0.44999060000000002</v>
      </c>
      <c r="L7" s="450">
        <v>0.53831949999999995</v>
      </c>
      <c r="M7" s="450">
        <v>0.64126320000000003</v>
      </c>
    </row>
    <row r="8" spans="1:13">
      <c r="A8" s="448">
        <v>6</v>
      </c>
      <c r="B8" s="449">
        <v>0</v>
      </c>
      <c r="C8" s="450">
        <v>-0.2077534</v>
      </c>
      <c r="D8" s="450">
        <v>-0.21892059999999999</v>
      </c>
      <c r="E8" s="450">
        <v>0.14243359999999999</v>
      </c>
      <c r="F8" s="450">
        <v>0.43721179999999998</v>
      </c>
      <c r="G8" s="450">
        <v>0.39363500000000001</v>
      </c>
      <c r="H8" s="450">
        <v>0.78782399999999997</v>
      </c>
      <c r="I8" s="450">
        <v>1.0751809999999999</v>
      </c>
      <c r="J8" s="450">
        <v>1.388919</v>
      </c>
      <c r="K8" s="450">
        <v>2.094989</v>
      </c>
      <c r="L8" s="450">
        <v>2.3823699999999999</v>
      </c>
      <c r="M8" s="450">
        <v>2.6803919999999999</v>
      </c>
    </row>
    <row r="9" spans="1:13">
      <c r="A9" s="448">
        <v>7</v>
      </c>
      <c r="B9" s="449">
        <v>0</v>
      </c>
      <c r="C9" s="450">
        <v>-0.1821006</v>
      </c>
      <c r="D9" s="450">
        <v>-0.19221450000000001</v>
      </c>
      <c r="E9" s="450">
        <v>0.12139560000000001</v>
      </c>
      <c r="F9" s="450">
        <v>0.38458500000000001</v>
      </c>
      <c r="G9" s="450">
        <v>0.34600560000000002</v>
      </c>
      <c r="H9" s="450">
        <v>0.69352130000000001</v>
      </c>
      <c r="I9" s="450">
        <v>0.94473929999999995</v>
      </c>
      <c r="J9" s="450">
        <v>1.21574</v>
      </c>
      <c r="K9" s="450">
        <v>1.475711</v>
      </c>
      <c r="L9" s="450">
        <v>1.739047</v>
      </c>
      <c r="M9" s="450">
        <v>2.0188990000000002</v>
      </c>
    </row>
    <row r="10" spans="1:13">
      <c r="A10" s="448">
        <v>8</v>
      </c>
      <c r="B10" s="449">
        <v>0</v>
      </c>
      <c r="C10" s="450">
        <v>-0.1557608</v>
      </c>
      <c r="D10" s="450">
        <v>-0.16440560000000001</v>
      </c>
      <c r="E10" s="450">
        <v>0.10440770000000001</v>
      </c>
      <c r="F10" s="450">
        <v>0.3329667</v>
      </c>
      <c r="G10" s="450">
        <v>0.29896349999999999</v>
      </c>
      <c r="H10" s="450">
        <v>0.60630629999999996</v>
      </c>
      <c r="I10" s="450">
        <v>0.83489080000000004</v>
      </c>
      <c r="J10" s="450">
        <v>1.1010249999999999</v>
      </c>
      <c r="K10" s="450">
        <v>1.3234490000000001</v>
      </c>
      <c r="L10" s="450">
        <v>1.5803799999999999</v>
      </c>
      <c r="M10" s="450">
        <v>1.8438330000000001</v>
      </c>
    </row>
    <row r="11" spans="1:13">
      <c r="A11" s="448">
        <v>9</v>
      </c>
      <c r="B11" s="449">
        <v>0</v>
      </c>
      <c r="C11" s="450">
        <v>-0.1610019</v>
      </c>
      <c r="D11" s="450">
        <v>-0.16994429999999999</v>
      </c>
      <c r="E11" s="450">
        <v>0.10734340000000001</v>
      </c>
      <c r="F11" s="450">
        <v>0.3426189</v>
      </c>
      <c r="G11" s="450">
        <v>0.30769659999999999</v>
      </c>
      <c r="H11" s="450">
        <v>0.6235368</v>
      </c>
      <c r="I11" s="450">
        <v>0.85205200000000003</v>
      </c>
      <c r="J11" s="450">
        <v>1.09815</v>
      </c>
      <c r="K11" s="450">
        <v>1.1717150000000001</v>
      </c>
      <c r="L11" s="450">
        <v>1.394215</v>
      </c>
      <c r="M11" s="450">
        <v>1.6259589999999999</v>
      </c>
    </row>
    <row r="12" spans="1:13">
      <c r="A12" s="448">
        <v>10</v>
      </c>
      <c r="B12" s="449">
        <v>0</v>
      </c>
      <c r="C12" s="450">
        <v>-0.13224050000000001</v>
      </c>
      <c r="D12" s="450">
        <v>-0.1395807</v>
      </c>
      <c r="E12" s="450">
        <v>8.9188100000000006E-2</v>
      </c>
      <c r="F12" s="450">
        <v>0.27993269999999998</v>
      </c>
      <c r="G12" s="450">
        <v>0.25213069999999999</v>
      </c>
      <c r="H12" s="450">
        <v>0.50234820000000002</v>
      </c>
      <c r="I12" s="450">
        <v>0.68321589999999999</v>
      </c>
      <c r="J12" s="450">
        <v>0.88162830000000003</v>
      </c>
      <c r="K12" s="450">
        <v>1.017223</v>
      </c>
      <c r="L12" s="450">
        <v>1.242944</v>
      </c>
      <c r="M12" s="450">
        <v>1.4844459999999999</v>
      </c>
    </row>
    <row r="13" spans="1:13">
      <c r="A13" s="448">
        <v>11</v>
      </c>
      <c r="B13" s="449">
        <v>0</v>
      </c>
      <c r="C13" s="450">
        <v>-0.14333679999999999</v>
      </c>
      <c r="D13" s="450">
        <v>-0.15123410000000001</v>
      </c>
      <c r="E13" s="450">
        <v>9.6827499999999997E-2</v>
      </c>
      <c r="F13" s="450">
        <v>0.30050559999999998</v>
      </c>
      <c r="G13" s="450">
        <v>0.27080680000000001</v>
      </c>
      <c r="H13" s="450">
        <v>0.54620310000000005</v>
      </c>
      <c r="I13" s="450">
        <v>0.75647880000000001</v>
      </c>
      <c r="J13" s="450">
        <v>0.98532770000000003</v>
      </c>
      <c r="K13" s="450">
        <v>1.1580010000000001</v>
      </c>
      <c r="L13" s="450">
        <v>1.380755</v>
      </c>
      <c r="M13" s="450">
        <v>1.6124419999999999</v>
      </c>
    </row>
    <row r="14" spans="1:13">
      <c r="A14" s="448">
        <v>12</v>
      </c>
      <c r="B14" s="449">
        <v>0</v>
      </c>
      <c r="C14" s="450">
        <v>-0.13972619999999999</v>
      </c>
      <c r="D14" s="450">
        <v>-0.14745949999999999</v>
      </c>
      <c r="E14" s="450">
        <v>9.57813E-2</v>
      </c>
      <c r="F14" s="450">
        <v>0.30607079999999998</v>
      </c>
      <c r="G14" s="450">
        <v>0.2751555</v>
      </c>
      <c r="H14" s="450">
        <v>0.55393510000000001</v>
      </c>
      <c r="I14" s="450">
        <v>0.75538590000000005</v>
      </c>
      <c r="J14" s="450">
        <v>0.97228190000000003</v>
      </c>
      <c r="K14" s="450">
        <v>1.1716869999999999</v>
      </c>
      <c r="L14" s="450">
        <v>1.380762</v>
      </c>
      <c r="M14" s="450">
        <v>1.5975809999999999</v>
      </c>
    </row>
    <row r="15" spans="1:13">
      <c r="A15" s="448">
        <v>13</v>
      </c>
      <c r="B15" s="450">
        <v>0</v>
      </c>
      <c r="C15" s="450">
        <v>-0.150703</v>
      </c>
      <c r="D15" s="450">
        <v>-0.15902140000000001</v>
      </c>
      <c r="E15" s="450">
        <v>0.1007762</v>
      </c>
      <c r="F15" s="450">
        <v>0.31966020000000001</v>
      </c>
      <c r="G15" s="450">
        <v>0.28763100000000003</v>
      </c>
      <c r="H15" s="450">
        <v>0.57629300000000006</v>
      </c>
      <c r="I15" s="450">
        <v>0.78558729999999999</v>
      </c>
      <c r="J15" s="450">
        <v>1.0110380000000001</v>
      </c>
      <c r="K15" s="450">
        <v>1.0074810000000001</v>
      </c>
      <c r="L15" s="450">
        <v>1.2230019999999999</v>
      </c>
      <c r="M15" s="450">
        <v>1.4471020000000001</v>
      </c>
    </row>
    <row r="16" spans="1:13">
      <c r="A16" s="448">
        <v>14</v>
      </c>
      <c r="B16" s="450">
        <v>0</v>
      </c>
      <c r="C16" s="450">
        <v>-0.1370063</v>
      </c>
      <c r="D16" s="450">
        <v>-0.14459230000000001</v>
      </c>
      <c r="E16" s="450">
        <v>9.1790200000000002E-2</v>
      </c>
      <c r="F16" s="450">
        <v>0.2922225</v>
      </c>
      <c r="G16" s="450">
        <v>0.26256610000000002</v>
      </c>
      <c r="H16" s="450">
        <v>0.52967690000000001</v>
      </c>
      <c r="I16" s="450">
        <v>0.72456500000000001</v>
      </c>
      <c r="J16" s="450">
        <v>0.93615289999999995</v>
      </c>
      <c r="K16" s="450">
        <v>0.99494360000000004</v>
      </c>
      <c r="L16" s="450">
        <v>1.190763</v>
      </c>
      <c r="M16" s="450">
        <v>1.3974260000000001</v>
      </c>
    </row>
    <row r="17" spans="1:13">
      <c r="A17" s="448">
        <v>15</v>
      </c>
      <c r="B17" s="450">
        <v>0</v>
      </c>
      <c r="C17" s="450">
        <v>-0.14086679999999999</v>
      </c>
      <c r="D17" s="450">
        <v>-0.14867449999999999</v>
      </c>
      <c r="E17" s="450">
        <v>9.4322199999999995E-2</v>
      </c>
      <c r="F17" s="450">
        <v>0.29256009999999999</v>
      </c>
      <c r="G17" s="450">
        <v>0.26380110000000001</v>
      </c>
      <c r="H17" s="450">
        <v>0.52348799999999995</v>
      </c>
      <c r="I17" s="450">
        <v>0.712225</v>
      </c>
      <c r="J17" s="450">
        <v>0.91679809999999995</v>
      </c>
      <c r="K17" s="450">
        <v>1.012481</v>
      </c>
      <c r="L17" s="450">
        <v>1.2070129999999999</v>
      </c>
      <c r="M17" s="450">
        <v>1.4121999999999999</v>
      </c>
    </row>
    <row r="18" spans="1:13">
      <c r="A18" s="448">
        <v>16</v>
      </c>
      <c r="B18" s="450">
        <v>0</v>
      </c>
      <c r="C18" s="450">
        <v>-0.1186533</v>
      </c>
      <c r="D18" s="450">
        <v>-0.12523129999999999</v>
      </c>
      <c r="E18" s="450">
        <v>7.9929399999999998E-2</v>
      </c>
      <c r="F18" s="450">
        <v>0.25401020000000002</v>
      </c>
      <c r="G18" s="450">
        <v>0.22793869999999999</v>
      </c>
      <c r="H18" s="450">
        <v>0.4635725</v>
      </c>
      <c r="I18" s="450">
        <v>0.63467119999999999</v>
      </c>
      <c r="J18" s="450">
        <v>0.81934739999999995</v>
      </c>
      <c r="K18" s="450">
        <v>0.92918489999999998</v>
      </c>
      <c r="L18" s="450">
        <v>1.1054949999999999</v>
      </c>
      <c r="M18" s="450">
        <v>1.2892060000000001</v>
      </c>
    </row>
    <row r="19" spans="1:13">
      <c r="A19" s="448">
        <v>17</v>
      </c>
      <c r="B19" s="450">
        <v>0</v>
      </c>
      <c r="C19" s="450">
        <v>-0.1213984</v>
      </c>
      <c r="D19" s="450">
        <v>-0.12813569999999999</v>
      </c>
      <c r="E19" s="450">
        <v>8.13551E-2</v>
      </c>
      <c r="F19" s="450">
        <v>0.25642300000000001</v>
      </c>
      <c r="G19" s="450">
        <v>0.23080680000000001</v>
      </c>
      <c r="H19" s="450">
        <v>0.45942309999999997</v>
      </c>
      <c r="I19" s="450">
        <v>0.62464330000000001</v>
      </c>
      <c r="J19" s="450">
        <v>0.80477810000000005</v>
      </c>
      <c r="K19" s="450">
        <v>0.94677069999999997</v>
      </c>
      <c r="L19" s="450">
        <v>1.120941</v>
      </c>
      <c r="M19" s="450">
        <v>1.3025979999999999</v>
      </c>
    </row>
    <row r="20" spans="1:13">
      <c r="A20" s="448">
        <v>18</v>
      </c>
      <c r="B20" s="450">
        <v>0</v>
      </c>
      <c r="C20" s="450">
        <v>-9.7998600000000005E-2</v>
      </c>
      <c r="D20" s="450">
        <v>-0.1034307</v>
      </c>
      <c r="E20" s="450">
        <v>6.5506900000000007E-2</v>
      </c>
      <c r="F20" s="450">
        <v>0.21056649999999999</v>
      </c>
      <c r="G20" s="450">
        <v>0.1891832</v>
      </c>
      <c r="H20" s="450">
        <v>0.38163380000000002</v>
      </c>
      <c r="I20" s="450">
        <v>0.5206556</v>
      </c>
      <c r="J20" s="450">
        <v>0.6707497</v>
      </c>
      <c r="K20" s="450">
        <v>0.6562557</v>
      </c>
      <c r="L20" s="450">
        <v>0.80128569999999999</v>
      </c>
      <c r="M20" s="450">
        <v>0.9544144</v>
      </c>
    </row>
    <row r="21" spans="1:13">
      <c r="A21" s="448">
        <v>19</v>
      </c>
      <c r="B21" s="450">
        <v>0</v>
      </c>
      <c r="C21" s="450">
        <v>-9.8213200000000001E-2</v>
      </c>
      <c r="D21" s="450">
        <v>-0.1036501</v>
      </c>
      <c r="E21" s="450">
        <v>6.5837900000000005E-2</v>
      </c>
      <c r="F21" s="450">
        <v>0.21701529999999999</v>
      </c>
      <c r="G21" s="450">
        <v>0.19457340000000001</v>
      </c>
      <c r="H21" s="450">
        <v>0.39657690000000001</v>
      </c>
      <c r="I21" s="450">
        <v>0.54493429999999998</v>
      </c>
      <c r="J21" s="450">
        <v>0.70840840000000005</v>
      </c>
      <c r="K21" s="450">
        <v>0.70336529999999997</v>
      </c>
      <c r="L21" s="450">
        <v>0.86306099999999997</v>
      </c>
      <c r="M21" s="450">
        <v>1.0293680000000001</v>
      </c>
    </row>
    <row r="22" spans="1:13">
      <c r="A22" s="448">
        <v>20</v>
      </c>
      <c r="B22" s="450">
        <v>0</v>
      </c>
      <c r="C22" s="450">
        <v>-8.37088E-2</v>
      </c>
      <c r="D22" s="450">
        <v>-8.8358900000000004E-2</v>
      </c>
      <c r="E22" s="450">
        <v>5.58062E-2</v>
      </c>
      <c r="F22" s="450">
        <v>0.18110560000000001</v>
      </c>
      <c r="G22" s="450">
        <v>0.16252800000000001</v>
      </c>
      <c r="H22" s="450">
        <v>0.33070179999999999</v>
      </c>
      <c r="I22" s="450">
        <v>0.4525499</v>
      </c>
      <c r="J22" s="450">
        <v>0.5849934</v>
      </c>
      <c r="K22" s="450">
        <v>0.44996639999999999</v>
      </c>
      <c r="L22" s="450">
        <v>0.57998850000000002</v>
      </c>
      <c r="M22" s="450">
        <v>0.71635819999999995</v>
      </c>
    </row>
    <row r="26" spans="1:13">
      <c r="A26" s="1678" t="s">
        <v>448</v>
      </c>
      <c r="B26" s="1678"/>
      <c r="C26" s="1678"/>
      <c r="D26" s="1678"/>
      <c r="E26" s="1678"/>
      <c r="F26" s="1678"/>
      <c r="G26" s="1678"/>
      <c r="H26" s="1678"/>
      <c r="I26" s="1678"/>
      <c r="J26" s="1678"/>
      <c r="K26" s="1678"/>
      <c r="L26" s="1678"/>
      <c r="M26" s="1678"/>
    </row>
  </sheetData>
  <pageMargins left="0.7" right="0.7" top="0.75" bottom="0.75" header="0.3" footer="0.3"/>
  <pageSetup paperSize="9" orientation="portrait" verticalDpi="0" r:id="rId1"/>
  <drawing r:id="rId2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5"/>
  <sheetViews>
    <sheetView showGridLines="0" zoomScaleNormal="100" workbookViewId="0">
      <selection activeCell="B15" sqref="B15"/>
    </sheetView>
  </sheetViews>
  <sheetFormatPr defaultColWidth="9.140625" defaultRowHeight="15"/>
  <cols>
    <col min="1" max="1" width="9.140625" style="433"/>
    <col min="2" max="2" width="20.7109375" style="456" bestFit="1" customWidth="1"/>
    <col min="3" max="3" width="26" style="433" bestFit="1" customWidth="1"/>
    <col min="4" max="6" width="16.140625" style="433" bestFit="1" customWidth="1"/>
    <col min="7" max="16384" width="9.140625" style="433"/>
  </cols>
  <sheetData>
    <row r="1" spans="1:7" ht="52.5" customHeight="1" thickTop="1" thickBot="1">
      <c r="A1" s="443"/>
      <c r="B1" s="451" t="s">
        <v>450</v>
      </c>
      <c r="C1" s="451" t="s">
        <v>451</v>
      </c>
      <c r="D1" s="452"/>
      <c r="E1" s="452"/>
      <c r="F1" s="452"/>
      <c r="G1" s="453"/>
    </row>
    <row r="2" spans="1:7" ht="16.5" thickTop="1" thickBot="1">
      <c r="A2" s="454">
        <v>2008</v>
      </c>
      <c r="B2" s="455">
        <v>35.14087</v>
      </c>
      <c r="C2" s="455">
        <v>4.8560379999999999</v>
      </c>
    </row>
    <row r="3" spans="1:7" ht="16.5" thickTop="1" thickBot="1">
      <c r="A3" s="454">
        <v>2009</v>
      </c>
      <c r="B3" s="455">
        <v>33.548580000000001</v>
      </c>
      <c r="C3" s="455">
        <v>2.976969</v>
      </c>
    </row>
    <row r="4" spans="1:7" ht="16.5" thickTop="1" thickBot="1">
      <c r="A4" s="454">
        <v>2010</v>
      </c>
      <c r="B4" s="455">
        <v>32.988700000000001</v>
      </c>
      <c r="C4" s="455">
        <v>3.302486</v>
      </c>
    </row>
    <row r="5" spans="1:7" ht="16.5" thickTop="1" thickBot="1">
      <c r="A5" s="454">
        <v>2011</v>
      </c>
      <c r="B5" s="455">
        <v>34.764539999999997</v>
      </c>
      <c r="C5" s="455">
        <v>5.7771650000000001</v>
      </c>
    </row>
    <row r="6" spans="1:7" ht="16.5" thickTop="1" thickBot="1">
      <c r="A6" s="454">
        <v>2012</v>
      </c>
      <c r="B6" s="455">
        <v>34.88579</v>
      </c>
      <c r="C6" s="455">
        <v>5.9378409999999997</v>
      </c>
    </row>
    <row r="7" spans="1:7" ht="16.5" thickTop="1" thickBot="1">
      <c r="A7" s="454">
        <v>2013</v>
      </c>
      <c r="B7" s="455">
        <v>36.541679999999999</v>
      </c>
      <c r="C7" s="455">
        <v>6.3096690000000004</v>
      </c>
    </row>
    <row r="8" spans="1:7" ht="16.5" thickTop="1" thickBot="1">
      <c r="A8" s="454">
        <v>2014</v>
      </c>
      <c r="B8" s="455">
        <v>36.744950000000003</v>
      </c>
      <c r="C8" s="455">
        <v>6.4869349999999999</v>
      </c>
    </row>
    <row r="9" spans="1:7" ht="16.5" thickTop="1" thickBot="1">
      <c r="A9" s="454">
        <v>2015</v>
      </c>
      <c r="B9" s="455">
        <v>35.855699999999999</v>
      </c>
      <c r="C9" s="455">
        <v>6.6861230000000003</v>
      </c>
    </row>
    <row r="10" spans="1:7" ht="16.5" thickTop="1" thickBot="1">
      <c r="A10" s="454">
        <v>2016</v>
      </c>
      <c r="B10" s="455">
        <v>35.984110000000001</v>
      </c>
      <c r="C10" s="455">
        <v>6.8536169999999998</v>
      </c>
    </row>
    <row r="11" spans="1:7" ht="16.5" thickTop="1" thickBot="1">
      <c r="A11" s="454">
        <v>2017</v>
      </c>
      <c r="B11" s="455">
        <v>35.880989999999997</v>
      </c>
      <c r="C11" s="455">
        <v>6.9137300000000002</v>
      </c>
    </row>
    <row r="12" spans="1:7" ht="16.5" thickTop="1" thickBot="1">
      <c r="A12" s="454">
        <v>2018</v>
      </c>
      <c r="B12" s="455">
        <v>36.008719999999997</v>
      </c>
      <c r="C12" s="455">
        <v>7.0807799999999999</v>
      </c>
    </row>
    <row r="13" spans="1:7" ht="16.5" thickTop="1" thickBot="1">
      <c r="A13" s="454">
        <v>2019</v>
      </c>
      <c r="B13" s="455">
        <v>36.135820000000002</v>
      </c>
      <c r="C13" s="455">
        <v>7.2476770000000004</v>
      </c>
    </row>
    <row r="14" spans="1:7" ht="15.75" thickTop="1"/>
    <row r="15" spans="1:7">
      <c r="B15" s="432" t="s">
        <v>388</v>
      </c>
      <c r="F15" s="432" t="s">
        <v>389</v>
      </c>
    </row>
  </sheetData>
  <pageMargins left="0.7" right="0.7" top="0.75" bottom="0.75" header="0.3" footer="0.3"/>
  <pageSetup paperSize="9" orientation="portrait" r:id="rId1"/>
  <drawing r:id="rId2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3"/>
  <sheetViews>
    <sheetView showGridLines="0" zoomScaleNormal="100" workbookViewId="0">
      <selection activeCell="B16" sqref="B16"/>
    </sheetView>
  </sheetViews>
  <sheetFormatPr defaultColWidth="9.140625" defaultRowHeight="15"/>
  <cols>
    <col min="1" max="1" width="9.140625" style="433"/>
    <col min="2" max="2" width="24.140625" style="456" customWidth="1"/>
    <col min="3" max="3" width="24.42578125" style="433" bestFit="1" customWidth="1"/>
    <col min="4" max="4" width="24.5703125" style="433" bestFit="1" customWidth="1"/>
    <col min="5" max="5" width="18.140625" style="433" bestFit="1" customWidth="1"/>
    <col min="6" max="6" width="16.140625" style="433" bestFit="1" customWidth="1"/>
    <col min="7" max="7" width="25.5703125" style="433" bestFit="1" customWidth="1"/>
    <col min="8" max="8" width="25.85546875" style="433" bestFit="1" customWidth="1"/>
    <col min="9" max="9" width="27" style="433" bestFit="1" customWidth="1"/>
    <col min="10" max="10" width="19.5703125" style="433" bestFit="1" customWidth="1"/>
    <col min="11" max="16384" width="9.140625" style="433"/>
  </cols>
  <sheetData>
    <row r="1" spans="1:10" ht="15.75" thickBot="1"/>
    <row r="2" spans="1:10" ht="16.5" thickTop="1" thickBot="1">
      <c r="A2" s="443"/>
      <c r="B2" s="457" t="s">
        <v>452</v>
      </c>
      <c r="C2" s="457" t="s">
        <v>453</v>
      </c>
      <c r="D2" s="457" t="s">
        <v>454</v>
      </c>
      <c r="E2" s="457" t="s">
        <v>455</v>
      </c>
      <c r="F2" s="458"/>
      <c r="G2" s="457" t="s">
        <v>452</v>
      </c>
      <c r="H2" s="457" t="s">
        <v>454</v>
      </c>
      <c r="I2" s="457" t="s">
        <v>456</v>
      </c>
      <c r="J2" s="457" t="s">
        <v>457</v>
      </c>
    </row>
    <row r="3" spans="1:10" ht="16.5" thickTop="1" thickBot="1">
      <c r="A3" s="454">
        <v>2008</v>
      </c>
      <c r="B3" s="459">
        <v>35.388129999999997</v>
      </c>
      <c r="C3" s="459">
        <v>38.029119999999999</v>
      </c>
      <c r="D3" s="459">
        <v>40.611499999999999</v>
      </c>
      <c r="E3" s="459">
        <v>36.164459999999998</v>
      </c>
      <c r="G3" s="459">
        <v>34.804160000000003</v>
      </c>
      <c r="H3" s="459">
        <v>39.811599999999999</v>
      </c>
      <c r="I3" s="459">
        <v>41.170839999999998</v>
      </c>
      <c r="J3" s="459">
        <v>38.272750000000002</v>
      </c>
    </row>
    <row r="4" spans="1:10" ht="16.5" thickTop="1" thickBot="1">
      <c r="A4" s="454">
        <v>2009</v>
      </c>
      <c r="B4" s="459">
        <v>33.481340000000003</v>
      </c>
      <c r="C4" s="459">
        <v>36.435360000000003</v>
      </c>
      <c r="D4" s="459">
        <v>39.232849999999999</v>
      </c>
      <c r="E4" s="459">
        <v>35.840760000000003</v>
      </c>
      <c r="G4" s="459">
        <v>32.771740000000001</v>
      </c>
      <c r="H4" s="459">
        <v>38.662739999999999</v>
      </c>
      <c r="I4" s="459">
        <v>39.812440000000002</v>
      </c>
      <c r="J4" s="459">
        <v>38.059249999999999</v>
      </c>
    </row>
    <row r="5" spans="1:10" ht="16.5" thickTop="1" thickBot="1">
      <c r="A5" s="454">
        <v>2010</v>
      </c>
      <c r="B5" s="459">
        <v>33.75949</v>
      </c>
      <c r="C5" s="459">
        <v>36.62659</v>
      </c>
      <c r="D5" s="459">
        <v>39.410879999999999</v>
      </c>
      <c r="E5" s="459">
        <v>35.788600000000002</v>
      </c>
      <c r="G5" s="459">
        <v>32.787640000000003</v>
      </c>
      <c r="H5" s="459">
        <v>38.654069999999997</v>
      </c>
      <c r="I5" s="459">
        <v>39.81091</v>
      </c>
      <c r="J5" s="459">
        <v>38.008420000000001</v>
      </c>
    </row>
    <row r="6" spans="1:10" ht="16.5" thickTop="1" thickBot="1">
      <c r="A6" s="454">
        <v>2011</v>
      </c>
      <c r="B6" s="459">
        <v>35.724969999999999</v>
      </c>
      <c r="C6" s="459">
        <v>38.023180000000004</v>
      </c>
      <c r="D6" s="459">
        <v>40.68985</v>
      </c>
      <c r="E6" s="459">
        <v>36.100610000000003</v>
      </c>
      <c r="G6" s="459">
        <v>34.349980000000002</v>
      </c>
      <c r="H6" s="459">
        <v>39.6404</v>
      </c>
      <c r="I6" s="459">
        <v>40.967140000000001</v>
      </c>
      <c r="J6" s="459">
        <v>38.203699999999998</v>
      </c>
    </row>
    <row r="7" spans="1:10" ht="16.5" thickTop="1" thickBot="1">
      <c r="A7" s="454">
        <v>2012</v>
      </c>
      <c r="B7" s="459">
        <v>35.894539999999999</v>
      </c>
      <c r="C7" s="459">
        <v>38.187179999999998</v>
      </c>
      <c r="D7" s="459">
        <v>40.847900000000003</v>
      </c>
      <c r="E7" s="459">
        <v>36.133560000000003</v>
      </c>
      <c r="G7" s="459">
        <v>34.512700000000002</v>
      </c>
      <c r="H7" s="459">
        <v>39.802129999999998</v>
      </c>
      <c r="I7" s="459">
        <v>41.108820000000001</v>
      </c>
      <c r="J7" s="459">
        <v>38.24606</v>
      </c>
    </row>
    <row r="8" spans="1:10" ht="16.5" thickTop="1" thickBot="1">
      <c r="A8" s="454">
        <v>2013</v>
      </c>
      <c r="B8" s="459">
        <v>35.119750000000003</v>
      </c>
      <c r="C8" s="459">
        <v>38.893039999999999</v>
      </c>
      <c r="D8" s="459">
        <v>41.256410000000002</v>
      </c>
      <c r="E8" s="459">
        <v>41.585630000000002</v>
      </c>
      <c r="G8" s="459">
        <v>34.740119999999997</v>
      </c>
      <c r="H8" s="459">
        <v>40.26634</v>
      </c>
      <c r="I8" s="459">
        <v>41.320959999999999</v>
      </c>
      <c r="J8" s="459">
        <v>42.79374</v>
      </c>
    </row>
    <row r="9" spans="1:10" ht="16.5" thickTop="1" thickBot="1">
      <c r="A9" s="454">
        <v>2014</v>
      </c>
      <c r="B9" s="459">
        <v>35.411790000000003</v>
      </c>
      <c r="C9" s="459">
        <v>39.128909999999998</v>
      </c>
      <c r="D9" s="459">
        <v>41.487209999999997</v>
      </c>
      <c r="E9" s="459">
        <v>42.503970000000002</v>
      </c>
      <c r="G9" s="459">
        <v>34.997149999999998</v>
      </c>
      <c r="H9" s="459">
        <v>40.487139999999997</v>
      </c>
      <c r="I9" s="459">
        <v>41.522280000000002</v>
      </c>
      <c r="J9" s="459">
        <v>43.174500000000002</v>
      </c>
    </row>
    <row r="10" spans="1:10" ht="16.5" thickTop="1" thickBot="1">
      <c r="A10" s="454">
        <v>2015</v>
      </c>
      <c r="B10" s="459">
        <v>32.391480000000001</v>
      </c>
      <c r="C10" s="459">
        <v>39.407980000000002</v>
      </c>
      <c r="D10" s="459">
        <v>41.651200000000003</v>
      </c>
      <c r="E10" s="459">
        <v>42.972929999999998</v>
      </c>
      <c r="G10" s="459">
        <v>32.006</v>
      </c>
      <c r="H10" s="459">
        <v>40.032809999999998</v>
      </c>
      <c r="I10" s="459">
        <v>41.257359999999998</v>
      </c>
      <c r="J10" s="459">
        <v>43.346240000000002</v>
      </c>
    </row>
    <row r="11" spans="1:10" ht="16.5" thickTop="1" thickBot="1">
      <c r="A11" s="454">
        <v>2016</v>
      </c>
      <c r="B11" s="459">
        <v>32.647210000000001</v>
      </c>
      <c r="C11" s="459">
        <v>39.599269999999997</v>
      </c>
      <c r="D11" s="459">
        <v>41.803040000000003</v>
      </c>
      <c r="E11" s="459">
        <v>43.048780000000001</v>
      </c>
      <c r="G11" s="459">
        <v>32.230220000000003</v>
      </c>
      <c r="H11" s="459">
        <v>40.199809999999999</v>
      </c>
      <c r="I11" s="459">
        <v>41.403010000000002</v>
      </c>
      <c r="J11" s="459">
        <v>43.430070000000001</v>
      </c>
    </row>
    <row r="12" spans="1:10" ht="16.5" thickTop="1" thickBot="1">
      <c r="A12" s="454">
        <v>2017</v>
      </c>
      <c r="B12" s="459">
        <v>32.766269999999999</v>
      </c>
      <c r="C12" s="459">
        <v>39.486609999999999</v>
      </c>
      <c r="D12" s="459">
        <v>41.799149999999997</v>
      </c>
      <c r="E12" s="459">
        <v>41.13308</v>
      </c>
      <c r="F12" s="460"/>
      <c r="G12" s="459">
        <v>32.346240000000002</v>
      </c>
      <c r="H12" s="459">
        <v>40.283619999999999</v>
      </c>
      <c r="I12" s="459">
        <v>41.364100000000001</v>
      </c>
      <c r="J12" s="459">
        <v>42.84207</v>
      </c>
    </row>
    <row r="13" spans="1:10" ht="16.5" thickTop="1" thickBot="1">
      <c r="A13" s="454">
        <v>2018</v>
      </c>
      <c r="B13" s="459">
        <v>32.995240000000003</v>
      </c>
      <c r="C13" s="459">
        <v>39.6571</v>
      </c>
      <c r="D13" s="459">
        <v>41.945569999999996</v>
      </c>
      <c r="E13" s="459">
        <v>41.208069999999999</v>
      </c>
      <c r="G13" s="459">
        <v>32.555239999999998</v>
      </c>
      <c r="H13" s="459">
        <v>40.444629999999997</v>
      </c>
      <c r="I13" s="459">
        <v>41.50132</v>
      </c>
      <c r="J13" s="459">
        <v>42.923009999999998</v>
      </c>
    </row>
    <row r="14" spans="1:10" ht="16.5" thickTop="1" thickBot="1">
      <c r="A14" s="454">
        <v>2019</v>
      </c>
      <c r="B14" s="459">
        <v>33.23227</v>
      </c>
      <c r="C14" s="459">
        <v>39.83426</v>
      </c>
      <c r="D14" s="459">
        <v>42.09742</v>
      </c>
      <c r="E14" s="459">
        <v>41.28584</v>
      </c>
      <c r="G14" s="459">
        <v>32.771979999999999</v>
      </c>
      <c r="H14" s="459">
        <v>40.611600000000003</v>
      </c>
      <c r="I14" s="459">
        <v>41.642780000000002</v>
      </c>
      <c r="J14" s="459">
        <v>43.006950000000003</v>
      </c>
    </row>
    <row r="15" spans="1:10" ht="15.75" thickTop="1">
      <c r="G15" s="456"/>
    </row>
    <row r="16" spans="1:10">
      <c r="B16" s="432" t="s">
        <v>390</v>
      </c>
      <c r="G16" s="432" t="s">
        <v>391</v>
      </c>
    </row>
    <row r="17" spans="7:7">
      <c r="G17" s="456"/>
    </row>
    <row r="18" spans="7:7">
      <c r="G18" s="456"/>
    </row>
    <row r="19" spans="7:7">
      <c r="G19" s="456"/>
    </row>
    <row r="20" spans="7:7">
      <c r="G20" s="456"/>
    </row>
    <row r="21" spans="7:7">
      <c r="G21" s="456"/>
    </row>
    <row r="22" spans="7:7">
      <c r="G22" s="456"/>
    </row>
    <row r="23" spans="7:7">
      <c r="G23" s="456"/>
    </row>
    <row r="24" spans="7:7">
      <c r="G24" s="456"/>
    </row>
    <row r="25" spans="7:7">
      <c r="G25" s="456"/>
    </row>
    <row r="26" spans="7:7">
      <c r="G26" s="456"/>
    </row>
    <row r="27" spans="7:7">
      <c r="G27" s="456"/>
    </row>
    <row r="28" spans="7:7">
      <c r="G28" s="456"/>
    </row>
    <row r="29" spans="7:7">
      <c r="G29" s="456"/>
    </row>
    <row r="30" spans="7:7">
      <c r="G30" s="456"/>
    </row>
    <row r="31" spans="7:7">
      <c r="G31" s="456"/>
    </row>
    <row r="32" spans="7:7">
      <c r="G32" s="456"/>
    </row>
    <row r="33" spans="7:7">
      <c r="G33" s="456"/>
    </row>
  </sheetData>
  <pageMargins left="0.7" right="0.7" top="0.75" bottom="0.75" header="0.3" footer="0.3"/>
  <pageSetup paperSize="9" orientation="portrait" r:id="rId1"/>
  <drawing r:id="rId2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T15"/>
  <sheetViews>
    <sheetView showGridLines="0" topLeftCell="B1" workbookViewId="0">
      <selection activeCell="H1" sqref="H1"/>
    </sheetView>
  </sheetViews>
  <sheetFormatPr defaultRowHeight="15"/>
  <cols>
    <col min="1" max="1" width="57.7109375" style="758" customWidth="1"/>
    <col min="2" max="2" width="9.140625" style="758"/>
    <col min="3" max="3" width="19.42578125" style="758" bestFit="1" customWidth="1"/>
    <col min="4" max="4" width="28.5703125" style="758" customWidth="1"/>
    <col min="5" max="16384" width="9.140625" style="758"/>
  </cols>
  <sheetData>
    <row r="1" spans="3:20">
      <c r="C1" s="769"/>
      <c r="D1" s="769"/>
      <c r="E1" s="769"/>
      <c r="H1" s="432" t="s">
        <v>1443</v>
      </c>
    </row>
    <row r="2" spans="3:20">
      <c r="C2" s="769" t="s">
        <v>914</v>
      </c>
      <c r="D2" s="769" t="s">
        <v>53</v>
      </c>
      <c r="E2" s="1636">
        <v>7254.6126355829329</v>
      </c>
      <c r="R2" s="433"/>
      <c r="S2" s="433"/>
      <c r="T2" s="433"/>
    </row>
    <row r="3" spans="3:20">
      <c r="C3" s="769"/>
      <c r="D3" s="769" t="s">
        <v>54</v>
      </c>
      <c r="E3" s="1636">
        <v>4423.8164745126023</v>
      </c>
      <c r="R3" s="433"/>
      <c r="S3" s="433"/>
      <c r="T3" s="433"/>
    </row>
    <row r="4" spans="3:20">
      <c r="C4" s="769"/>
      <c r="D4" s="769" t="s">
        <v>65</v>
      </c>
      <c r="E4" s="1636">
        <v>2735.2161599885062</v>
      </c>
      <c r="R4" s="433"/>
      <c r="S4" s="433"/>
      <c r="T4" s="433"/>
    </row>
    <row r="5" spans="3:20">
      <c r="C5" s="769"/>
      <c r="D5" s="769" t="s">
        <v>829</v>
      </c>
      <c r="E5" s="1636">
        <v>421.84645686388006</v>
      </c>
      <c r="R5" s="433"/>
      <c r="S5" s="433"/>
      <c r="T5" s="433"/>
    </row>
    <row r="6" spans="3:20">
      <c r="C6" s="769"/>
      <c r="D6" s="769" t="s">
        <v>56</v>
      </c>
      <c r="E6" s="1636">
        <v>320.91793899999999</v>
      </c>
    </row>
    <row r="7" spans="3:20">
      <c r="C7" s="769"/>
      <c r="D7" s="769" t="s">
        <v>247</v>
      </c>
      <c r="E7" s="1636">
        <v>1059.1296723681482</v>
      </c>
    </row>
    <row r="8" spans="3:20">
      <c r="C8" s="769" t="s">
        <v>917</v>
      </c>
      <c r="D8" s="769" t="s">
        <v>910</v>
      </c>
      <c r="E8" s="1636">
        <v>1120.222</v>
      </c>
    </row>
    <row r="9" spans="3:20">
      <c r="C9" s="769"/>
      <c r="D9" s="769" t="s">
        <v>909</v>
      </c>
      <c r="E9" s="1636">
        <v>706.14700000000005</v>
      </c>
    </row>
    <row r="10" spans="3:20">
      <c r="C10" s="769"/>
      <c r="D10" s="769" t="s">
        <v>908</v>
      </c>
      <c r="E10" s="1636">
        <v>9610.3468099999991</v>
      </c>
    </row>
    <row r="11" spans="3:20">
      <c r="C11" s="769"/>
      <c r="D11" s="769" t="s">
        <v>907</v>
      </c>
      <c r="E11" s="1636">
        <v>4375.3867987150197</v>
      </c>
    </row>
    <row r="12" spans="3:20">
      <c r="C12" s="769"/>
      <c r="D12" s="769" t="s">
        <v>247</v>
      </c>
      <c r="E12" s="1636">
        <v>83.306999999999988</v>
      </c>
    </row>
    <row r="13" spans="3:20">
      <c r="C13" s="769" t="s">
        <v>1439</v>
      </c>
      <c r="D13" s="769" t="s">
        <v>1440</v>
      </c>
      <c r="E13" s="1636">
        <v>968.32622371318007</v>
      </c>
    </row>
    <row r="14" spans="3:20">
      <c r="C14" s="769"/>
      <c r="D14" s="769" t="s">
        <v>1441</v>
      </c>
      <c r="E14" s="1636">
        <v>1503.3733340000001</v>
      </c>
    </row>
    <row r="15" spans="3:20">
      <c r="C15" s="769"/>
      <c r="D15" s="769" t="s">
        <v>1442</v>
      </c>
      <c r="E15" s="1636">
        <v>176.35499999999999</v>
      </c>
    </row>
  </sheetData>
  <pageMargins left="0.7" right="0.7" top="0.75" bottom="0.75" header="0.3" footer="0.3"/>
  <pageSetup paperSize="9" orientation="portrait" verticalDpi="0" r:id="rId1"/>
  <drawing r:id="rId2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1"/>
  <sheetViews>
    <sheetView showGridLines="0" zoomScaleNormal="100" workbookViewId="0">
      <selection activeCell="O2" sqref="O2"/>
    </sheetView>
  </sheetViews>
  <sheetFormatPr defaultRowHeight="15"/>
  <cols>
    <col min="1" max="1" width="57.7109375" style="758" customWidth="1"/>
    <col min="2" max="16384" width="9.140625" style="758"/>
  </cols>
  <sheetData>
    <row r="1" spans="1:27">
      <c r="A1" s="793"/>
      <c r="B1" s="794"/>
      <c r="C1" s="794"/>
      <c r="D1" s="794"/>
      <c r="E1" s="794"/>
      <c r="F1" s="794"/>
      <c r="G1" s="794"/>
      <c r="H1" s="794"/>
      <c r="I1" s="793"/>
      <c r="J1" s="793"/>
      <c r="K1" s="793"/>
      <c r="L1" s="793"/>
    </row>
    <row r="2" spans="1:27">
      <c r="A2" s="513"/>
      <c r="B2" s="514" t="s">
        <v>891</v>
      </c>
      <c r="C2" s="514" t="s">
        <v>890</v>
      </c>
      <c r="D2" s="514" t="s">
        <v>536</v>
      </c>
      <c r="E2" s="514" t="s">
        <v>537</v>
      </c>
      <c r="F2" s="514" t="s">
        <v>538</v>
      </c>
      <c r="G2" s="514" t="s">
        <v>539</v>
      </c>
      <c r="H2" s="514" t="s">
        <v>540</v>
      </c>
      <c r="I2" s="514" t="s">
        <v>541</v>
      </c>
      <c r="J2" s="514" t="s">
        <v>542</v>
      </c>
      <c r="K2" s="514" t="s">
        <v>543</v>
      </c>
      <c r="L2" s="514" t="s">
        <v>544</v>
      </c>
      <c r="O2" s="432" t="s">
        <v>1438</v>
      </c>
    </row>
    <row r="3" spans="1:27">
      <c r="A3" s="759" t="s">
        <v>1432</v>
      </c>
      <c r="B3" s="939">
        <v>44.08433049946035</v>
      </c>
      <c r="C3" s="939">
        <v>42.14499395507071</v>
      </c>
      <c r="D3" s="939">
        <v>40.816883580263699</v>
      </c>
      <c r="E3" s="939">
        <v>40.63006732825793</v>
      </c>
      <c r="F3" s="939">
        <v>41.440734044403456</v>
      </c>
      <c r="G3" s="939">
        <v>42.017285875301532</v>
      </c>
      <c r="H3" s="939">
        <v>45.561600851998328</v>
      </c>
      <c r="I3" s="939">
        <v>42.448423706638842</v>
      </c>
      <c r="J3" s="939">
        <v>41.384003010718082</v>
      </c>
      <c r="K3" s="939">
        <v>39.927641374669633</v>
      </c>
      <c r="L3" s="939">
        <v>38.297443912084063</v>
      </c>
      <c r="Y3" s="433"/>
      <c r="Z3" s="433"/>
      <c r="AA3" s="433"/>
    </row>
    <row r="4" spans="1:27">
      <c r="A4" s="759" t="s">
        <v>1431</v>
      </c>
      <c r="B4" s="939">
        <v>3.7378894952915438</v>
      </c>
      <c r="C4" s="939">
        <v>3.9300385469233006</v>
      </c>
      <c r="D4" s="939">
        <v>3.7083432540720858</v>
      </c>
      <c r="E4" s="939">
        <v>3.6623830501007522</v>
      </c>
      <c r="F4" s="939">
        <v>3.9318252575775348</v>
      </c>
      <c r="G4" s="939">
        <v>3.7981013601171365</v>
      </c>
      <c r="H4" s="939">
        <v>5.9288970715988683</v>
      </c>
      <c r="I4" s="939">
        <v>3.2310735062565459</v>
      </c>
      <c r="J4" s="939">
        <v>3.1527686855001589</v>
      </c>
      <c r="K4" s="939">
        <v>2.8397150152372026</v>
      </c>
      <c r="L4" s="939">
        <v>2.6318531640998741</v>
      </c>
      <c r="Y4" s="433"/>
      <c r="Z4" s="433"/>
      <c r="AA4" s="433"/>
    </row>
    <row r="5" spans="1:27">
      <c r="A5" s="759" t="s">
        <v>1430</v>
      </c>
      <c r="B5" s="1635">
        <v>40.34644100416881</v>
      </c>
      <c r="C5" s="1635">
        <v>38.214955408147411</v>
      </c>
      <c r="D5" s="1635">
        <v>37.108540326191616</v>
      </c>
      <c r="E5" s="1635">
        <v>36.967684278157179</v>
      </c>
      <c r="F5" s="1635">
        <v>37.50890878682592</v>
      </c>
      <c r="G5" s="1635">
        <v>38.219184515184395</v>
      </c>
      <c r="H5" s="1635">
        <v>39.63270378039946</v>
      </c>
      <c r="I5" s="1635">
        <v>39.217350200382299</v>
      </c>
      <c r="J5" s="1635">
        <v>38.231234325217926</v>
      </c>
      <c r="K5" s="1635">
        <v>37.08792635943243</v>
      </c>
      <c r="L5" s="1635">
        <v>35.66559074798419</v>
      </c>
      <c r="Y5" s="433"/>
      <c r="Z5" s="433"/>
      <c r="AA5" s="433"/>
    </row>
    <row r="6" spans="1:27">
      <c r="A6" s="759" t="s">
        <v>908</v>
      </c>
      <c r="B6" s="939">
        <v>11.532792055383135</v>
      </c>
      <c r="C6" s="939">
        <v>11.660519369018886</v>
      </c>
      <c r="D6" s="939">
        <v>11.447438341106544</v>
      </c>
      <c r="E6" s="939">
        <v>11.477114088097547</v>
      </c>
      <c r="F6" s="939">
        <v>11.581211812635583</v>
      </c>
      <c r="G6" s="939">
        <v>11.7564278736451</v>
      </c>
      <c r="H6" s="939">
        <v>11.526284012297038</v>
      </c>
      <c r="I6" s="939">
        <v>11.550581145605463</v>
      </c>
      <c r="J6" s="939">
        <v>11.442060508575878</v>
      </c>
      <c r="K6" s="939">
        <v>11.083513636830912</v>
      </c>
      <c r="L6" s="939">
        <v>10.691494083719508</v>
      </c>
      <c r="Y6" s="433"/>
      <c r="Z6" s="433"/>
      <c r="AA6" s="433"/>
    </row>
    <row r="7" spans="1:27">
      <c r="A7" s="759" t="s">
        <v>907</v>
      </c>
      <c r="B7" s="939">
        <v>5.1316759107259724</v>
      </c>
      <c r="C7" s="939">
        <v>5.1524831563261628</v>
      </c>
      <c r="D7" s="939">
        <v>4.803914072765167</v>
      </c>
      <c r="E7" s="939">
        <v>4.8161505292042346</v>
      </c>
      <c r="F7" s="939">
        <v>4.9406201167859205</v>
      </c>
      <c r="G7" s="939">
        <v>5.0429987464843631</v>
      </c>
      <c r="H7" s="939">
        <v>5.0744532671797637</v>
      </c>
      <c r="I7" s="939">
        <v>5.2339207278162778</v>
      </c>
      <c r="J7" s="939">
        <v>5.2093271438683244</v>
      </c>
      <c r="K7" s="939">
        <v>5.1105915729896747</v>
      </c>
      <c r="L7" s="939">
        <v>4.9668214602969476</v>
      </c>
    </row>
    <row r="8" spans="1:27">
      <c r="A8" s="759" t="s">
        <v>1091</v>
      </c>
      <c r="B8" s="939">
        <v>0.57805122065317049</v>
      </c>
      <c r="C8" s="939">
        <v>0.71404637080794886</v>
      </c>
      <c r="D8" s="939">
        <v>0.51749417986271584</v>
      </c>
      <c r="E8" s="939">
        <v>0.52795702812106704</v>
      </c>
      <c r="F8" s="939">
        <v>0.66419882444226042</v>
      </c>
      <c r="G8" s="939">
        <v>0.56980318045358314</v>
      </c>
      <c r="H8" s="939">
        <v>0.52429893931036931</v>
      </c>
      <c r="I8" s="939">
        <v>0.35086495223953967</v>
      </c>
      <c r="J8" s="939">
        <v>0.38208428362903823</v>
      </c>
      <c r="K8" s="939">
        <v>0.34556333108528681</v>
      </c>
      <c r="L8" s="939">
        <v>0.32305189747661189</v>
      </c>
    </row>
    <row r="9" spans="1:27">
      <c r="A9" s="759" t="s">
        <v>65</v>
      </c>
      <c r="B9" s="939">
        <v>4.5196844701365615</v>
      </c>
      <c r="C9" s="939">
        <v>2.9584927753698356</v>
      </c>
      <c r="D9" s="939">
        <v>2.8647164048128766</v>
      </c>
      <c r="E9" s="939">
        <v>2.4829565892701173</v>
      </c>
      <c r="F9" s="939">
        <v>2.2938635554989291</v>
      </c>
      <c r="G9" s="939">
        <v>2.6718621738489259</v>
      </c>
      <c r="H9" s="939">
        <v>3.4445597414139337</v>
      </c>
      <c r="I9" s="939">
        <v>3.4432701397412551</v>
      </c>
      <c r="J9" s="939">
        <v>3.2565431222583574</v>
      </c>
      <c r="K9" s="939">
        <v>2.8813493890260249</v>
      </c>
      <c r="L9" s="939">
        <v>2.6266905778831462</v>
      </c>
    </row>
    <row r="10" spans="1:27">
      <c r="A10" s="759" t="s">
        <v>1429</v>
      </c>
      <c r="B10" s="939">
        <v>14.33831082793554</v>
      </c>
      <c r="C10" s="939">
        <v>13.80001797078309</v>
      </c>
      <c r="D10" s="939">
        <v>13.540545603775882</v>
      </c>
      <c r="E10" s="939">
        <v>13.430971605672354</v>
      </c>
      <c r="F10" s="939">
        <v>13.656985239942349</v>
      </c>
      <c r="G10" s="939">
        <v>13.853527954847102</v>
      </c>
      <c r="H10" s="939">
        <v>14.067587735379789</v>
      </c>
      <c r="I10" s="939">
        <v>14.359813100689131</v>
      </c>
      <c r="J10" s="939">
        <v>13.963590170059714</v>
      </c>
      <c r="K10" s="939">
        <v>13.755388597985343</v>
      </c>
      <c r="L10" s="939">
        <v>13.343625011549065</v>
      </c>
    </row>
    <row r="11" spans="1:27">
      <c r="A11" s="759" t="s">
        <v>247</v>
      </c>
      <c r="B11" s="939">
        <v>4.2459265193344322</v>
      </c>
      <c r="C11" s="939">
        <v>3.9293957658414893</v>
      </c>
      <c r="D11" s="939">
        <v>3.9344317238684283</v>
      </c>
      <c r="E11" s="939">
        <v>4.2325344377918626</v>
      </c>
      <c r="F11" s="939">
        <v>4.3720292375208789</v>
      </c>
      <c r="G11" s="939">
        <v>4.3245645859053177</v>
      </c>
      <c r="H11" s="939">
        <v>4.9955200848185655</v>
      </c>
      <c r="I11" s="939">
        <v>4.2789001342906339</v>
      </c>
      <c r="J11" s="939">
        <v>3.9776290968266146</v>
      </c>
      <c r="K11" s="939">
        <v>3.9115198315151911</v>
      </c>
      <c r="L11" s="939">
        <v>3.713907717058909</v>
      </c>
    </row>
  </sheetData>
  <pageMargins left="0.7" right="0.7" top="0.75" bottom="0.75" header="0.3" footer="0.3"/>
  <drawing r:id="rId1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86"/>
  <sheetViews>
    <sheetView showGridLines="0" topLeftCell="L1" workbookViewId="0">
      <selection activeCell="M1" sqref="M1"/>
    </sheetView>
  </sheetViews>
  <sheetFormatPr defaultRowHeight="15"/>
  <cols>
    <col min="1" max="1" width="57.7109375" style="758" customWidth="1"/>
    <col min="2" max="16384" width="9.140625" style="758"/>
  </cols>
  <sheetData>
    <row r="1" spans="1:25">
      <c r="A1" s="793" t="s">
        <v>921</v>
      </c>
      <c r="B1" s="794"/>
      <c r="C1" s="794"/>
      <c r="D1" s="794"/>
      <c r="E1" s="794"/>
      <c r="F1" s="794"/>
      <c r="G1" s="794"/>
      <c r="H1" s="793"/>
      <c r="I1" s="793"/>
      <c r="J1" s="793"/>
      <c r="K1" s="793"/>
      <c r="L1" s="793"/>
      <c r="M1" s="792" t="s">
        <v>920</v>
      </c>
      <c r="Y1" s="792" t="s">
        <v>919</v>
      </c>
    </row>
    <row r="2" spans="1:25">
      <c r="A2" s="996"/>
      <c r="B2" s="514" t="s">
        <v>890</v>
      </c>
      <c r="C2" s="514" t="s">
        <v>536</v>
      </c>
      <c r="D2" s="514" t="s">
        <v>537</v>
      </c>
      <c r="E2" s="514" t="s">
        <v>538</v>
      </c>
      <c r="F2" s="514" t="s">
        <v>539</v>
      </c>
      <c r="G2" s="514" t="s">
        <v>540</v>
      </c>
      <c r="H2" s="514" t="s">
        <v>541</v>
      </c>
      <c r="I2" s="514" t="s">
        <v>542</v>
      </c>
      <c r="J2" s="514" t="s">
        <v>543</v>
      </c>
      <c r="K2" s="514" t="s">
        <v>544</v>
      </c>
      <c r="L2" s="1000"/>
    </row>
    <row r="3" spans="1:25">
      <c r="A3" s="989" t="s">
        <v>889</v>
      </c>
      <c r="B3" s="990"/>
      <c r="C3" s="990"/>
      <c r="D3" s="990"/>
      <c r="E3" s="990"/>
      <c r="F3" s="990"/>
      <c r="G3" s="990"/>
      <c r="H3" s="990"/>
      <c r="I3" s="990"/>
      <c r="J3" s="990"/>
      <c r="K3" s="990"/>
      <c r="L3" s="990"/>
    </row>
    <row r="4" spans="1:25">
      <c r="A4" s="990" t="s">
        <v>918</v>
      </c>
      <c r="B4" s="994">
        <v>2.1314855960213914</v>
      </c>
      <c r="C4" s="994">
        <v>1.1359504451020075</v>
      </c>
      <c r="D4" s="994">
        <v>0.3184128369098011</v>
      </c>
      <c r="E4" s="994">
        <v>-0.54122450866874339</v>
      </c>
      <c r="F4" s="994">
        <v>-0.54360393878056268</v>
      </c>
      <c r="G4" s="994">
        <v>-1.2549526494683576</v>
      </c>
      <c r="H4" s="994">
        <v>2.0648225473204565E-2</v>
      </c>
      <c r="I4" s="994">
        <v>1.0298027901344522</v>
      </c>
      <c r="J4" s="994">
        <v>1.1374612961918333</v>
      </c>
      <c r="K4" s="994">
        <v>1.4159952995517093</v>
      </c>
      <c r="L4" s="994"/>
    </row>
    <row r="5" spans="1:25">
      <c r="A5" s="990" t="s">
        <v>914</v>
      </c>
      <c r="B5" s="994">
        <v>1.9372323100120314</v>
      </c>
      <c r="C5" s="994">
        <v>0.84144539335243351</v>
      </c>
      <c r="D5" s="994">
        <v>0.59546410385416237</v>
      </c>
      <c r="E5" s="994">
        <v>-0.13311933951345684</v>
      </c>
      <c r="F5" s="994">
        <v>-0.36897991200414831</v>
      </c>
      <c r="G5" s="994">
        <v>-1.5612529171818936</v>
      </c>
      <c r="H5" s="994">
        <v>0.14610480735583936</v>
      </c>
      <c r="I5" s="994">
        <v>0.66221954792134818</v>
      </c>
      <c r="J5" s="994">
        <v>0.66687316351476356</v>
      </c>
      <c r="K5" s="994">
        <v>0.7453140588644529</v>
      </c>
      <c r="L5" s="994"/>
    </row>
    <row r="6" spans="1:25">
      <c r="A6" s="990" t="s">
        <v>917</v>
      </c>
      <c r="B6" s="994">
        <v>0.19425328600936004</v>
      </c>
      <c r="C6" s="994">
        <v>0.29450505174957398</v>
      </c>
      <c r="D6" s="994">
        <v>-0.27705126694436133</v>
      </c>
      <c r="E6" s="994">
        <v>-0.40810516915528655</v>
      </c>
      <c r="F6" s="994">
        <v>-0.17462402677641436</v>
      </c>
      <c r="G6" s="994">
        <v>0.30630026771353613</v>
      </c>
      <c r="H6" s="994">
        <v>-0.12545658188263481</v>
      </c>
      <c r="I6" s="994">
        <v>0.36758324221310401</v>
      </c>
      <c r="J6" s="994">
        <v>0.47058813267706973</v>
      </c>
      <c r="K6" s="994">
        <v>0.67068124068725643</v>
      </c>
      <c r="L6" s="994"/>
    </row>
    <row r="8" spans="1:25">
      <c r="A8" s="989" t="s">
        <v>888</v>
      </c>
    </row>
    <row r="9" spans="1:25">
      <c r="A9" s="990" t="s">
        <v>918</v>
      </c>
      <c r="B9" s="994">
        <f>B4</f>
        <v>2.1314855960213914</v>
      </c>
      <c r="C9" s="994">
        <f t="shared" ref="C9:K9" si="0">B9+C4</f>
        <v>3.2674360411233989</v>
      </c>
      <c r="D9" s="994">
        <f t="shared" si="0"/>
        <v>3.5858488780331998</v>
      </c>
      <c r="E9" s="994">
        <f t="shared" si="0"/>
        <v>3.0446243693644566</v>
      </c>
      <c r="F9" s="994">
        <f t="shared" si="0"/>
        <v>2.5010204305838939</v>
      </c>
      <c r="G9" s="994">
        <f t="shared" si="0"/>
        <v>1.2460677811155363</v>
      </c>
      <c r="H9" s="994">
        <f t="shared" si="0"/>
        <v>1.2667160065887408</v>
      </c>
      <c r="I9" s="994">
        <f t="shared" si="0"/>
        <v>2.296518796723193</v>
      </c>
      <c r="J9" s="994">
        <f t="shared" si="0"/>
        <v>3.4339800929150264</v>
      </c>
      <c r="K9" s="994">
        <f t="shared" si="0"/>
        <v>4.8499753924667353</v>
      </c>
      <c r="L9" s="994"/>
    </row>
    <row r="10" spans="1:25">
      <c r="A10" s="990" t="s">
        <v>914</v>
      </c>
      <c r="B10" s="994">
        <f>B5</f>
        <v>1.9372323100120314</v>
      </c>
      <c r="C10" s="994">
        <f t="shared" ref="C10:K10" si="1">B10+C5</f>
        <v>2.778677703364465</v>
      </c>
      <c r="D10" s="994">
        <f t="shared" si="1"/>
        <v>3.3741418072186273</v>
      </c>
      <c r="E10" s="994">
        <f t="shared" si="1"/>
        <v>3.2410224677051707</v>
      </c>
      <c r="F10" s="994">
        <f t="shared" si="1"/>
        <v>2.8720425557010225</v>
      </c>
      <c r="G10" s="994">
        <f t="shared" si="1"/>
        <v>1.3107896385191289</v>
      </c>
      <c r="H10" s="994">
        <f t="shared" si="1"/>
        <v>1.4568944458749682</v>
      </c>
      <c r="I10" s="994">
        <f t="shared" si="1"/>
        <v>2.1191139937963164</v>
      </c>
      <c r="J10" s="994">
        <f t="shared" si="1"/>
        <v>2.7859871573110802</v>
      </c>
      <c r="K10" s="994">
        <f t="shared" si="1"/>
        <v>3.5313012161755331</v>
      </c>
      <c r="L10" s="994"/>
    </row>
    <row r="11" spans="1:25">
      <c r="A11" s="993" t="s">
        <v>917</v>
      </c>
      <c r="B11" s="992">
        <f>B6</f>
        <v>0.19425328600936004</v>
      </c>
      <c r="C11" s="992">
        <f t="shared" ref="C11:K11" si="2">B11+C6</f>
        <v>0.48875833775893401</v>
      </c>
      <c r="D11" s="992">
        <f t="shared" si="2"/>
        <v>0.21170707081457268</v>
      </c>
      <c r="E11" s="992">
        <f t="shared" si="2"/>
        <v>-0.19639809834071387</v>
      </c>
      <c r="F11" s="992">
        <f t="shared" si="2"/>
        <v>-0.37102212511712823</v>
      </c>
      <c r="G11" s="992">
        <f t="shared" si="2"/>
        <v>-6.4721857403592098E-2</v>
      </c>
      <c r="H11" s="992">
        <f t="shared" si="2"/>
        <v>-0.19017843928622691</v>
      </c>
      <c r="I11" s="992">
        <f t="shared" si="2"/>
        <v>0.1774048029268771</v>
      </c>
      <c r="J11" s="992">
        <f t="shared" si="2"/>
        <v>0.64799293560394688</v>
      </c>
      <c r="K11" s="992">
        <f t="shared" si="2"/>
        <v>1.3186741762912033</v>
      </c>
      <c r="L11" s="994"/>
    </row>
    <row r="12" spans="1:25">
      <c r="A12" s="990"/>
      <c r="B12" s="990"/>
      <c r="C12" s="990"/>
      <c r="D12" s="990"/>
      <c r="E12" s="990"/>
      <c r="F12" s="990"/>
      <c r="G12" s="990"/>
      <c r="H12" s="990"/>
      <c r="I12" s="990"/>
      <c r="J12" s="990"/>
      <c r="K12" s="990"/>
      <c r="L12" s="990"/>
    </row>
    <row r="13" spans="1:25">
      <c r="A13" s="989" t="s">
        <v>889</v>
      </c>
      <c r="L13" s="995"/>
    </row>
    <row r="14" spans="1:25">
      <c r="A14" s="989" t="s">
        <v>914</v>
      </c>
      <c r="B14" s="995">
        <v>1.9372323100120314</v>
      </c>
      <c r="C14" s="995">
        <v>0.84144539335243351</v>
      </c>
      <c r="D14" s="995">
        <v>0.59546410385416237</v>
      </c>
      <c r="E14" s="995">
        <v>-0.13311933951345684</v>
      </c>
      <c r="F14" s="995">
        <v>-0.36897991200414831</v>
      </c>
      <c r="G14" s="995">
        <v>-1.5612529171818936</v>
      </c>
      <c r="H14" s="995">
        <v>0.14610480735583936</v>
      </c>
      <c r="I14" s="995">
        <v>0.66221954792134818</v>
      </c>
      <c r="J14" s="995">
        <v>0.66687316351476356</v>
      </c>
      <c r="K14" s="995">
        <v>0.7453140588644529</v>
      </c>
      <c r="L14" s="994"/>
    </row>
    <row r="15" spans="1:25">
      <c r="A15" s="990" t="s">
        <v>53</v>
      </c>
      <c r="B15" s="994">
        <v>0.18441400013032055</v>
      </c>
      <c r="C15" s="994">
        <v>0.52946301669666718</v>
      </c>
      <c r="D15" s="994">
        <v>2.8868874643884605E-2</v>
      </c>
      <c r="E15" s="994">
        <v>-0.2645257270637319</v>
      </c>
      <c r="F15" s="994">
        <v>-9.959222352192558E-2</v>
      </c>
      <c r="G15" s="994">
        <v>-7.9075076603223243E-2</v>
      </c>
      <c r="H15" s="994">
        <v>-9.6718475388205744E-2</v>
      </c>
      <c r="I15" s="994">
        <v>-3.6249115983919188E-2</v>
      </c>
      <c r="J15" s="994">
        <v>4.3217741479177375E-2</v>
      </c>
      <c r="K15" s="994">
        <v>9.1006091013315804E-2</v>
      </c>
      <c r="L15" s="994"/>
    </row>
    <row r="16" spans="1:25">
      <c r="A16" s="990" t="s">
        <v>54</v>
      </c>
      <c r="B16" s="994">
        <v>0.37472200137886258</v>
      </c>
      <c r="C16" s="994">
        <v>0.32425081695712737</v>
      </c>
      <c r="D16" s="994">
        <v>0.17534462435980452</v>
      </c>
      <c r="E16" s="994">
        <v>4.0374182815388855E-2</v>
      </c>
      <c r="F16" s="994">
        <v>9.5089366983002591E-2</v>
      </c>
      <c r="G16" s="994">
        <v>-0.12490691910329893</v>
      </c>
      <c r="H16" s="994">
        <v>-0.33961431100124218</v>
      </c>
      <c r="I16" s="994">
        <v>0.48435646407898336</v>
      </c>
      <c r="J16" s="994">
        <v>0.15926362269343919</v>
      </c>
      <c r="K16" s="994">
        <v>0.31427979200926776</v>
      </c>
      <c r="L16" s="994"/>
    </row>
    <row r="17" spans="1:25">
      <c r="A17" s="990" t="s">
        <v>65</v>
      </c>
      <c r="B17" s="994">
        <v>1.5611916947667255</v>
      </c>
      <c r="C17" s="994">
        <v>0.15595071698439761</v>
      </c>
      <c r="D17" s="994">
        <v>0.46807340429708261</v>
      </c>
      <c r="E17" s="994">
        <v>0.18909303377118902</v>
      </c>
      <c r="F17" s="994">
        <v>-0.33847536903205688</v>
      </c>
      <c r="G17" s="994">
        <v>-0.61897178292334532</v>
      </c>
      <c r="H17" s="994">
        <v>-0.17824395960951733</v>
      </c>
      <c r="I17" s="994">
        <v>0.19019778518955061</v>
      </c>
      <c r="J17" s="994">
        <v>0.38428040843671513</v>
      </c>
      <c r="K17" s="994">
        <v>0.25843402477259375</v>
      </c>
      <c r="L17" s="994"/>
      <c r="M17" s="792" t="s">
        <v>916</v>
      </c>
      <c r="Y17" s="792" t="s">
        <v>915</v>
      </c>
    </row>
    <row r="18" spans="1:25">
      <c r="A18" s="990" t="s">
        <v>829</v>
      </c>
      <c r="B18" s="994">
        <v>1.8582243033562963E-2</v>
      </c>
      <c r="C18" s="994">
        <v>-2.0589179106724868E-2</v>
      </c>
      <c r="D18" s="994">
        <v>8.405922797458816E-2</v>
      </c>
      <c r="E18" s="994">
        <v>7.8876357245274004E-2</v>
      </c>
      <c r="F18" s="994">
        <v>2.2156485056409854E-3</v>
      </c>
      <c r="G18" s="994">
        <v>-0.44674076755077385</v>
      </c>
      <c r="H18" s="994">
        <v>0.48224039539044988</v>
      </c>
      <c r="I18" s="994">
        <v>-4.3832345760857032E-2</v>
      </c>
      <c r="J18" s="994">
        <v>4.2048585493065803E-2</v>
      </c>
      <c r="K18" s="994">
        <v>1.4485063940359932E-2</v>
      </c>
      <c r="L18" s="994"/>
    </row>
    <row r="19" spans="1:25">
      <c r="A19" s="990" t="s">
        <v>56</v>
      </c>
      <c r="B19" s="994">
        <v>-0.13599515015477848</v>
      </c>
      <c r="C19" s="994">
        <v>-0.18278891276551867</v>
      </c>
      <c r="D19" s="994">
        <v>-1.046284825835098E-2</v>
      </c>
      <c r="E19" s="994">
        <v>-0.1362417963211934</v>
      </c>
      <c r="F19" s="994">
        <v>9.4395643988677336E-2</v>
      </c>
      <c r="G19" s="994">
        <v>3.9760862430971634E-2</v>
      </c>
      <c r="H19" s="994">
        <v>0.17343398707082952</v>
      </c>
      <c r="I19" s="994">
        <v>-3.1219331389498461E-2</v>
      </c>
      <c r="J19" s="994">
        <v>3.6520952543751387E-2</v>
      </c>
      <c r="K19" s="994">
        <v>2.2511433608674913E-2</v>
      </c>
      <c r="L19" s="994"/>
    </row>
    <row r="20" spans="1:25">
      <c r="A20" s="990" t="s">
        <v>247</v>
      </c>
      <c r="B20" s="994">
        <v>-6.5682479142661593E-2</v>
      </c>
      <c r="C20" s="994">
        <v>3.5158934586484891E-2</v>
      </c>
      <c r="D20" s="994">
        <v>-0.15041917916284658</v>
      </c>
      <c r="E20" s="994">
        <v>-4.069538996038341E-2</v>
      </c>
      <c r="F20" s="994">
        <v>-0.12261297892748674</v>
      </c>
      <c r="G20" s="994">
        <v>-0.3313192334322238</v>
      </c>
      <c r="H20" s="994">
        <v>0.10500717089352518</v>
      </c>
      <c r="I20" s="994">
        <v>9.8966091787088942E-2</v>
      </c>
      <c r="J20" s="994">
        <v>1.5418528686147112E-3</v>
      </c>
      <c r="K20" s="994">
        <v>4.459765352024074E-2</v>
      </c>
      <c r="L20" s="994"/>
    </row>
    <row r="21" spans="1:25">
      <c r="A21" s="990"/>
      <c r="B21" s="994"/>
      <c r="C21" s="994"/>
      <c r="D21" s="994"/>
      <c r="E21" s="994"/>
      <c r="F21" s="994"/>
      <c r="G21" s="994"/>
      <c r="H21" s="994"/>
      <c r="I21" s="994"/>
      <c r="J21" s="994"/>
      <c r="K21" s="994"/>
      <c r="L21" s="995"/>
    </row>
    <row r="22" spans="1:25">
      <c r="A22" s="989" t="s">
        <v>888</v>
      </c>
      <c r="L22" s="994"/>
    </row>
    <row r="23" spans="1:25">
      <c r="A23" s="989" t="s">
        <v>914</v>
      </c>
      <c r="B23" s="995">
        <f t="shared" ref="B23:B29" si="3">B14</f>
        <v>1.9372323100120314</v>
      </c>
      <c r="C23" s="995">
        <f t="shared" ref="C23:K23" si="4">B23+C14</f>
        <v>2.778677703364465</v>
      </c>
      <c r="D23" s="995">
        <f t="shared" si="4"/>
        <v>3.3741418072186273</v>
      </c>
      <c r="E23" s="995">
        <f t="shared" si="4"/>
        <v>3.2410224677051707</v>
      </c>
      <c r="F23" s="995">
        <f t="shared" si="4"/>
        <v>2.8720425557010225</v>
      </c>
      <c r="G23" s="995">
        <f t="shared" si="4"/>
        <v>1.3107896385191289</v>
      </c>
      <c r="H23" s="995">
        <f t="shared" si="4"/>
        <v>1.4568944458749682</v>
      </c>
      <c r="I23" s="995">
        <f t="shared" si="4"/>
        <v>2.1191139937963164</v>
      </c>
      <c r="J23" s="995">
        <f t="shared" si="4"/>
        <v>2.7859871573110802</v>
      </c>
      <c r="K23" s="995">
        <f t="shared" si="4"/>
        <v>3.5313012161755331</v>
      </c>
      <c r="L23" s="994"/>
    </row>
    <row r="24" spans="1:25">
      <c r="A24" s="990" t="s">
        <v>53</v>
      </c>
      <c r="B24" s="994">
        <f t="shared" si="3"/>
        <v>0.18441400013032055</v>
      </c>
      <c r="C24" s="994">
        <f t="shared" ref="C24:K24" si="5">B24+C15</f>
        <v>0.71387701682698768</v>
      </c>
      <c r="D24" s="994">
        <f t="shared" si="5"/>
        <v>0.74274589147087233</v>
      </c>
      <c r="E24" s="994">
        <f t="shared" si="5"/>
        <v>0.47822016440714044</v>
      </c>
      <c r="F24" s="994">
        <f t="shared" si="5"/>
        <v>0.37862794088521484</v>
      </c>
      <c r="G24" s="994">
        <f t="shared" si="5"/>
        <v>0.29955286428199157</v>
      </c>
      <c r="H24" s="994">
        <f t="shared" si="5"/>
        <v>0.20283438889378583</v>
      </c>
      <c r="I24" s="994">
        <f t="shared" si="5"/>
        <v>0.16658527290986663</v>
      </c>
      <c r="J24" s="994">
        <f t="shared" si="5"/>
        <v>0.209803014389044</v>
      </c>
      <c r="K24" s="994">
        <f t="shared" si="5"/>
        <v>0.30080910540235983</v>
      </c>
      <c r="L24" s="994"/>
    </row>
    <row r="25" spans="1:25">
      <c r="A25" s="990" t="s">
        <v>54</v>
      </c>
      <c r="B25" s="994">
        <f t="shared" si="3"/>
        <v>0.37472200137886258</v>
      </c>
      <c r="C25" s="994">
        <f t="shared" ref="C25:K25" si="6">B25+C16</f>
        <v>0.69897281833599001</v>
      </c>
      <c r="D25" s="994">
        <f t="shared" si="6"/>
        <v>0.87431744269579448</v>
      </c>
      <c r="E25" s="994">
        <f t="shared" si="6"/>
        <v>0.91469162551118333</v>
      </c>
      <c r="F25" s="994">
        <f t="shared" si="6"/>
        <v>1.0097809924941858</v>
      </c>
      <c r="G25" s="994">
        <f t="shared" si="6"/>
        <v>0.88487407339088686</v>
      </c>
      <c r="H25" s="994">
        <f t="shared" si="6"/>
        <v>0.54525976238964469</v>
      </c>
      <c r="I25" s="994">
        <f t="shared" si="6"/>
        <v>1.0296162264686282</v>
      </c>
      <c r="J25" s="994">
        <f t="shared" si="6"/>
        <v>1.1888798491620673</v>
      </c>
      <c r="K25" s="994">
        <f t="shared" si="6"/>
        <v>1.503159641171335</v>
      </c>
      <c r="L25" s="994"/>
    </row>
    <row r="26" spans="1:25">
      <c r="A26" s="990" t="s">
        <v>65</v>
      </c>
      <c r="B26" s="994">
        <f t="shared" si="3"/>
        <v>1.5611916947667255</v>
      </c>
      <c r="C26" s="994">
        <f t="shared" ref="C26:K26" si="7">B26+C17</f>
        <v>1.7171424117511231</v>
      </c>
      <c r="D26" s="994">
        <f t="shared" si="7"/>
        <v>2.1852158160482058</v>
      </c>
      <c r="E26" s="994">
        <f t="shared" si="7"/>
        <v>2.3743088498193949</v>
      </c>
      <c r="F26" s="994">
        <f t="shared" si="7"/>
        <v>2.0358334807873382</v>
      </c>
      <c r="G26" s="994">
        <f t="shared" si="7"/>
        <v>1.4168616978639927</v>
      </c>
      <c r="H26" s="994">
        <f t="shared" si="7"/>
        <v>1.2386177382544754</v>
      </c>
      <c r="I26" s="994">
        <f t="shared" si="7"/>
        <v>1.4288155234440261</v>
      </c>
      <c r="J26" s="994">
        <f t="shared" si="7"/>
        <v>1.8130959318807411</v>
      </c>
      <c r="K26" s="994">
        <f t="shared" si="7"/>
        <v>2.0715299566533347</v>
      </c>
      <c r="L26" s="994"/>
    </row>
    <row r="27" spans="1:25">
      <c r="A27" s="990" t="s">
        <v>829</v>
      </c>
      <c r="B27" s="994">
        <f t="shared" si="3"/>
        <v>1.8582243033562963E-2</v>
      </c>
      <c r="C27" s="994">
        <f t="shared" ref="C27:K27" si="8">B27+C18</f>
        <v>-2.0069360731619044E-3</v>
      </c>
      <c r="D27" s="994">
        <f t="shared" si="8"/>
        <v>8.2052291901426253E-2</v>
      </c>
      <c r="E27" s="994">
        <f t="shared" si="8"/>
        <v>0.16092864914670024</v>
      </c>
      <c r="F27" s="994">
        <f t="shared" si="8"/>
        <v>0.16314429765234123</v>
      </c>
      <c r="G27" s="994">
        <f t="shared" si="8"/>
        <v>-0.28359646989843262</v>
      </c>
      <c r="H27" s="994">
        <f t="shared" si="8"/>
        <v>0.19864392549201726</v>
      </c>
      <c r="I27" s="994">
        <f t="shared" si="8"/>
        <v>0.15481157973116022</v>
      </c>
      <c r="J27" s="994">
        <f t="shared" si="8"/>
        <v>0.19686016522422603</v>
      </c>
      <c r="K27" s="994">
        <f t="shared" si="8"/>
        <v>0.21134522916458595</v>
      </c>
      <c r="L27" s="994"/>
    </row>
    <row r="28" spans="1:25">
      <c r="A28" s="990" t="s">
        <v>56</v>
      </c>
      <c r="B28" s="994">
        <f t="shared" si="3"/>
        <v>-0.13599515015477848</v>
      </c>
      <c r="C28" s="994">
        <f t="shared" ref="C28:K28" si="9">B28+C19</f>
        <v>-0.31878406292029715</v>
      </c>
      <c r="D28" s="994">
        <f t="shared" si="9"/>
        <v>-0.32924691117864813</v>
      </c>
      <c r="E28" s="994">
        <f t="shared" si="9"/>
        <v>-0.4654887074998415</v>
      </c>
      <c r="F28" s="994">
        <f t="shared" si="9"/>
        <v>-0.37109306351116417</v>
      </c>
      <c r="G28" s="994">
        <f t="shared" si="9"/>
        <v>-0.33133220108019251</v>
      </c>
      <c r="H28" s="994">
        <f t="shared" si="9"/>
        <v>-0.15789821400936299</v>
      </c>
      <c r="I28" s="994">
        <f t="shared" si="9"/>
        <v>-0.18911754539886144</v>
      </c>
      <c r="J28" s="994">
        <f t="shared" si="9"/>
        <v>-0.15259659285511007</v>
      </c>
      <c r="K28" s="994">
        <f t="shared" si="9"/>
        <v>-0.13008515924643516</v>
      </c>
      <c r="L28" s="994"/>
    </row>
    <row r="29" spans="1:25">
      <c r="A29" s="993" t="s">
        <v>247</v>
      </c>
      <c r="B29" s="992">
        <f t="shared" si="3"/>
        <v>-6.5682479142661593E-2</v>
      </c>
      <c r="C29" s="992">
        <f t="shared" ref="C29:K29" si="10">B29+C20</f>
        <v>-3.0523544556176702E-2</v>
      </c>
      <c r="D29" s="992">
        <f t="shared" si="10"/>
        <v>-0.18094272371902329</v>
      </c>
      <c r="E29" s="992">
        <f t="shared" si="10"/>
        <v>-0.2216381136794067</v>
      </c>
      <c r="F29" s="992">
        <f t="shared" si="10"/>
        <v>-0.34425109260689346</v>
      </c>
      <c r="G29" s="992">
        <f t="shared" si="10"/>
        <v>-0.67557032603911726</v>
      </c>
      <c r="H29" s="992">
        <f t="shared" si="10"/>
        <v>-0.57056315514559208</v>
      </c>
      <c r="I29" s="992">
        <f t="shared" si="10"/>
        <v>-0.47159706335850315</v>
      </c>
      <c r="J29" s="992">
        <f t="shared" si="10"/>
        <v>-0.47005521048988846</v>
      </c>
      <c r="K29" s="992">
        <f t="shared" si="10"/>
        <v>-0.42545755696964771</v>
      </c>
      <c r="L29" s="995"/>
    </row>
    <row r="30" spans="1:25">
      <c r="A30" s="990"/>
      <c r="B30" s="994"/>
      <c r="C30" s="994"/>
      <c r="D30" s="994"/>
      <c r="E30" s="994"/>
      <c r="F30" s="994"/>
      <c r="G30" s="994"/>
      <c r="H30" s="994"/>
      <c r="I30" s="994"/>
      <c r="J30" s="994"/>
      <c r="K30" s="994"/>
      <c r="L30" s="994"/>
    </row>
    <row r="31" spans="1:25">
      <c r="A31" s="989" t="s">
        <v>889</v>
      </c>
      <c r="L31" s="994"/>
    </row>
    <row r="32" spans="1:25">
      <c r="A32" s="989" t="s">
        <v>911</v>
      </c>
      <c r="B32" s="995">
        <v>0.19425328600936004</v>
      </c>
      <c r="C32" s="995">
        <v>0.29450505174957398</v>
      </c>
      <c r="D32" s="995">
        <v>-0.27705126694436133</v>
      </c>
      <c r="E32" s="995">
        <v>-0.40810516915528655</v>
      </c>
      <c r="F32" s="995">
        <v>-0.17462402677641436</v>
      </c>
      <c r="G32" s="995">
        <v>0.30630026771353613</v>
      </c>
      <c r="H32" s="995">
        <v>-0.12545658188263481</v>
      </c>
      <c r="I32" s="995">
        <v>0.36758324221310401</v>
      </c>
      <c r="J32" s="995">
        <v>0.47058813267706973</v>
      </c>
      <c r="K32" s="995">
        <v>0.67068124068725643</v>
      </c>
      <c r="L32" s="994"/>
    </row>
    <row r="33" spans="1:25">
      <c r="A33" s="990" t="s">
        <v>910</v>
      </c>
      <c r="B33" s="994">
        <v>0.13292294073866673</v>
      </c>
      <c r="C33" s="994">
        <v>-0.21901675513431362</v>
      </c>
      <c r="D33" s="994">
        <v>-0.23700061620707658</v>
      </c>
      <c r="E33" s="994">
        <v>-0.10501298637613748</v>
      </c>
      <c r="F33" s="994">
        <v>-2.5972011913766659E-2</v>
      </c>
      <c r="G33" s="994">
        <v>0.14778458731425512</v>
      </c>
      <c r="H33" s="994">
        <v>0.1126395008640281</v>
      </c>
      <c r="I33" s="994">
        <v>0.18399815986284451</v>
      </c>
      <c r="J33" s="994">
        <v>7.1778006058685048E-2</v>
      </c>
      <c r="K33" s="994">
        <v>0.11115575523226288</v>
      </c>
      <c r="L33" s="994"/>
    </row>
    <row r="34" spans="1:25">
      <c r="A34" s="990" t="s">
        <v>909</v>
      </c>
      <c r="B34" s="994">
        <v>0.18619694397746772</v>
      </c>
      <c r="C34" s="994">
        <v>-5.4353162999696635E-2</v>
      </c>
      <c r="D34" s="994">
        <v>-2.9582753721696772E-2</v>
      </c>
      <c r="E34" s="994">
        <v>-0.10803279785964713</v>
      </c>
      <c r="F34" s="994">
        <v>0.17733112470070458</v>
      </c>
      <c r="G34" s="994">
        <v>-2.563785242591176E-2</v>
      </c>
      <c r="H34" s="994">
        <v>-4.2396288131537022E-2</v>
      </c>
      <c r="I34" s="994">
        <v>1.1823573692311741E-2</v>
      </c>
      <c r="J34" s="994">
        <v>-6.049328533286346E-2</v>
      </c>
      <c r="K34" s="994">
        <v>2.2322186770047471E-2</v>
      </c>
      <c r="L34" s="994"/>
      <c r="M34" s="792" t="s">
        <v>913</v>
      </c>
      <c r="Y34" s="792" t="s">
        <v>912</v>
      </c>
    </row>
    <row r="35" spans="1:25">
      <c r="A35" s="999" t="s">
        <v>908</v>
      </c>
      <c r="B35" s="994">
        <v>-0.12772731363574813</v>
      </c>
      <c r="C35" s="994">
        <v>0.21308102791233832</v>
      </c>
      <c r="D35" s="994">
        <v>-2.9675746991004191E-2</v>
      </c>
      <c r="E35" s="994">
        <v>-0.10409772453803412</v>
      </c>
      <c r="F35" s="994">
        <v>-0.17521606100951631</v>
      </c>
      <c r="G35" s="994">
        <v>0.23014386134805964</v>
      </c>
      <c r="H35" s="994">
        <v>-2.4297133308426467E-2</v>
      </c>
      <c r="I35" s="994">
        <v>0.1085206370295867</v>
      </c>
      <c r="J35" s="994">
        <v>0.35854687174496536</v>
      </c>
      <c r="K35" s="994">
        <v>0.39201955311140307</v>
      </c>
      <c r="L35" s="994"/>
    </row>
    <row r="36" spans="1:25">
      <c r="A36" s="998" t="s">
        <v>907</v>
      </c>
      <c r="B36" s="994">
        <v>-2.0807245600190642E-2</v>
      </c>
      <c r="C36" s="994">
        <v>0.34856908356099547</v>
      </c>
      <c r="D36" s="994">
        <v>-1.2236456439067428E-2</v>
      </c>
      <c r="E36" s="994">
        <v>-0.12446958758168621</v>
      </c>
      <c r="F36" s="994">
        <v>-0.10237862969844284</v>
      </c>
      <c r="G36" s="994">
        <v>-3.1454520695401E-2</v>
      </c>
      <c r="H36" s="994">
        <v>-0.15946746063651485</v>
      </c>
      <c r="I36" s="994">
        <v>2.4593583947953745E-2</v>
      </c>
      <c r="J36" s="994">
        <v>9.873557087864869E-2</v>
      </c>
      <c r="K36" s="994">
        <v>0.14377011269272794</v>
      </c>
      <c r="L36" s="995"/>
    </row>
    <row r="37" spans="1:25">
      <c r="A37" s="990" t="s">
        <v>247</v>
      </c>
      <c r="B37" s="994">
        <v>-2.366796052916436E-2</v>
      </c>
      <c r="C37" s="994">
        <v>-6.2248584102504445E-3</v>
      </c>
      <c r="D37" s="994">
        <v>-3.1444306414483633E-2</v>
      </c>
      <c r="E37" s="994">
        <v>-3.3507927200218404E-2</v>
      </c>
      <c r="F37" s="994">
        <v>4.8388448855393132E-2</v>
      </c>
      <c r="G37" s="994">
        <v>1.4535807827465858E-2</v>
      </c>
      <c r="H37" s="994">
        <v>1.1935200670184554E-2</v>
      </c>
      <c r="I37" s="994">
        <v>-3.8647287680407316E-2</v>
      </c>
      <c r="J37" s="994">
        <v>-2.020969327634084E-3</v>
      </c>
      <c r="K37" s="994">
        <v>-1.4136328808150855E-3</v>
      </c>
      <c r="L37" s="994"/>
    </row>
    <row r="38" spans="1:25">
      <c r="A38" s="990"/>
      <c r="B38" s="994"/>
      <c r="C38" s="994"/>
      <c r="D38" s="994"/>
      <c r="E38" s="994"/>
      <c r="F38" s="994"/>
      <c r="G38" s="994"/>
      <c r="H38" s="994"/>
      <c r="I38" s="994"/>
      <c r="J38" s="994"/>
      <c r="K38" s="994"/>
      <c r="L38" s="994"/>
    </row>
    <row r="39" spans="1:25">
      <c r="A39" s="989" t="s">
        <v>888</v>
      </c>
      <c r="L39" s="994"/>
    </row>
    <row r="40" spans="1:25">
      <c r="A40" s="989" t="s">
        <v>911</v>
      </c>
      <c r="B40" s="995">
        <f t="shared" ref="B40:B45" si="11">B32</f>
        <v>0.19425328600936004</v>
      </c>
      <c r="C40" s="995">
        <f t="shared" ref="C40:K40" si="12">B40+C32</f>
        <v>0.48875833775893401</v>
      </c>
      <c r="D40" s="995">
        <f t="shared" si="12"/>
        <v>0.21170707081457268</v>
      </c>
      <c r="E40" s="995">
        <f t="shared" si="12"/>
        <v>-0.19639809834071387</v>
      </c>
      <c r="F40" s="995">
        <f t="shared" si="12"/>
        <v>-0.37102212511712823</v>
      </c>
      <c r="G40" s="995">
        <f t="shared" si="12"/>
        <v>-6.4721857403592098E-2</v>
      </c>
      <c r="H40" s="995">
        <f t="shared" si="12"/>
        <v>-0.19017843928622691</v>
      </c>
      <c r="I40" s="995">
        <f t="shared" si="12"/>
        <v>0.1774048029268771</v>
      </c>
      <c r="J40" s="995">
        <f t="shared" si="12"/>
        <v>0.64799293560394688</v>
      </c>
      <c r="K40" s="995">
        <f t="shared" si="12"/>
        <v>1.3186741762912033</v>
      </c>
      <c r="L40" s="994"/>
    </row>
    <row r="41" spans="1:25">
      <c r="A41" s="990" t="s">
        <v>910</v>
      </c>
      <c r="B41" s="994">
        <f t="shared" si="11"/>
        <v>0.13292294073866673</v>
      </c>
      <c r="C41" s="994">
        <f t="shared" ref="C41:K41" si="13">B41+C33</f>
        <v>-8.6093814395646895E-2</v>
      </c>
      <c r="D41" s="994">
        <f t="shared" si="13"/>
        <v>-0.32309443060272347</v>
      </c>
      <c r="E41" s="994">
        <f t="shared" si="13"/>
        <v>-0.42810741697886096</v>
      </c>
      <c r="F41" s="994">
        <f t="shared" si="13"/>
        <v>-0.45407942889262759</v>
      </c>
      <c r="G41" s="994">
        <f t="shared" si="13"/>
        <v>-0.3062948415783725</v>
      </c>
      <c r="H41" s="994">
        <f t="shared" si="13"/>
        <v>-0.1936553407143444</v>
      </c>
      <c r="I41" s="994">
        <f t="shared" si="13"/>
        <v>-9.6571808514998858E-3</v>
      </c>
      <c r="J41" s="994">
        <f t="shared" si="13"/>
        <v>6.2120825207185162E-2</v>
      </c>
      <c r="K41" s="994">
        <f t="shared" si="13"/>
        <v>0.17327658043944805</v>
      </c>
      <c r="L41" s="994"/>
    </row>
    <row r="42" spans="1:25">
      <c r="A42" s="990" t="s">
        <v>909</v>
      </c>
      <c r="B42" s="994">
        <f t="shared" si="11"/>
        <v>0.18619694397746772</v>
      </c>
      <c r="C42" s="994">
        <f t="shared" ref="C42:K42" si="14">B42+C34</f>
        <v>0.13184378097777108</v>
      </c>
      <c r="D42" s="994">
        <f t="shared" si="14"/>
        <v>0.1022610272560743</v>
      </c>
      <c r="E42" s="994">
        <f t="shared" si="14"/>
        <v>-5.7717706035728261E-3</v>
      </c>
      <c r="F42" s="994">
        <f t="shared" si="14"/>
        <v>0.17155935409713174</v>
      </c>
      <c r="G42" s="994">
        <f t="shared" si="14"/>
        <v>0.14592150167121998</v>
      </c>
      <c r="H42" s="994">
        <f t="shared" si="14"/>
        <v>0.10352521353968296</v>
      </c>
      <c r="I42" s="994">
        <f t="shared" si="14"/>
        <v>0.1153487872319947</v>
      </c>
      <c r="J42" s="994">
        <f t="shared" si="14"/>
        <v>5.4855501899131236E-2</v>
      </c>
      <c r="K42" s="994">
        <f t="shared" si="14"/>
        <v>7.7177688669178707E-2</v>
      </c>
      <c r="L42" s="990"/>
    </row>
    <row r="43" spans="1:25">
      <c r="A43" s="999" t="s">
        <v>908</v>
      </c>
      <c r="B43" s="994">
        <f t="shared" si="11"/>
        <v>-0.12772731363574813</v>
      </c>
      <c r="C43" s="994">
        <f t="shared" ref="C43:K43" si="15">B43+C35</f>
        <v>8.5353714276590192E-2</v>
      </c>
      <c r="D43" s="994">
        <f t="shared" si="15"/>
        <v>5.5677967285586001E-2</v>
      </c>
      <c r="E43" s="994">
        <f t="shared" si="15"/>
        <v>-4.8419757252448119E-2</v>
      </c>
      <c r="F43" s="994">
        <f t="shared" si="15"/>
        <v>-0.22363581826196444</v>
      </c>
      <c r="G43" s="994">
        <f t="shared" si="15"/>
        <v>6.5080430860952054E-3</v>
      </c>
      <c r="H43" s="994">
        <f t="shared" si="15"/>
        <v>-1.7789090222331261E-2</v>
      </c>
      <c r="I43" s="994">
        <f t="shared" si="15"/>
        <v>9.0731546807255439E-2</v>
      </c>
      <c r="J43" s="994">
        <f t="shared" si="15"/>
        <v>0.44927841855222078</v>
      </c>
      <c r="K43" s="994">
        <f t="shared" si="15"/>
        <v>0.84129797166362386</v>
      </c>
      <c r="L43" s="990"/>
    </row>
    <row r="44" spans="1:25">
      <c r="A44" s="998" t="s">
        <v>907</v>
      </c>
      <c r="B44" s="994">
        <f t="shared" si="11"/>
        <v>-2.0807245600190642E-2</v>
      </c>
      <c r="C44" s="994">
        <f t="shared" ref="C44:K44" si="16">B44+C36</f>
        <v>0.32776183796080482</v>
      </c>
      <c r="D44" s="994">
        <f t="shared" si="16"/>
        <v>0.31552538152173737</v>
      </c>
      <c r="E44" s="994">
        <f t="shared" si="16"/>
        <v>0.19105579394005118</v>
      </c>
      <c r="F44" s="994">
        <f t="shared" si="16"/>
        <v>8.8677164241608333E-2</v>
      </c>
      <c r="G44" s="994">
        <f t="shared" si="16"/>
        <v>5.7222643546207333E-2</v>
      </c>
      <c r="H44" s="994">
        <f t="shared" si="16"/>
        <v>-0.10224481709030751</v>
      </c>
      <c r="I44" s="994">
        <f t="shared" si="16"/>
        <v>-7.7651233142353768E-2</v>
      </c>
      <c r="J44" s="994">
        <f t="shared" si="16"/>
        <v>2.1084337736294922E-2</v>
      </c>
      <c r="K44" s="994">
        <f t="shared" si="16"/>
        <v>0.16485445042902286</v>
      </c>
      <c r="L44" s="990"/>
    </row>
    <row r="45" spans="1:25">
      <c r="A45" s="993" t="s">
        <v>247</v>
      </c>
      <c r="B45" s="992">
        <f t="shared" si="11"/>
        <v>-2.366796052916436E-2</v>
      </c>
      <c r="C45" s="992">
        <f t="shared" ref="C45:K45" si="17">B45+C37</f>
        <v>-2.9892818939414804E-2</v>
      </c>
      <c r="D45" s="992">
        <f t="shared" si="17"/>
        <v>-6.1337125353898438E-2</v>
      </c>
      <c r="E45" s="992">
        <f t="shared" si="17"/>
        <v>-9.4845052554116849E-2</v>
      </c>
      <c r="F45" s="992">
        <f t="shared" si="17"/>
        <v>-4.6456603698723717E-2</v>
      </c>
      <c r="G45" s="992">
        <f t="shared" si="17"/>
        <v>-3.1920795871257859E-2</v>
      </c>
      <c r="H45" s="992">
        <f t="shared" si="17"/>
        <v>-1.9985595201073306E-2</v>
      </c>
      <c r="I45" s="992">
        <f t="shared" si="17"/>
        <v>-5.8632882881480622E-2</v>
      </c>
      <c r="J45" s="992">
        <f t="shared" si="17"/>
        <v>-6.0653852209114706E-2</v>
      </c>
      <c r="K45" s="992">
        <f t="shared" si="17"/>
        <v>-6.2067485089929791E-2</v>
      </c>
    </row>
    <row r="46" spans="1:25">
      <c r="A46" s="991" t="s">
        <v>906</v>
      </c>
    </row>
    <row r="60" spans="1:12">
      <c r="A60" s="896"/>
      <c r="B60" s="795"/>
      <c r="C60" s="795"/>
      <c r="D60" s="795"/>
      <c r="E60" s="795"/>
      <c r="F60" s="795"/>
      <c r="G60" s="795"/>
      <c r="H60" s="795"/>
      <c r="I60" s="795"/>
      <c r="J60" s="795"/>
      <c r="K60" s="795"/>
      <c r="L60" s="795"/>
    </row>
    <row r="61" spans="1:12">
      <c r="B61" s="795"/>
      <c r="C61" s="795"/>
      <c r="D61" s="795"/>
      <c r="E61" s="795"/>
      <c r="F61" s="795"/>
      <c r="G61" s="795"/>
      <c r="H61" s="795"/>
      <c r="I61" s="795"/>
      <c r="J61" s="795"/>
      <c r="K61" s="795"/>
      <c r="L61" s="795"/>
    </row>
    <row r="62" spans="1:12">
      <c r="B62" s="795"/>
      <c r="C62" s="795"/>
      <c r="D62" s="795"/>
      <c r="E62" s="795"/>
      <c r="F62" s="795"/>
      <c r="G62" s="795"/>
      <c r="H62" s="795"/>
      <c r="I62" s="795"/>
      <c r="J62" s="795"/>
      <c r="K62" s="795"/>
      <c r="L62" s="795"/>
    </row>
    <row r="63" spans="1:12">
      <c r="B63" s="795"/>
      <c r="C63" s="795"/>
      <c r="D63" s="795"/>
      <c r="E63" s="795"/>
      <c r="F63" s="795"/>
      <c r="G63" s="795"/>
      <c r="H63" s="795"/>
      <c r="I63" s="795"/>
      <c r="J63" s="795"/>
      <c r="K63" s="795"/>
      <c r="L63" s="795"/>
    </row>
    <row r="64" spans="1:12">
      <c r="A64" s="896"/>
    </row>
    <row r="65" spans="2:12">
      <c r="B65" s="997"/>
      <c r="C65" s="997"/>
      <c r="D65" s="997"/>
      <c r="E65" s="997"/>
      <c r="F65" s="997"/>
      <c r="G65" s="997"/>
      <c r="H65" s="997"/>
      <c r="I65" s="997"/>
      <c r="J65" s="997"/>
      <c r="K65" s="997"/>
      <c r="L65" s="997"/>
    </row>
    <row r="66" spans="2:12">
      <c r="B66" s="997"/>
      <c r="C66" s="997"/>
      <c r="D66" s="997"/>
      <c r="E66" s="997"/>
      <c r="F66" s="997"/>
      <c r="G66" s="997"/>
      <c r="H66" s="997"/>
      <c r="I66" s="997"/>
      <c r="J66" s="997"/>
      <c r="K66" s="997"/>
      <c r="L66" s="997"/>
    </row>
    <row r="67" spans="2:12">
      <c r="B67" s="997"/>
      <c r="C67" s="997"/>
      <c r="D67" s="997"/>
      <c r="E67" s="997"/>
      <c r="F67" s="997"/>
      <c r="G67" s="997"/>
      <c r="H67" s="997"/>
      <c r="I67" s="997"/>
      <c r="J67" s="997"/>
      <c r="K67" s="997"/>
      <c r="L67" s="997"/>
    </row>
    <row r="68" spans="2:12">
      <c r="B68" s="795"/>
      <c r="C68" s="795"/>
      <c r="D68" s="795"/>
      <c r="E68" s="795"/>
      <c r="F68" s="795"/>
      <c r="G68" s="795"/>
      <c r="H68" s="795"/>
      <c r="I68" s="795"/>
      <c r="J68" s="795"/>
      <c r="K68" s="795"/>
      <c r="L68" s="795"/>
    </row>
    <row r="69" spans="2:12">
      <c r="B69" s="997"/>
      <c r="C69" s="997"/>
      <c r="D69" s="997"/>
      <c r="E69" s="997"/>
      <c r="F69" s="997"/>
      <c r="G69" s="997"/>
      <c r="H69" s="997"/>
      <c r="I69" s="997"/>
      <c r="J69" s="997"/>
      <c r="K69" s="997"/>
      <c r="L69" s="997"/>
    </row>
    <row r="70" spans="2:12">
      <c r="B70" s="997"/>
      <c r="C70" s="997"/>
      <c r="D70" s="997"/>
      <c r="E70" s="997"/>
      <c r="F70" s="997"/>
      <c r="G70" s="997"/>
      <c r="H70" s="997"/>
      <c r="I70" s="997"/>
      <c r="J70" s="997"/>
      <c r="K70" s="997"/>
      <c r="L70" s="997"/>
    </row>
    <row r="73" spans="2:12">
      <c r="D73" s="795"/>
    </row>
    <row r="74" spans="2:12">
      <c r="D74" s="795"/>
    </row>
    <row r="75" spans="2:12">
      <c r="D75" s="795"/>
    </row>
    <row r="76" spans="2:12">
      <c r="D76" s="795"/>
    </row>
    <row r="77" spans="2:12">
      <c r="D77" s="795"/>
    </row>
    <row r="78" spans="2:12">
      <c r="D78" s="795"/>
    </row>
    <row r="79" spans="2:12">
      <c r="D79" s="795"/>
    </row>
    <row r="80" spans="2:12">
      <c r="D80" s="795"/>
    </row>
    <row r="81" spans="4:4">
      <c r="D81" s="795"/>
    </row>
    <row r="82" spans="4:4">
      <c r="D82" s="795"/>
    </row>
    <row r="83" spans="4:4">
      <c r="D83" s="795"/>
    </row>
    <row r="84" spans="4:4">
      <c r="D84" s="795"/>
    </row>
    <row r="85" spans="4:4">
      <c r="D85" s="795"/>
    </row>
    <row r="86" spans="4:4">
      <c r="D86" s="795"/>
    </row>
  </sheetData>
  <pageMargins left="0.7" right="0.7" top="0.75" bottom="0.75" header="0.3" footer="0.3"/>
  <pageSetup paperSize="9" orientation="portrait" verticalDpi="0" r:id="rId1"/>
  <drawing r:id="rId2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32"/>
  <sheetViews>
    <sheetView showGridLines="0" workbookViewId="0">
      <selection activeCell="B19" sqref="B19:F24"/>
    </sheetView>
  </sheetViews>
  <sheetFormatPr defaultRowHeight="12.75"/>
  <cols>
    <col min="1" max="1" width="38.140625" style="109" customWidth="1"/>
    <col min="2" max="2" width="7.5703125" style="109" customWidth="1"/>
    <col min="3" max="3" width="7.7109375" style="109" customWidth="1"/>
    <col min="4" max="4" width="8.5703125" style="109" customWidth="1"/>
    <col min="5" max="6" width="9.140625" style="109"/>
    <col min="7" max="7" width="9.140625" style="6"/>
    <col min="8" max="15" width="9.140625" style="109"/>
    <col min="16" max="16" width="34.42578125" style="109" customWidth="1"/>
    <col min="17" max="17" width="9.85546875" style="109" customWidth="1"/>
    <col min="18" max="16384" width="9.140625" style="109"/>
  </cols>
  <sheetData>
    <row r="1" spans="1:22">
      <c r="A1" s="13"/>
      <c r="B1" s="329">
        <v>2015</v>
      </c>
      <c r="C1" s="329">
        <v>2016</v>
      </c>
      <c r="D1" s="329">
        <v>2017</v>
      </c>
      <c r="E1" s="329">
        <v>2018</v>
      </c>
      <c r="F1" s="329">
        <v>2019</v>
      </c>
      <c r="P1" s="13"/>
      <c r="Q1" s="13"/>
      <c r="R1" s="46"/>
      <c r="S1" s="46"/>
      <c r="T1" s="46"/>
      <c r="U1" s="46"/>
      <c r="V1" s="46"/>
    </row>
    <row r="2" spans="1:22">
      <c r="B2" s="328"/>
      <c r="D2" s="84" t="s">
        <v>179</v>
      </c>
      <c r="E2" s="334"/>
      <c r="F2" s="328"/>
      <c r="I2" s="128" t="s">
        <v>227</v>
      </c>
      <c r="P2" s="13"/>
      <c r="Q2" s="13"/>
      <c r="R2" s="46"/>
      <c r="S2" s="46"/>
      <c r="T2" s="46"/>
      <c r="U2" s="46"/>
      <c r="V2" s="46"/>
    </row>
    <row r="3" spans="1:22" ht="24">
      <c r="A3" s="14" t="s">
        <v>12</v>
      </c>
      <c r="B3" s="36">
        <v>5.897027458213483E-2</v>
      </c>
      <c r="C3" s="36">
        <v>-7.1984490658141664E-2</v>
      </c>
      <c r="D3" s="36">
        <v>0.31195013554986695</v>
      </c>
      <c r="E3" s="36">
        <v>0.60166767006458155</v>
      </c>
      <c r="F3" s="36">
        <v>5.5465417441218356E-2</v>
      </c>
      <c r="P3" s="326"/>
      <c r="Q3" s="90"/>
      <c r="R3" s="90"/>
      <c r="S3" s="90"/>
      <c r="T3" s="90"/>
      <c r="U3" s="90"/>
      <c r="V3" s="90"/>
    </row>
    <row r="4" spans="1:22">
      <c r="A4" s="13" t="s">
        <v>13</v>
      </c>
      <c r="B4" s="37">
        <v>4.6067615929725383</v>
      </c>
      <c r="C4" s="37">
        <v>1.785351773417313</v>
      </c>
      <c r="D4" s="37">
        <v>2.1678858801839107</v>
      </c>
      <c r="E4" s="37">
        <v>2.7150373192651518</v>
      </c>
      <c r="F4" s="37">
        <v>2.3938205687443315</v>
      </c>
      <c r="P4" s="327"/>
      <c r="Q4" s="327"/>
      <c r="R4" s="156"/>
      <c r="S4" s="156"/>
      <c r="T4" s="156"/>
      <c r="U4" s="156"/>
      <c r="V4" s="156"/>
    </row>
    <row r="5" spans="1:22">
      <c r="A5" s="15" t="s">
        <v>2</v>
      </c>
      <c r="B5" s="10">
        <v>5.4906691948717423</v>
      </c>
      <c r="C5" s="10">
        <v>2.8218857335184873</v>
      </c>
      <c r="D5" s="10">
        <v>3.1374356694394505</v>
      </c>
      <c r="E5" s="10">
        <v>3.7455807102904344</v>
      </c>
      <c r="F5" s="10">
        <v>3.3960507235355917</v>
      </c>
      <c r="P5" s="13"/>
      <c r="Q5" s="46"/>
      <c r="R5" s="46"/>
      <c r="S5" s="46"/>
      <c r="T5" s="46"/>
      <c r="U5" s="46"/>
      <c r="V5" s="46"/>
    </row>
    <row r="6" spans="1:22">
      <c r="A6" s="16" t="s">
        <v>3</v>
      </c>
      <c r="B6" s="10">
        <v>0.88390760189920381</v>
      </c>
      <c r="C6" s="10">
        <v>1.0365339601011743</v>
      </c>
      <c r="D6" s="10">
        <v>0.96954978925553981</v>
      </c>
      <c r="E6" s="10">
        <v>1.0305433910252828</v>
      </c>
      <c r="F6" s="10">
        <v>1.0022301547912604</v>
      </c>
      <c r="P6" s="13"/>
      <c r="Q6" s="46"/>
      <c r="R6" s="46"/>
      <c r="S6" s="46"/>
      <c r="T6" s="46"/>
      <c r="U6" s="46"/>
      <c r="V6" s="46"/>
    </row>
    <row r="7" spans="1:22">
      <c r="A7" s="17" t="s">
        <v>14</v>
      </c>
      <c r="B7" s="38">
        <v>-2.930666609385105</v>
      </c>
      <c r="C7" s="38">
        <v>2.7494253288970838</v>
      </c>
      <c r="D7" s="38">
        <v>-7.0583971216730768E-2</v>
      </c>
      <c r="E7" s="38">
        <v>5.4516230983340463E-2</v>
      </c>
      <c r="F7" s="38">
        <v>0.37668216796203868</v>
      </c>
      <c r="P7" s="13"/>
      <c r="Q7" s="46"/>
      <c r="R7" s="46"/>
      <c r="S7" s="46"/>
      <c r="T7" s="46"/>
      <c r="U7" s="46"/>
      <c r="V7" s="46"/>
    </row>
    <row r="8" spans="1:22">
      <c r="A8" s="5" t="s">
        <v>6</v>
      </c>
      <c r="B8" s="229">
        <v>-0.19320217454966901</v>
      </c>
      <c r="C8" s="229">
        <v>-9.8145419378348947E-2</v>
      </c>
      <c r="D8" s="229">
        <v>0.13615557580521215</v>
      </c>
      <c r="E8" s="229">
        <v>0.30441620838392247</v>
      </c>
      <c r="F8" s="229">
        <v>0.59555955865350696</v>
      </c>
      <c r="P8" s="13"/>
      <c r="Q8" s="46"/>
      <c r="R8" s="46"/>
      <c r="S8" s="46"/>
      <c r="T8" s="46"/>
      <c r="U8" s="46"/>
      <c r="V8" s="46"/>
    </row>
    <row r="9" spans="1:22">
      <c r="C9" s="328"/>
      <c r="D9" s="328"/>
      <c r="E9" s="328"/>
      <c r="F9" s="328"/>
    </row>
    <row r="10" spans="1:22">
      <c r="A10" s="11"/>
      <c r="B10" s="12"/>
      <c r="C10" s="12"/>
      <c r="D10" s="84" t="s">
        <v>72</v>
      </c>
      <c r="E10" s="85"/>
      <c r="F10" s="12"/>
    </row>
    <row r="11" spans="1:22" ht="24">
      <c r="A11" s="14" t="s">
        <v>12</v>
      </c>
      <c r="B11" s="36">
        <v>5.897027458213483E-2</v>
      </c>
      <c r="C11" s="36">
        <v>-7.1984490658141664E-2</v>
      </c>
      <c r="D11" s="36">
        <v>0.31195013554986695</v>
      </c>
      <c r="E11" s="36">
        <v>0.60166767006458155</v>
      </c>
      <c r="F11" s="36">
        <v>5.5465417441218356E-2</v>
      </c>
    </row>
    <row r="12" spans="1:22">
      <c r="A12" s="13" t="s">
        <v>13</v>
      </c>
      <c r="B12" s="37">
        <v>4.6067615929725383</v>
      </c>
      <c r="C12" s="37">
        <v>1.841601494380148</v>
      </c>
      <c r="D12" s="37">
        <v>2.0263459092472678</v>
      </c>
      <c r="E12" s="37">
        <v>1.9997741071099326</v>
      </c>
      <c r="F12" s="37">
        <v>1.8881282875480088</v>
      </c>
    </row>
    <row r="13" spans="1:22">
      <c r="A13" s="15" t="s">
        <v>2</v>
      </c>
      <c r="B13" s="91">
        <v>5.4906691948717423</v>
      </c>
      <c r="C13" s="91">
        <v>2.8781354544813222</v>
      </c>
      <c r="D13" s="91">
        <v>2.9958956985028076</v>
      </c>
      <c r="E13" s="91">
        <v>3.0303174981352154</v>
      </c>
      <c r="F13" s="91">
        <v>2.8903584423392692</v>
      </c>
    </row>
    <row r="14" spans="1:22">
      <c r="A14" s="16" t="s">
        <v>3</v>
      </c>
      <c r="B14" s="10">
        <v>0.88390760189920381</v>
      </c>
      <c r="C14" s="10">
        <v>1.0365339601011743</v>
      </c>
      <c r="D14" s="10">
        <v>0.96954978925553981</v>
      </c>
      <c r="E14" s="10">
        <v>1.0305433910252828</v>
      </c>
      <c r="F14" s="10">
        <v>1.0022301547912604</v>
      </c>
    </row>
    <row r="15" spans="1:22">
      <c r="A15" s="17" t="s">
        <v>14</v>
      </c>
      <c r="B15" s="38">
        <v>-2.930666609385105</v>
      </c>
      <c r="C15" s="38">
        <v>2.6931756079342484</v>
      </c>
      <c r="D15" s="38">
        <v>0.12720572068274716</v>
      </c>
      <c r="E15" s="38">
        <v>0.62823947220191667</v>
      </c>
      <c r="F15" s="38">
        <v>0.16711123700314223</v>
      </c>
      <c r="G15" s="3"/>
      <c r="H15" s="8"/>
      <c r="I15" s="8"/>
      <c r="J15" s="8"/>
    </row>
    <row r="16" spans="1:22">
      <c r="A16" s="5" t="s">
        <v>6</v>
      </c>
      <c r="B16" s="229">
        <v>-0.19320217454966901</v>
      </c>
      <c r="C16" s="229">
        <v>-9.8145419378348947E-2</v>
      </c>
      <c r="D16" s="229">
        <v>0.13615557580521215</v>
      </c>
      <c r="E16" s="229">
        <v>0.30441620838392247</v>
      </c>
      <c r="F16" s="229">
        <v>0.59555955865350696</v>
      </c>
      <c r="G16" s="3"/>
      <c r="H16" s="8"/>
      <c r="I16" s="8"/>
      <c r="J16" s="8"/>
    </row>
    <row r="17" spans="1:22">
      <c r="F17" s="41"/>
      <c r="G17" s="98"/>
      <c r="I17" s="41"/>
      <c r="J17" s="41"/>
      <c r="K17" s="41"/>
    </row>
    <row r="18" spans="1:22">
      <c r="D18" s="84" t="s">
        <v>17</v>
      </c>
      <c r="E18" s="85"/>
      <c r="F18" s="130"/>
      <c r="G18" s="98"/>
      <c r="H18" s="41"/>
      <c r="I18" s="41"/>
      <c r="J18" s="41"/>
      <c r="K18" s="41"/>
    </row>
    <row r="19" spans="1:22" ht="24">
      <c r="A19" s="14" t="s">
        <v>12</v>
      </c>
      <c r="B19" s="36">
        <v>2.1822056883635477E-2</v>
      </c>
      <c r="C19" s="36">
        <v>-0.25858282556458628</v>
      </c>
      <c r="D19" s="36">
        <v>0.4243894147287558</v>
      </c>
      <c r="E19" s="36">
        <v>0.77265151012586164</v>
      </c>
      <c r="F19" s="36">
        <v>0.5636441695412181</v>
      </c>
      <c r="G19" s="98"/>
      <c r="H19" s="41"/>
      <c r="I19" s="41"/>
      <c r="J19" s="41"/>
      <c r="K19" s="41"/>
    </row>
    <row r="20" spans="1:22">
      <c r="A20" s="13" t="s">
        <v>13</v>
      </c>
      <c r="B20" s="37">
        <v>4.6067619549828676</v>
      </c>
      <c r="C20" s="37">
        <v>1.5766156338227162</v>
      </c>
      <c r="D20" s="37">
        <v>1.9557925555546287</v>
      </c>
      <c r="E20" s="37">
        <v>1.7605504958902645</v>
      </c>
      <c r="F20" s="37">
        <v>1.7190671686596686</v>
      </c>
      <c r="G20" s="98"/>
      <c r="I20" s="41"/>
      <c r="J20" s="41"/>
      <c r="K20" s="41"/>
      <c r="L20" s="4"/>
      <c r="M20" s="4"/>
      <c r="N20" s="4"/>
      <c r="O20" s="4"/>
      <c r="P20" s="8"/>
      <c r="Q20" s="8"/>
      <c r="T20" s="9"/>
      <c r="U20" s="19"/>
      <c r="V20" s="41"/>
    </row>
    <row r="21" spans="1:22">
      <c r="A21" s="15" t="s">
        <v>2</v>
      </c>
      <c r="B21" s="91">
        <v>5.4906695568820716</v>
      </c>
      <c r="C21" s="91">
        <v>2.6131495939238905</v>
      </c>
      <c r="D21" s="91">
        <v>2.9253423448101685</v>
      </c>
      <c r="E21" s="91">
        <v>2.7910938869155473</v>
      </c>
      <c r="F21" s="91">
        <v>2.721297323450929</v>
      </c>
      <c r="G21" s="130"/>
    </row>
    <row r="22" spans="1:22">
      <c r="A22" s="16" t="s">
        <v>3</v>
      </c>
      <c r="B22" s="10">
        <v>0.88390760189920381</v>
      </c>
      <c r="C22" s="10">
        <v>1.0365339601011743</v>
      </c>
      <c r="D22" s="10">
        <v>0.96954978925553981</v>
      </c>
      <c r="E22" s="10">
        <v>1.0305433910252828</v>
      </c>
      <c r="F22" s="10">
        <v>1.0022301547912604</v>
      </c>
    </row>
    <row r="23" spans="1:22">
      <c r="A23" s="17" t="s">
        <v>14</v>
      </c>
      <c r="B23" s="38">
        <v>-2.9678151890939337</v>
      </c>
      <c r="C23" s="38">
        <v>2.771563495595565</v>
      </c>
      <c r="D23" s="38">
        <v>4.5212492996843268E-2</v>
      </c>
      <c r="E23" s="38">
        <v>0.96789356979022589</v>
      </c>
      <c r="F23" s="38">
        <v>0.60512749677181399</v>
      </c>
    </row>
    <row r="24" spans="1:22">
      <c r="A24" s="5" t="s">
        <v>6</v>
      </c>
      <c r="B24" s="39">
        <v>-0.19320217454966901</v>
      </c>
      <c r="C24" s="39">
        <v>-9.8145419378348947E-2</v>
      </c>
      <c r="D24" s="39">
        <v>0.13615557580521215</v>
      </c>
      <c r="E24" s="39">
        <v>0.30441620838392247</v>
      </c>
      <c r="F24" s="39">
        <v>0.59555955865350696</v>
      </c>
    </row>
    <row r="29" spans="1:22" s="3" customFormat="1">
      <c r="B29" s="138"/>
      <c r="C29" s="138"/>
      <c r="D29" s="138"/>
      <c r="E29" s="138"/>
    </row>
    <row r="30" spans="1:22" s="3" customFormat="1">
      <c r="A30" s="137"/>
      <c r="B30" s="139"/>
      <c r="C30" s="139"/>
      <c r="D30" s="139"/>
      <c r="E30" s="139"/>
    </row>
    <row r="31" spans="1:22" s="3" customFormat="1">
      <c r="A31" s="109"/>
    </row>
    <row r="32" spans="1:22" s="3" customFormat="1"/>
  </sheetData>
  <pageMargins left="0.7" right="0.7" top="0.75" bottom="0.75" header="0.3" footer="0.3"/>
  <pageSetup paperSize="9" scale="64" orientation="landscape" r:id="rId1"/>
  <drawing r:id="rId2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7"/>
  <dimension ref="A1:O17"/>
  <sheetViews>
    <sheetView showGridLines="0" workbookViewId="0">
      <selection activeCell="H1" sqref="H1"/>
    </sheetView>
  </sheetViews>
  <sheetFormatPr defaultRowHeight="12.75"/>
  <cols>
    <col min="1" max="1" width="40.5703125" customWidth="1"/>
  </cols>
  <sheetData>
    <row r="1" spans="1:15" ht="15">
      <c r="A1" s="95"/>
      <c r="B1" s="96">
        <v>2015</v>
      </c>
      <c r="C1" s="97" t="s">
        <v>114</v>
      </c>
      <c r="D1" s="96" t="s">
        <v>221</v>
      </c>
      <c r="E1" s="97" t="s">
        <v>222</v>
      </c>
      <c r="F1" s="97" t="s">
        <v>223</v>
      </c>
      <c r="H1" s="129" t="s">
        <v>297</v>
      </c>
      <c r="I1" s="98"/>
      <c r="J1" s="98"/>
      <c r="K1" s="98"/>
      <c r="L1" s="98"/>
      <c r="M1" s="98"/>
      <c r="N1" s="98"/>
      <c r="O1" s="99"/>
    </row>
    <row r="2" spans="1:15">
      <c r="A2" s="100" t="s">
        <v>85</v>
      </c>
      <c r="B2" s="140">
        <v>5.4906691948717423</v>
      </c>
      <c r="C2" s="140">
        <v>2.8218857335184873</v>
      </c>
      <c r="D2" s="140">
        <v>3.1374356694394505</v>
      </c>
      <c r="E2" s="140">
        <v>3.7455807102904344</v>
      </c>
      <c r="F2" s="140">
        <v>3.3960507235355917</v>
      </c>
      <c r="G2" s="6"/>
      <c r="H2" s="6"/>
      <c r="I2" s="6"/>
      <c r="J2" s="6"/>
      <c r="K2" s="6"/>
      <c r="L2" s="6"/>
      <c r="M2" s="6"/>
      <c r="N2" s="6"/>
      <c r="O2" s="6"/>
    </row>
    <row r="3" spans="1:15">
      <c r="A3" s="100" t="s">
        <v>76</v>
      </c>
      <c r="B3" s="101">
        <v>5.4906691948717423</v>
      </c>
      <c r="C3" s="101">
        <v>2.8781354544813222</v>
      </c>
      <c r="D3" s="101">
        <v>2.9958956985028076</v>
      </c>
      <c r="E3" s="101">
        <v>3.0303174981352154</v>
      </c>
      <c r="F3" s="101">
        <v>2.8903584423392692</v>
      </c>
      <c r="G3" s="6"/>
      <c r="H3" s="6"/>
      <c r="I3" s="6"/>
      <c r="J3" s="6"/>
      <c r="K3" s="6"/>
      <c r="L3" s="6"/>
      <c r="M3" s="6"/>
      <c r="N3" s="6"/>
      <c r="O3" s="6"/>
    </row>
    <row r="4" spans="1:15">
      <c r="A4" s="100" t="s">
        <v>154</v>
      </c>
      <c r="B4" s="101">
        <v>5.4906695568820716</v>
      </c>
      <c r="C4" s="101">
        <v>2.6131495939238905</v>
      </c>
      <c r="D4" s="101">
        <v>2.9253423448101685</v>
      </c>
      <c r="E4" s="101">
        <v>2.7910938869155473</v>
      </c>
      <c r="F4" s="101">
        <v>2.721297323450929</v>
      </c>
      <c r="G4" s="6"/>
      <c r="H4" s="6"/>
      <c r="I4" s="6"/>
      <c r="J4" s="6"/>
      <c r="K4" s="6"/>
      <c r="L4" s="6"/>
      <c r="M4" s="6"/>
      <c r="N4" s="6"/>
      <c r="O4" s="6"/>
    </row>
    <row r="5" spans="1:15">
      <c r="A5" s="102"/>
      <c r="B5" s="82"/>
      <c r="C5" s="82"/>
      <c r="D5" s="3"/>
      <c r="E5" s="3"/>
      <c r="F5" s="6"/>
      <c r="G5" s="6"/>
      <c r="H5" s="6"/>
      <c r="I5" s="6"/>
      <c r="J5" s="6"/>
      <c r="K5" s="6"/>
      <c r="L5" s="6"/>
      <c r="M5" s="6"/>
      <c r="N5" s="6"/>
      <c r="O5" s="6"/>
    </row>
    <row r="6" spans="1:15">
      <c r="A6" s="40"/>
      <c r="B6" s="103"/>
      <c r="C6" s="103"/>
      <c r="D6" s="3"/>
      <c r="E6" s="3"/>
      <c r="F6" s="6"/>
      <c r="G6" s="6"/>
      <c r="H6" s="6"/>
      <c r="I6" s="6"/>
      <c r="J6" s="6"/>
      <c r="K6" s="6"/>
      <c r="L6" s="6"/>
      <c r="M6" s="6"/>
      <c r="N6" s="6"/>
      <c r="O6" s="6"/>
    </row>
    <row r="7" spans="1:15">
      <c r="A7" s="104"/>
      <c r="B7" s="103"/>
      <c r="C7" s="103"/>
      <c r="D7" s="103"/>
      <c r="E7" s="103"/>
      <c r="F7" s="103"/>
      <c r="H7" s="6"/>
      <c r="I7" s="6"/>
      <c r="J7" s="6"/>
      <c r="K7" s="6"/>
      <c r="L7" s="6"/>
      <c r="M7" s="6"/>
      <c r="N7" s="6"/>
      <c r="O7" s="6"/>
    </row>
    <row r="8" spans="1:15">
      <c r="A8" s="105"/>
      <c r="B8" s="106"/>
      <c r="C8" s="106"/>
      <c r="D8" s="106"/>
      <c r="E8" s="106"/>
      <c r="F8" s="106"/>
      <c r="G8" s="6"/>
      <c r="H8" s="6"/>
      <c r="I8" s="6"/>
      <c r="J8" s="6"/>
      <c r="K8" s="6"/>
      <c r="L8" s="6"/>
      <c r="M8" s="6"/>
      <c r="N8" s="6"/>
      <c r="O8" s="6"/>
    </row>
    <row r="9" spans="1:15">
      <c r="A9" s="3"/>
      <c r="B9" s="107"/>
      <c r="C9" s="3"/>
      <c r="D9" s="3"/>
      <c r="E9" s="3"/>
      <c r="F9" s="6"/>
      <c r="G9" s="6"/>
      <c r="H9" s="6"/>
      <c r="I9" s="6"/>
      <c r="J9" s="6"/>
      <c r="K9" s="6"/>
      <c r="L9" s="6"/>
      <c r="M9" s="6"/>
      <c r="N9" s="6"/>
      <c r="O9" s="6"/>
    </row>
    <row r="10" spans="1:15">
      <c r="A10" s="3"/>
      <c r="B10" s="3"/>
      <c r="C10" s="3"/>
      <c r="D10" s="3"/>
      <c r="E10" s="3"/>
      <c r="F10" s="6"/>
      <c r="G10" s="6"/>
      <c r="H10" s="6"/>
      <c r="I10" s="6"/>
      <c r="J10" s="6"/>
      <c r="K10" s="6"/>
      <c r="L10" s="6"/>
      <c r="M10" s="6"/>
      <c r="N10" s="6"/>
      <c r="O10" s="6"/>
    </row>
    <row r="11" spans="1:15">
      <c r="A11" s="6"/>
      <c r="B11" s="6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</row>
    <row r="12" spans="1:15">
      <c r="A12" s="6"/>
      <c r="B12" s="6"/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</row>
    <row r="13" spans="1:15">
      <c r="A13" s="6"/>
      <c r="B13" s="6"/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</row>
    <row r="14" spans="1:15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</row>
    <row r="15" spans="1:15">
      <c r="A15" s="6"/>
      <c r="B15" s="108"/>
      <c r="C15" s="108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</row>
    <row r="16" spans="1:15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</row>
    <row r="17" spans="1:15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</row>
  </sheetData>
  <pageMargins left="0.7" right="0.7" top="0.75" bottom="0.75" header="0.3" footer="0.3"/>
  <drawing r:id="rId1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K10"/>
  <sheetViews>
    <sheetView showGridLines="0" workbookViewId="0">
      <selection activeCell="B10" sqref="B10"/>
    </sheetView>
  </sheetViews>
  <sheetFormatPr defaultRowHeight="15"/>
  <cols>
    <col min="1" max="8" width="9.140625" style="739"/>
    <col min="9" max="9" width="17.28515625" style="739" customWidth="1"/>
    <col min="10" max="10" width="17.140625" style="739" customWidth="1"/>
    <col min="11" max="239" width="9.140625" style="739"/>
    <col min="240" max="240" width="14.85546875" style="739" bestFit="1" customWidth="1"/>
    <col min="241" max="245" width="9.140625" style="739"/>
    <col min="246" max="246" width="29.28515625" style="739" bestFit="1" customWidth="1"/>
    <col min="247" max="495" width="9.140625" style="739"/>
    <col min="496" max="496" width="14.85546875" style="739" bestFit="1" customWidth="1"/>
    <col min="497" max="501" width="9.140625" style="739"/>
    <col min="502" max="502" width="29.28515625" style="739" bestFit="1" customWidth="1"/>
    <col min="503" max="751" width="9.140625" style="739"/>
    <col min="752" max="752" width="14.85546875" style="739" bestFit="1" customWidth="1"/>
    <col min="753" max="757" width="9.140625" style="739"/>
    <col min="758" max="758" width="29.28515625" style="739" bestFit="1" customWidth="1"/>
    <col min="759" max="1007" width="9.140625" style="739"/>
    <col min="1008" max="1008" width="14.85546875" style="739" bestFit="1" customWidth="1"/>
    <col min="1009" max="1013" width="9.140625" style="739"/>
    <col min="1014" max="1014" width="29.28515625" style="739" bestFit="1" customWidth="1"/>
    <col min="1015" max="1263" width="9.140625" style="739"/>
    <col min="1264" max="1264" width="14.85546875" style="739" bestFit="1" customWidth="1"/>
    <col min="1265" max="1269" width="9.140625" style="739"/>
    <col min="1270" max="1270" width="29.28515625" style="739" bestFit="1" customWidth="1"/>
    <col min="1271" max="1519" width="9.140625" style="739"/>
    <col min="1520" max="1520" width="14.85546875" style="739" bestFit="1" customWidth="1"/>
    <col min="1521" max="1525" width="9.140625" style="739"/>
    <col min="1526" max="1526" width="29.28515625" style="739" bestFit="1" customWidth="1"/>
    <col min="1527" max="1775" width="9.140625" style="739"/>
    <col min="1776" max="1776" width="14.85546875" style="739" bestFit="1" customWidth="1"/>
    <col min="1777" max="1781" width="9.140625" style="739"/>
    <col min="1782" max="1782" width="29.28515625" style="739" bestFit="1" customWidth="1"/>
    <col min="1783" max="2031" width="9.140625" style="739"/>
    <col min="2032" max="2032" width="14.85546875" style="739" bestFit="1" customWidth="1"/>
    <col min="2033" max="2037" width="9.140625" style="739"/>
    <col min="2038" max="2038" width="29.28515625" style="739" bestFit="1" customWidth="1"/>
    <col min="2039" max="2287" width="9.140625" style="739"/>
    <col min="2288" max="2288" width="14.85546875" style="739" bestFit="1" customWidth="1"/>
    <col min="2289" max="2293" width="9.140625" style="739"/>
    <col min="2294" max="2294" width="29.28515625" style="739" bestFit="1" customWidth="1"/>
    <col min="2295" max="2543" width="9.140625" style="739"/>
    <col min="2544" max="2544" width="14.85546875" style="739" bestFit="1" customWidth="1"/>
    <col min="2545" max="2549" width="9.140625" style="739"/>
    <col min="2550" max="2550" width="29.28515625" style="739" bestFit="1" customWidth="1"/>
    <col min="2551" max="2799" width="9.140625" style="739"/>
    <col min="2800" max="2800" width="14.85546875" style="739" bestFit="1" customWidth="1"/>
    <col min="2801" max="2805" width="9.140625" style="739"/>
    <col min="2806" max="2806" width="29.28515625" style="739" bestFit="1" customWidth="1"/>
    <col min="2807" max="3055" width="9.140625" style="739"/>
    <col min="3056" max="3056" width="14.85546875" style="739" bestFit="1" customWidth="1"/>
    <col min="3057" max="3061" width="9.140625" style="739"/>
    <col min="3062" max="3062" width="29.28515625" style="739" bestFit="1" customWidth="1"/>
    <col min="3063" max="3311" width="9.140625" style="739"/>
    <col min="3312" max="3312" width="14.85546875" style="739" bestFit="1" customWidth="1"/>
    <col min="3313" max="3317" width="9.140625" style="739"/>
    <col min="3318" max="3318" width="29.28515625" style="739" bestFit="1" customWidth="1"/>
    <col min="3319" max="3567" width="9.140625" style="739"/>
    <col min="3568" max="3568" width="14.85546875" style="739" bestFit="1" customWidth="1"/>
    <col min="3569" max="3573" width="9.140625" style="739"/>
    <col min="3574" max="3574" width="29.28515625" style="739" bestFit="1" customWidth="1"/>
    <col min="3575" max="3823" width="9.140625" style="739"/>
    <col min="3824" max="3824" width="14.85546875" style="739" bestFit="1" customWidth="1"/>
    <col min="3825" max="3829" width="9.140625" style="739"/>
    <col min="3830" max="3830" width="29.28515625" style="739" bestFit="1" customWidth="1"/>
    <col min="3831" max="4079" width="9.140625" style="739"/>
    <col min="4080" max="4080" width="14.85546875" style="739" bestFit="1" customWidth="1"/>
    <col min="4081" max="4085" width="9.140625" style="739"/>
    <col min="4086" max="4086" width="29.28515625" style="739" bestFit="1" customWidth="1"/>
    <col min="4087" max="4335" width="9.140625" style="739"/>
    <col min="4336" max="4336" width="14.85546875" style="739" bestFit="1" customWidth="1"/>
    <col min="4337" max="4341" width="9.140625" style="739"/>
    <col min="4342" max="4342" width="29.28515625" style="739" bestFit="1" customWidth="1"/>
    <col min="4343" max="4591" width="9.140625" style="739"/>
    <col min="4592" max="4592" width="14.85546875" style="739" bestFit="1" customWidth="1"/>
    <col min="4593" max="4597" width="9.140625" style="739"/>
    <col min="4598" max="4598" width="29.28515625" style="739" bestFit="1" customWidth="1"/>
    <col min="4599" max="4847" width="9.140625" style="739"/>
    <col min="4848" max="4848" width="14.85546875" style="739" bestFit="1" customWidth="1"/>
    <col min="4849" max="4853" width="9.140625" style="739"/>
    <col min="4854" max="4854" width="29.28515625" style="739" bestFit="1" customWidth="1"/>
    <col min="4855" max="5103" width="9.140625" style="739"/>
    <col min="5104" max="5104" width="14.85546875" style="739" bestFit="1" customWidth="1"/>
    <col min="5105" max="5109" width="9.140625" style="739"/>
    <col min="5110" max="5110" width="29.28515625" style="739" bestFit="1" customWidth="1"/>
    <col min="5111" max="5359" width="9.140625" style="739"/>
    <col min="5360" max="5360" width="14.85546875" style="739" bestFit="1" customWidth="1"/>
    <col min="5361" max="5365" width="9.140625" style="739"/>
    <col min="5366" max="5366" width="29.28515625" style="739" bestFit="1" customWidth="1"/>
    <col min="5367" max="5615" width="9.140625" style="739"/>
    <col min="5616" max="5616" width="14.85546875" style="739" bestFit="1" customWidth="1"/>
    <col min="5617" max="5621" width="9.140625" style="739"/>
    <col min="5622" max="5622" width="29.28515625" style="739" bestFit="1" customWidth="1"/>
    <col min="5623" max="5871" width="9.140625" style="739"/>
    <col min="5872" max="5872" width="14.85546875" style="739" bestFit="1" customWidth="1"/>
    <col min="5873" max="5877" width="9.140625" style="739"/>
    <col min="5878" max="5878" width="29.28515625" style="739" bestFit="1" customWidth="1"/>
    <col min="5879" max="6127" width="9.140625" style="739"/>
    <col min="6128" max="6128" width="14.85546875" style="739" bestFit="1" customWidth="1"/>
    <col min="6129" max="6133" width="9.140625" style="739"/>
    <col min="6134" max="6134" width="29.28515625" style="739" bestFit="1" customWidth="1"/>
    <col min="6135" max="6383" width="9.140625" style="739"/>
    <col min="6384" max="6384" width="14.85546875" style="739" bestFit="1" customWidth="1"/>
    <col min="6385" max="6389" width="9.140625" style="739"/>
    <col min="6390" max="6390" width="29.28515625" style="739" bestFit="1" customWidth="1"/>
    <col min="6391" max="6639" width="9.140625" style="739"/>
    <col min="6640" max="6640" width="14.85546875" style="739" bestFit="1" customWidth="1"/>
    <col min="6641" max="6645" width="9.140625" style="739"/>
    <col min="6646" max="6646" width="29.28515625" style="739" bestFit="1" customWidth="1"/>
    <col min="6647" max="6895" width="9.140625" style="739"/>
    <col min="6896" max="6896" width="14.85546875" style="739" bestFit="1" customWidth="1"/>
    <col min="6897" max="6901" width="9.140625" style="739"/>
    <col min="6902" max="6902" width="29.28515625" style="739" bestFit="1" customWidth="1"/>
    <col min="6903" max="7151" width="9.140625" style="739"/>
    <col min="7152" max="7152" width="14.85546875" style="739" bestFit="1" customWidth="1"/>
    <col min="7153" max="7157" width="9.140625" style="739"/>
    <col min="7158" max="7158" width="29.28515625" style="739" bestFit="1" customWidth="1"/>
    <col min="7159" max="7407" width="9.140625" style="739"/>
    <col min="7408" max="7408" width="14.85546875" style="739" bestFit="1" customWidth="1"/>
    <col min="7409" max="7413" width="9.140625" style="739"/>
    <col min="7414" max="7414" width="29.28515625" style="739" bestFit="1" customWidth="1"/>
    <col min="7415" max="7663" width="9.140625" style="739"/>
    <col min="7664" max="7664" width="14.85546875" style="739" bestFit="1" customWidth="1"/>
    <col min="7665" max="7669" width="9.140625" style="739"/>
    <col min="7670" max="7670" width="29.28515625" style="739" bestFit="1" customWidth="1"/>
    <col min="7671" max="7919" width="9.140625" style="739"/>
    <col min="7920" max="7920" width="14.85546875" style="739" bestFit="1" customWidth="1"/>
    <col min="7921" max="7925" width="9.140625" style="739"/>
    <col min="7926" max="7926" width="29.28515625" style="739" bestFit="1" customWidth="1"/>
    <col min="7927" max="8175" width="9.140625" style="739"/>
    <col min="8176" max="8176" width="14.85546875" style="739" bestFit="1" customWidth="1"/>
    <col min="8177" max="8181" width="9.140625" style="739"/>
    <col min="8182" max="8182" width="29.28515625" style="739" bestFit="1" customWidth="1"/>
    <col min="8183" max="8431" width="9.140625" style="739"/>
    <col min="8432" max="8432" width="14.85546875" style="739" bestFit="1" customWidth="1"/>
    <col min="8433" max="8437" width="9.140625" style="739"/>
    <col min="8438" max="8438" width="29.28515625" style="739" bestFit="1" customWidth="1"/>
    <col min="8439" max="8687" width="9.140625" style="739"/>
    <col min="8688" max="8688" width="14.85546875" style="739" bestFit="1" customWidth="1"/>
    <col min="8689" max="8693" width="9.140625" style="739"/>
    <col min="8694" max="8694" width="29.28515625" style="739" bestFit="1" customWidth="1"/>
    <col min="8695" max="8943" width="9.140625" style="739"/>
    <col min="8944" max="8944" width="14.85546875" style="739" bestFit="1" customWidth="1"/>
    <col min="8945" max="8949" width="9.140625" style="739"/>
    <col min="8950" max="8950" width="29.28515625" style="739" bestFit="1" customWidth="1"/>
    <col min="8951" max="9199" width="9.140625" style="739"/>
    <col min="9200" max="9200" width="14.85546875" style="739" bestFit="1" customWidth="1"/>
    <col min="9201" max="9205" width="9.140625" style="739"/>
    <col min="9206" max="9206" width="29.28515625" style="739" bestFit="1" customWidth="1"/>
    <col min="9207" max="9455" width="9.140625" style="739"/>
    <col min="9456" max="9456" width="14.85546875" style="739" bestFit="1" customWidth="1"/>
    <col min="9457" max="9461" width="9.140625" style="739"/>
    <col min="9462" max="9462" width="29.28515625" style="739" bestFit="1" customWidth="1"/>
    <col min="9463" max="9711" width="9.140625" style="739"/>
    <col min="9712" max="9712" width="14.85546875" style="739" bestFit="1" customWidth="1"/>
    <col min="9713" max="9717" width="9.140625" style="739"/>
    <col min="9718" max="9718" width="29.28515625" style="739" bestFit="1" customWidth="1"/>
    <col min="9719" max="9967" width="9.140625" style="739"/>
    <col min="9968" max="9968" width="14.85546875" style="739" bestFit="1" customWidth="1"/>
    <col min="9969" max="9973" width="9.140625" style="739"/>
    <col min="9974" max="9974" width="29.28515625" style="739" bestFit="1" customWidth="1"/>
    <col min="9975" max="10223" width="9.140625" style="739"/>
    <col min="10224" max="10224" width="14.85546875" style="739" bestFit="1" customWidth="1"/>
    <col min="10225" max="10229" width="9.140625" style="739"/>
    <col min="10230" max="10230" width="29.28515625" style="739" bestFit="1" customWidth="1"/>
    <col min="10231" max="10479" width="9.140625" style="739"/>
    <col min="10480" max="10480" width="14.85546875" style="739" bestFit="1" customWidth="1"/>
    <col min="10481" max="10485" width="9.140625" style="739"/>
    <col min="10486" max="10486" width="29.28515625" style="739" bestFit="1" customWidth="1"/>
    <col min="10487" max="10735" width="9.140625" style="739"/>
    <col min="10736" max="10736" width="14.85546875" style="739" bestFit="1" customWidth="1"/>
    <col min="10737" max="10741" width="9.140625" style="739"/>
    <col min="10742" max="10742" width="29.28515625" style="739" bestFit="1" customWidth="1"/>
    <col min="10743" max="10991" width="9.140625" style="739"/>
    <col min="10992" max="10992" width="14.85546875" style="739" bestFit="1" customWidth="1"/>
    <col min="10993" max="10997" width="9.140625" style="739"/>
    <col min="10998" max="10998" width="29.28515625" style="739" bestFit="1" customWidth="1"/>
    <col min="10999" max="11247" width="9.140625" style="739"/>
    <col min="11248" max="11248" width="14.85546875" style="739" bestFit="1" customWidth="1"/>
    <col min="11249" max="11253" width="9.140625" style="739"/>
    <col min="11254" max="11254" width="29.28515625" style="739" bestFit="1" customWidth="1"/>
    <col min="11255" max="11503" width="9.140625" style="739"/>
    <col min="11504" max="11504" width="14.85546875" style="739" bestFit="1" customWidth="1"/>
    <col min="11505" max="11509" width="9.140625" style="739"/>
    <col min="11510" max="11510" width="29.28515625" style="739" bestFit="1" customWidth="1"/>
    <col min="11511" max="11759" width="9.140625" style="739"/>
    <col min="11760" max="11760" width="14.85546875" style="739" bestFit="1" customWidth="1"/>
    <col min="11761" max="11765" width="9.140625" style="739"/>
    <col min="11766" max="11766" width="29.28515625" style="739" bestFit="1" customWidth="1"/>
    <col min="11767" max="12015" width="9.140625" style="739"/>
    <col min="12016" max="12016" width="14.85546875" style="739" bestFit="1" customWidth="1"/>
    <col min="12017" max="12021" width="9.140625" style="739"/>
    <col min="12022" max="12022" width="29.28515625" style="739" bestFit="1" customWidth="1"/>
    <col min="12023" max="12271" width="9.140625" style="739"/>
    <col min="12272" max="12272" width="14.85546875" style="739" bestFit="1" customWidth="1"/>
    <col min="12273" max="12277" width="9.140625" style="739"/>
    <col min="12278" max="12278" width="29.28515625" style="739" bestFit="1" customWidth="1"/>
    <col min="12279" max="12527" width="9.140625" style="739"/>
    <col min="12528" max="12528" width="14.85546875" style="739" bestFit="1" customWidth="1"/>
    <col min="12529" max="12533" width="9.140625" style="739"/>
    <col min="12534" max="12534" width="29.28515625" style="739" bestFit="1" customWidth="1"/>
    <col min="12535" max="12783" width="9.140625" style="739"/>
    <col min="12784" max="12784" width="14.85546875" style="739" bestFit="1" customWidth="1"/>
    <col min="12785" max="12789" width="9.140625" style="739"/>
    <col min="12790" max="12790" width="29.28515625" style="739" bestFit="1" customWidth="1"/>
    <col min="12791" max="13039" width="9.140625" style="739"/>
    <col min="13040" max="13040" width="14.85546875" style="739" bestFit="1" customWidth="1"/>
    <col min="13041" max="13045" width="9.140625" style="739"/>
    <col min="13046" max="13046" width="29.28515625" style="739" bestFit="1" customWidth="1"/>
    <col min="13047" max="13295" width="9.140625" style="739"/>
    <col min="13296" max="13296" width="14.85546875" style="739" bestFit="1" customWidth="1"/>
    <col min="13297" max="13301" width="9.140625" style="739"/>
    <col min="13302" max="13302" width="29.28515625" style="739" bestFit="1" customWidth="1"/>
    <col min="13303" max="13551" width="9.140625" style="739"/>
    <col min="13552" max="13552" width="14.85546875" style="739" bestFit="1" customWidth="1"/>
    <col min="13553" max="13557" width="9.140625" style="739"/>
    <col min="13558" max="13558" width="29.28515625" style="739" bestFit="1" customWidth="1"/>
    <col min="13559" max="13807" width="9.140625" style="739"/>
    <col min="13808" max="13808" width="14.85546875" style="739" bestFit="1" customWidth="1"/>
    <col min="13809" max="13813" width="9.140625" style="739"/>
    <col min="13814" max="13814" width="29.28515625" style="739" bestFit="1" customWidth="1"/>
    <col min="13815" max="14063" width="9.140625" style="739"/>
    <col min="14064" max="14064" width="14.85546875" style="739" bestFit="1" customWidth="1"/>
    <col min="14065" max="14069" width="9.140625" style="739"/>
    <col min="14070" max="14070" width="29.28515625" style="739" bestFit="1" customWidth="1"/>
    <col min="14071" max="14319" width="9.140625" style="739"/>
    <col min="14320" max="14320" width="14.85546875" style="739" bestFit="1" customWidth="1"/>
    <col min="14321" max="14325" width="9.140625" style="739"/>
    <col min="14326" max="14326" width="29.28515625" style="739" bestFit="1" customWidth="1"/>
    <col min="14327" max="14575" width="9.140625" style="739"/>
    <col min="14576" max="14576" width="14.85546875" style="739" bestFit="1" customWidth="1"/>
    <col min="14577" max="14581" width="9.140625" style="739"/>
    <col min="14582" max="14582" width="29.28515625" style="739" bestFit="1" customWidth="1"/>
    <col min="14583" max="14831" width="9.140625" style="739"/>
    <col min="14832" max="14832" width="14.85546875" style="739" bestFit="1" customWidth="1"/>
    <col min="14833" max="14837" width="9.140625" style="739"/>
    <col min="14838" max="14838" width="29.28515625" style="739" bestFit="1" customWidth="1"/>
    <col min="14839" max="15087" width="9.140625" style="739"/>
    <col min="15088" max="15088" width="14.85546875" style="739" bestFit="1" customWidth="1"/>
    <col min="15089" max="15093" width="9.140625" style="739"/>
    <col min="15094" max="15094" width="29.28515625" style="739" bestFit="1" customWidth="1"/>
    <col min="15095" max="15343" width="9.140625" style="739"/>
    <col min="15344" max="15344" width="14.85546875" style="739" bestFit="1" customWidth="1"/>
    <col min="15345" max="15349" width="9.140625" style="739"/>
    <col min="15350" max="15350" width="29.28515625" style="739" bestFit="1" customWidth="1"/>
    <col min="15351" max="15599" width="9.140625" style="739"/>
    <col min="15600" max="15600" width="14.85546875" style="739" bestFit="1" customWidth="1"/>
    <col min="15601" max="15605" width="9.140625" style="739"/>
    <col min="15606" max="15606" width="29.28515625" style="739" bestFit="1" customWidth="1"/>
    <col min="15607" max="15855" width="9.140625" style="739"/>
    <col min="15856" max="15856" width="14.85546875" style="739" bestFit="1" customWidth="1"/>
    <col min="15857" max="15861" width="9.140625" style="739"/>
    <col min="15862" max="15862" width="29.28515625" style="739" bestFit="1" customWidth="1"/>
    <col min="15863" max="16111" width="9.140625" style="739"/>
    <col min="16112" max="16112" width="14.85546875" style="739" bestFit="1" customWidth="1"/>
    <col min="16113" max="16117" width="9.140625" style="739"/>
    <col min="16118" max="16118" width="29.28515625" style="739" bestFit="1" customWidth="1"/>
    <col min="16119" max="16384" width="9.140625" style="739"/>
  </cols>
  <sheetData>
    <row r="2" spans="1:11">
      <c r="A2" s="596"/>
      <c r="B2" s="731" t="s">
        <v>724</v>
      </c>
      <c r="C2" s="731" t="s">
        <v>725</v>
      </c>
      <c r="D2" s="731" t="s">
        <v>726</v>
      </c>
      <c r="E2" s="731" t="s">
        <v>727</v>
      </c>
      <c r="F2" s="731" t="s">
        <v>730</v>
      </c>
      <c r="G2" s="731" t="s">
        <v>731</v>
      </c>
      <c r="H2" s="731" t="s">
        <v>732</v>
      </c>
      <c r="I2" s="732" t="s">
        <v>133</v>
      </c>
      <c r="J2" s="732" t="s">
        <v>746</v>
      </c>
    </row>
    <row r="3" spans="1:11">
      <c r="A3" s="735">
        <v>2015</v>
      </c>
      <c r="B3" s="755">
        <v>-2.7073322035670963E-2</v>
      </c>
      <c r="C3" s="755"/>
      <c r="D3" s="755"/>
      <c r="E3" s="755"/>
      <c r="F3" s="755"/>
      <c r="G3" s="755"/>
      <c r="H3" s="755"/>
      <c r="I3" s="755">
        <v>-2.7073322035670963E-2</v>
      </c>
      <c r="J3" s="756">
        <v>-2.7407210974247736E-2</v>
      </c>
      <c r="K3" s="752"/>
    </row>
    <row r="4" spans="1:11">
      <c r="A4" s="735">
        <v>2016</v>
      </c>
      <c r="B4" s="755">
        <v>-2.1114131908484664E-2</v>
      </c>
      <c r="C4" s="755">
        <v>5.3470118178615411E-4</v>
      </c>
      <c r="D4" s="755">
        <v>3.8753092258867958E-4</v>
      </c>
      <c r="E4" s="755">
        <v>6.4428933412932418E-4</v>
      </c>
      <c r="F4" s="755">
        <v>6.4889068945960318E-4</v>
      </c>
      <c r="G4" s="755">
        <v>3.9478183869783717E-4</v>
      </c>
      <c r="H4" s="755">
        <v>5.5033158958864292E-4</v>
      </c>
      <c r="I4" s="755">
        <v>-1.9547610469980506E-2</v>
      </c>
      <c r="J4" s="756">
        <v>-1.9299975356063474E-2</v>
      </c>
    </row>
    <row r="5" spans="1:11">
      <c r="A5" s="735">
        <v>2017</v>
      </c>
      <c r="B5" s="755">
        <v>-1.9071593397464354E-2</v>
      </c>
      <c r="C5" s="755">
        <v>2.1361478743809337E-3</v>
      </c>
      <c r="D5" s="755">
        <v>1.5512528531554989E-3</v>
      </c>
      <c r="E5" s="755">
        <v>2.6209497275801741E-3</v>
      </c>
      <c r="F5" s="755">
        <v>2.5746303364859516E-3</v>
      </c>
      <c r="G5" s="755">
        <v>1.5921081402758448E-3</v>
      </c>
      <c r="H5" s="755">
        <v>2.2242322292908359E-3</v>
      </c>
      <c r="I5" s="755">
        <v>-1.2763242942347748E-2</v>
      </c>
      <c r="J5" s="756">
        <v>-4.2003956237186713E-3</v>
      </c>
    </row>
    <row r="6" spans="1:11">
      <c r="A6" s="735">
        <v>2018</v>
      </c>
      <c r="B6" s="755">
        <v>-2.144708040420383E-2</v>
      </c>
      <c r="C6" s="755">
        <v>5.7828973004323964E-3</v>
      </c>
      <c r="D6" s="755">
        <v>4.2241079101247633E-3</v>
      </c>
      <c r="E6" s="755">
        <v>7.0909098127461458E-3</v>
      </c>
      <c r="F6" s="755">
        <v>7.2176899681032523E-3</v>
      </c>
      <c r="G6" s="755">
        <v>4.4372548406763747E-3</v>
      </c>
      <c r="H6" s="755">
        <v>6.2429524385113396E-3</v>
      </c>
      <c r="I6" s="755">
        <v>-4.349165380900525E-3</v>
      </c>
      <c r="J6" s="756">
        <v>0</v>
      </c>
    </row>
    <row r="7" spans="1:11">
      <c r="A7" s="753">
        <v>2019</v>
      </c>
      <c r="B7" s="757">
        <v>-3.1572763536878393E-2</v>
      </c>
      <c r="C7" s="757">
        <v>1.1239935000873134E-2</v>
      </c>
      <c r="D7" s="757">
        <v>8.1932717577870278E-3</v>
      </c>
      <c r="E7" s="757">
        <v>1.3713395079235314E-2</v>
      </c>
      <c r="F7" s="757">
        <v>1.3967723055664493E-2</v>
      </c>
      <c r="G7" s="757">
        <v>8.5715847539462962E-3</v>
      </c>
      <c r="H7" s="757">
        <v>1.2058507735581928E-2</v>
      </c>
      <c r="I7" s="757">
        <v>1.5738383010170845E-3</v>
      </c>
      <c r="J7" s="757"/>
    </row>
    <row r="8" spans="1:11">
      <c r="J8" s="723" t="s">
        <v>5</v>
      </c>
    </row>
    <row r="10" spans="1:11">
      <c r="B10" s="744" t="s">
        <v>745</v>
      </c>
      <c r="C10" s="744"/>
      <c r="D10" s="744"/>
      <c r="E10" s="744"/>
      <c r="F10" s="744"/>
      <c r="G10" s="744"/>
      <c r="H10" s="744"/>
      <c r="I10" s="744"/>
      <c r="J10" s="744"/>
    </row>
  </sheetData>
  <pageMargins left="0.25" right="0.25" top="0.75" bottom="0.75" header="0.3" footer="0.3"/>
  <pageSetup scale="96" fitToHeight="0" orientation="portrait" horizontalDpi="4294967294" verticalDpi="0" r:id="rId1"/>
  <drawing r:id="rId2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K10"/>
  <sheetViews>
    <sheetView showGridLines="0" workbookViewId="0">
      <selection activeCell="B10" sqref="B10"/>
    </sheetView>
  </sheetViews>
  <sheetFormatPr defaultRowHeight="15"/>
  <cols>
    <col min="1" max="8" width="9.140625" style="739"/>
    <col min="9" max="9" width="17.28515625" style="739" customWidth="1"/>
    <col min="10" max="10" width="17.140625" style="739" customWidth="1"/>
    <col min="11" max="239" width="9.140625" style="739"/>
    <col min="240" max="240" width="14.85546875" style="739" bestFit="1" customWidth="1"/>
    <col min="241" max="245" width="9.140625" style="739"/>
    <col min="246" max="246" width="29.28515625" style="739" bestFit="1" customWidth="1"/>
    <col min="247" max="495" width="9.140625" style="739"/>
    <col min="496" max="496" width="14.85546875" style="739" bestFit="1" customWidth="1"/>
    <col min="497" max="501" width="9.140625" style="739"/>
    <col min="502" max="502" width="29.28515625" style="739" bestFit="1" customWidth="1"/>
    <col min="503" max="751" width="9.140625" style="739"/>
    <col min="752" max="752" width="14.85546875" style="739" bestFit="1" customWidth="1"/>
    <col min="753" max="757" width="9.140625" style="739"/>
    <col min="758" max="758" width="29.28515625" style="739" bestFit="1" customWidth="1"/>
    <col min="759" max="1007" width="9.140625" style="739"/>
    <col min="1008" max="1008" width="14.85546875" style="739" bestFit="1" customWidth="1"/>
    <col min="1009" max="1013" width="9.140625" style="739"/>
    <col min="1014" max="1014" width="29.28515625" style="739" bestFit="1" customWidth="1"/>
    <col min="1015" max="1263" width="9.140625" style="739"/>
    <col min="1264" max="1264" width="14.85546875" style="739" bestFit="1" customWidth="1"/>
    <col min="1265" max="1269" width="9.140625" style="739"/>
    <col min="1270" max="1270" width="29.28515625" style="739" bestFit="1" customWidth="1"/>
    <col min="1271" max="1519" width="9.140625" style="739"/>
    <col min="1520" max="1520" width="14.85546875" style="739" bestFit="1" customWidth="1"/>
    <col min="1521" max="1525" width="9.140625" style="739"/>
    <col min="1526" max="1526" width="29.28515625" style="739" bestFit="1" customWidth="1"/>
    <col min="1527" max="1775" width="9.140625" style="739"/>
    <col min="1776" max="1776" width="14.85546875" style="739" bestFit="1" customWidth="1"/>
    <col min="1777" max="1781" width="9.140625" style="739"/>
    <col min="1782" max="1782" width="29.28515625" style="739" bestFit="1" customWidth="1"/>
    <col min="1783" max="2031" width="9.140625" style="739"/>
    <col min="2032" max="2032" width="14.85546875" style="739" bestFit="1" customWidth="1"/>
    <col min="2033" max="2037" width="9.140625" style="739"/>
    <col min="2038" max="2038" width="29.28515625" style="739" bestFit="1" customWidth="1"/>
    <col min="2039" max="2287" width="9.140625" style="739"/>
    <col min="2288" max="2288" width="14.85546875" style="739" bestFit="1" customWidth="1"/>
    <col min="2289" max="2293" width="9.140625" style="739"/>
    <col min="2294" max="2294" width="29.28515625" style="739" bestFit="1" customWidth="1"/>
    <col min="2295" max="2543" width="9.140625" style="739"/>
    <col min="2544" max="2544" width="14.85546875" style="739" bestFit="1" customWidth="1"/>
    <col min="2545" max="2549" width="9.140625" style="739"/>
    <col min="2550" max="2550" width="29.28515625" style="739" bestFit="1" customWidth="1"/>
    <col min="2551" max="2799" width="9.140625" style="739"/>
    <col min="2800" max="2800" width="14.85546875" style="739" bestFit="1" customWidth="1"/>
    <col min="2801" max="2805" width="9.140625" style="739"/>
    <col min="2806" max="2806" width="29.28515625" style="739" bestFit="1" customWidth="1"/>
    <col min="2807" max="3055" width="9.140625" style="739"/>
    <col min="3056" max="3056" width="14.85546875" style="739" bestFit="1" customWidth="1"/>
    <col min="3057" max="3061" width="9.140625" style="739"/>
    <col min="3062" max="3062" width="29.28515625" style="739" bestFit="1" customWidth="1"/>
    <col min="3063" max="3311" width="9.140625" style="739"/>
    <col min="3312" max="3312" width="14.85546875" style="739" bestFit="1" customWidth="1"/>
    <col min="3313" max="3317" width="9.140625" style="739"/>
    <col min="3318" max="3318" width="29.28515625" style="739" bestFit="1" customWidth="1"/>
    <col min="3319" max="3567" width="9.140625" style="739"/>
    <col min="3568" max="3568" width="14.85546875" style="739" bestFit="1" customWidth="1"/>
    <col min="3569" max="3573" width="9.140625" style="739"/>
    <col min="3574" max="3574" width="29.28515625" style="739" bestFit="1" customWidth="1"/>
    <col min="3575" max="3823" width="9.140625" style="739"/>
    <col min="3824" max="3824" width="14.85546875" style="739" bestFit="1" customWidth="1"/>
    <col min="3825" max="3829" width="9.140625" style="739"/>
    <col min="3830" max="3830" width="29.28515625" style="739" bestFit="1" customWidth="1"/>
    <col min="3831" max="4079" width="9.140625" style="739"/>
    <col min="4080" max="4080" width="14.85546875" style="739" bestFit="1" customWidth="1"/>
    <col min="4081" max="4085" width="9.140625" style="739"/>
    <col min="4086" max="4086" width="29.28515625" style="739" bestFit="1" customWidth="1"/>
    <col min="4087" max="4335" width="9.140625" style="739"/>
    <col min="4336" max="4336" width="14.85546875" style="739" bestFit="1" customWidth="1"/>
    <col min="4337" max="4341" width="9.140625" style="739"/>
    <col min="4342" max="4342" width="29.28515625" style="739" bestFit="1" customWidth="1"/>
    <col min="4343" max="4591" width="9.140625" style="739"/>
    <col min="4592" max="4592" width="14.85546875" style="739" bestFit="1" customWidth="1"/>
    <col min="4593" max="4597" width="9.140625" style="739"/>
    <col min="4598" max="4598" width="29.28515625" style="739" bestFit="1" customWidth="1"/>
    <col min="4599" max="4847" width="9.140625" style="739"/>
    <col min="4848" max="4848" width="14.85546875" style="739" bestFit="1" customWidth="1"/>
    <col min="4849" max="4853" width="9.140625" style="739"/>
    <col min="4854" max="4854" width="29.28515625" style="739" bestFit="1" customWidth="1"/>
    <col min="4855" max="5103" width="9.140625" style="739"/>
    <col min="5104" max="5104" width="14.85546875" style="739" bestFit="1" customWidth="1"/>
    <col min="5105" max="5109" width="9.140625" style="739"/>
    <col min="5110" max="5110" width="29.28515625" style="739" bestFit="1" customWidth="1"/>
    <col min="5111" max="5359" width="9.140625" style="739"/>
    <col min="5360" max="5360" width="14.85546875" style="739" bestFit="1" customWidth="1"/>
    <col min="5361" max="5365" width="9.140625" style="739"/>
    <col min="5366" max="5366" width="29.28515625" style="739" bestFit="1" customWidth="1"/>
    <col min="5367" max="5615" width="9.140625" style="739"/>
    <col min="5616" max="5616" width="14.85546875" style="739" bestFit="1" customWidth="1"/>
    <col min="5617" max="5621" width="9.140625" style="739"/>
    <col min="5622" max="5622" width="29.28515625" style="739" bestFit="1" customWidth="1"/>
    <col min="5623" max="5871" width="9.140625" style="739"/>
    <col min="5872" max="5872" width="14.85546875" style="739" bestFit="1" customWidth="1"/>
    <col min="5873" max="5877" width="9.140625" style="739"/>
    <col min="5878" max="5878" width="29.28515625" style="739" bestFit="1" customWidth="1"/>
    <col min="5879" max="6127" width="9.140625" style="739"/>
    <col min="6128" max="6128" width="14.85546875" style="739" bestFit="1" customWidth="1"/>
    <col min="6129" max="6133" width="9.140625" style="739"/>
    <col min="6134" max="6134" width="29.28515625" style="739" bestFit="1" customWidth="1"/>
    <col min="6135" max="6383" width="9.140625" style="739"/>
    <col min="6384" max="6384" width="14.85546875" style="739" bestFit="1" customWidth="1"/>
    <col min="6385" max="6389" width="9.140625" style="739"/>
    <col min="6390" max="6390" width="29.28515625" style="739" bestFit="1" customWidth="1"/>
    <col min="6391" max="6639" width="9.140625" style="739"/>
    <col min="6640" max="6640" width="14.85546875" style="739" bestFit="1" customWidth="1"/>
    <col min="6641" max="6645" width="9.140625" style="739"/>
    <col min="6646" max="6646" width="29.28515625" style="739" bestFit="1" customWidth="1"/>
    <col min="6647" max="6895" width="9.140625" style="739"/>
    <col min="6896" max="6896" width="14.85546875" style="739" bestFit="1" customWidth="1"/>
    <col min="6897" max="6901" width="9.140625" style="739"/>
    <col min="6902" max="6902" width="29.28515625" style="739" bestFit="1" customWidth="1"/>
    <col min="6903" max="7151" width="9.140625" style="739"/>
    <col min="7152" max="7152" width="14.85546875" style="739" bestFit="1" customWidth="1"/>
    <col min="7153" max="7157" width="9.140625" style="739"/>
    <col min="7158" max="7158" width="29.28515625" style="739" bestFit="1" customWidth="1"/>
    <col min="7159" max="7407" width="9.140625" style="739"/>
    <col min="7408" max="7408" width="14.85546875" style="739" bestFit="1" customWidth="1"/>
    <col min="7409" max="7413" width="9.140625" style="739"/>
    <col min="7414" max="7414" width="29.28515625" style="739" bestFit="1" customWidth="1"/>
    <col min="7415" max="7663" width="9.140625" style="739"/>
    <col min="7664" max="7664" width="14.85546875" style="739" bestFit="1" customWidth="1"/>
    <col min="7665" max="7669" width="9.140625" style="739"/>
    <col min="7670" max="7670" width="29.28515625" style="739" bestFit="1" customWidth="1"/>
    <col min="7671" max="7919" width="9.140625" style="739"/>
    <col min="7920" max="7920" width="14.85546875" style="739" bestFit="1" customWidth="1"/>
    <col min="7921" max="7925" width="9.140625" style="739"/>
    <col min="7926" max="7926" width="29.28515625" style="739" bestFit="1" customWidth="1"/>
    <col min="7927" max="8175" width="9.140625" style="739"/>
    <col min="8176" max="8176" width="14.85546875" style="739" bestFit="1" customWidth="1"/>
    <col min="8177" max="8181" width="9.140625" style="739"/>
    <col min="8182" max="8182" width="29.28515625" style="739" bestFit="1" customWidth="1"/>
    <col min="8183" max="8431" width="9.140625" style="739"/>
    <col min="8432" max="8432" width="14.85546875" style="739" bestFit="1" customWidth="1"/>
    <col min="8433" max="8437" width="9.140625" style="739"/>
    <col min="8438" max="8438" width="29.28515625" style="739" bestFit="1" customWidth="1"/>
    <col min="8439" max="8687" width="9.140625" style="739"/>
    <col min="8688" max="8688" width="14.85546875" style="739" bestFit="1" customWidth="1"/>
    <col min="8689" max="8693" width="9.140625" style="739"/>
    <col min="8694" max="8694" width="29.28515625" style="739" bestFit="1" customWidth="1"/>
    <col min="8695" max="8943" width="9.140625" style="739"/>
    <col min="8944" max="8944" width="14.85546875" style="739" bestFit="1" customWidth="1"/>
    <col min="8945" max="8949" width="9.140625" style="739"/>
    <col min="8950" max="8950" width="29.28515625" style="739" bestFit="1" customWidth="1"/>
    <col min="8951" max="9199" width="9.140625" style="739"/>
    <col min="9200" max="9200" width="14.85546875" style="739" bestFit="1" customWidth="1"/>
    <col min="9201" max="9205" width="9.140625" style="739"/>
    <col min="9206" max="9206" width="29.28515625" style="739" bestFit="1" customWidth="1"/>
    <col min="9207" max="9455" width="9.140625" style="739"/>
    <col min="9456" max="9456" width="14.85546875" style="739" bestFit="1" customWidth="1"/>
    <col min="9457" max="9461" width="9.140625" style="739"/>
    <col min="9462" max="9462" width="29.28515625" style="739" bestFit="1" customWidth="1"/>
    <col min="9463" max="9711" width="9.140625" style="739"/>
    <col min="9712" max="9712" width="14.85546875" style="739" bestFit="1" customWidth="1"/>
    <col min="9713" max="9717" width="9.140625" style="739"/>
    <col min="9718" max="9718" width="29.28515625" style="739" bestFit="1" customWidth="1"/>
    <col min="9719" max="9967" width="9.140625" style="739"/>
    <col min="9968" max="9968" width="14.85546875" style="739" bestFit="1" customWidth="1"/>
    <col min="9969" max="9973" width="9.140625" style="739"/>
    <col min="9974" max="9974" width="29.28515625" style="739" bestFit="1" customWidth="1"/>
    <col min="9975" max="10223" width="9.140625" style="739"/>
    <col min="10224" max="10224" width="14.85546875" style="739" bestFit="1" customWidth="1"/>
    <col min="10225" max="10229" width="9.140625" style="739"/>
    <col min="10230" max="10230" width="29.28515625" style="739" bestFit="1" customWidth="1"/>
    <col min="10231" max="10479" width="9.140625" style="739"/>
    <col min="10480" max="10480" width="14.85546875" style="739" bestFit="1" customWidth="1"/>
    <col min="10481" max="10485" width="9.140625" style="739"/>
    <col min="10486" max="10486" width="29.28515625" style="739" bestFit="1" customWidth="1"/>
    <col min="10487" max="10735" width="9.140625" style="739"/>
    <col min="10736" max="10736" width="14.85546875" style="739" bestFit="1" customWidth="1"/>
    <col min="10737" max="10741" width="9.140625" style="739"/>
    <col min="10742" max="10742" width="29.28515625" style="739" bestFit="1" customWidth="1"/>
    <col min="10743" max="10991" width="9.140625" style="739"/>
    <col min="10992" max="10992" width="14.85546875" style="739" bestFit="1" customWidth="1"/>
    <col min="10993" max="10997" width="9.140625" style="739"/>
    <col min="10998" max="10998" width="29.28515625" style="739" bestFit="1" customWidth="1"/>
    <col min="10999" max="11247" width="9.140625" style="739"/>
    <col min="11248" max="11248" width="14.85546875" style="739" bestFit="1" customWidth="1"/>
    <col min="11249" max="11253" width="9.140625" style="739"/>
    <col min="11254" max="11254" width="29.28515625" style="739" bestFit="1" customWidth="1"/>
    <col min="11255" max="11503" width="9.140625" style="739"/>
    <col min="11504" max="11504" width="14.85546875" style="739" bestFit="1" customWidth="1"/>
    <col min="11505" max="11509" width="9.140625" style="739"/>
    <col min="11510" max="11510" width="29.28515625" style="739" bestFit="1" customWidth="1"/>
    <col min="11511" max="11759" width="9.140625" style="739"/>
    <col min="11760" max="11760" width="14.85546875" style="739" bestFit="1" customWidth="1"/>
    <col min="11761" max="11765" width="9.140625" style="739"/>
    <col min="11766" max="11766" width="29.28515625" style="739" bestFit="1" customWidth="1"/>
    <col min="11767" max="12015" width="9.140625" style="739"/>
    <col min="12016" max="12016" width="14.85546875" style="739" bestFit="1" customWidth="1"/>
    <col min="12017" max="12021" width="9.140625" style="739"/>
    <col min="12022" max="12022" width="29.28515625" style="739" bestFit="1" customWidth="1"/>
    <col min="12023" max="12271" width="9.140625" style="739"/>
    <col min="12272" max="12272" width="14.85546875" style="739" bestFit="1" customWidth="1"/>
    <col min="12273" max="12277" width="9.140625" style="739"/>
    <col min="12278" max="12278" width="29.28515625" style="739" bestFit="1" customWidth="1"/>
    <col min="12279" max="12527" width="9.140625" style="739"/>
    <col min="12528" max="12528" width="14.85546875" style="739" bestFit="1" customWidth="1"/>
    <col min="12529" max="12533" width="9.140625" style="739"/>
    <col min="12534" max="12534" width="29.28515625" style="739" bestFit="1" customWidth="1"/>
    <col min="12535" max="12783" width="9.140625" style="739"/>
    <col min="12784" max="12784" width="14.85546875" style="739" bestFit="1" customWidth="1"/>
    <col min="12785" max="12789" width="9.140625" style="739"/>
    <col min="12790" max="12790" width="29.28515625" style="739" bestFit="1" customWidth="1"/>
    <col min="12791" max="13039" width="9.140625" style="739"/>
    <col min="13040" max="13040" width="14.85546875" style="739" bestFit="1" customWidth="1"/>
    <col min="13041" max="13045" width="9.140625" style="739"/>
    <col min="13046" max="13046" width="29.28515625" style="739" bestFit="1" customWidth="1"/>
    <col min="13047" max="13295" width="9.140625" style="739"/>
    <col min="13296" max="13296" width="14.85546875" style="739" bestFit="1" customWidth="1"/>
    <col min="13297" max="13301" width="9.140625" style="739"/>
    <col min="13302" max="13302" width="29.28515625" style="739" bestFit="1" customWidth="1"/>
    <col min="13303" max="13551" width="9.140625" style="739"/>
    <col min="13552" max="13552" width="14.85546875" style="739" bestFit="1" customWidth="1"/>
    <col min="13553" max="13557" width="9.140625" style="739"/>
    <col min="13558" max="13558" width="29.28515625" style="739" bestFit="1" customWidth="1"/>
    <col min="13559" max="13807" width="9.140625" style="739"/>
    <col min="13808" max="13808" width="14.85546875" style="739" bestFit="1" customWidth="1"/>
    <col min="13809" max="13813" width="9.140625" style="739"/>
    <col min="13814" max="13814" width="29.28515625" style="739" bestFit="1" customWidth="1"/>
    <col min="13815" max="14063" width="9.140625" style="739"/>
    <col min="14064" max="14064" width="14.85546875" style="739" bestFit="1" customWidth="1"/>
    <col min="14065" max="14069" width="9.140625" style="739"/>
    <col min="14070" max="14070" width="29.28515625" style="739" bestFit="1" customWidth="1"/>
    <col min="14071" max="14319" width="9.140625" style="739"/>
    <col min="14320" max="14320" width="14.85546875" style="739" bestFit="1" customWidth="1"/>
    <col min="14321" max="14325" width="9.140625" style="739"/>
    <col min="14326" max="14326" width="29.28515625" style="739" bestFit="1" customWidth="1"/>
    <col min="14327" max="14575" width="9.140625" style="739"/>
    <col min="14576" max="14576" width="14.85546875" style="739" bestFit="1" customWidth="1"/>
    <col min="14577" max="14581" width="9.140625" style="739"/>
    <col min="14582" max="14582" width="29.28515625" style="739" bestFit="1" customWidth="1"/>
    <col min="14583" max="14831" width="9.140625" style="739"/>
    <col min="14832" max="14832" width="14.85546875" style="739" bestFit="1" customWidth="1"/>
    <col min="14833" max="14837" width="9.140625" style="739"/>
    <col min="14838" max="14838" width="29.28515625" style="739" bestFit="1" customWidth="1"/>
    <col min="14839" max="15087" width="9.140625" style="739"/>
    <col min="15088" max="15088" width="14.85546875" style="739" bestFit="1" customWidth="1"/>
    <col min="15089" max="15093" width="9.140625" style="739"/>
    <col min="15094" max="15094" width="29.28515625" style="739" bestFit="1" customWidth="1"/>
    <col min="15095" max="15343" width="9.140625" style="739"/>
    <col min="15344" max="15344" width="14.85546875" style="739" bestFit="1" customWidth="1"/>
    <col min="15345" max="15349" width="9.140625" style="739"/>
    <col min="15350" max="15350" width="29.28515625" style="739" bestFit="1" customWidth="1"/>
    <col min="15351" max="15599" width="9.140625" style="739"/>
    <col min="15600" max="15600" width="14.85546875" style="739" bestFit="1" customWidth="1"/>
    <col min="15601" max="15605" width="9.140625" style="739"/>
    <col min="15606" max="15606" width="29.28515625" style="739" bestFit="1" customWidth="1"/>
    <col min="15607" max="15855" width="9.140625" style="739"/>
    <col min="15856" max="15856" width="14.85546875" style="739" bestFit="1" customWidth="1"/>
    <col min="15857" max="15861" width="9.140625" style="739"/>
    <col min="15862" max="15862" width="29.28515625" style="739" bestFit="1" customWidth="1"/>
    <col min="15863" max="16111" width="9.140625" style="739"/>
    <col min="16112" max="16112" width="14.85546875" style="739" bestFit="1" customWidth="1"/>
    <col min="16113" max="16117" width="9.140625" style="739"/>
    <col min="16118" max="16118" width="29.28515625" style="739" bestFit="1" customWidth="1"/>
    <col min="16119" max="16384" width="9.140625" style="739"/>
  </cols>
  <sheetData>
    <row r="2" spans="1:11">
      <c r="A2" s="596"/>
      <c r="B2" s="731" t="s">
        <v>724</v>
      </c>
      <c r="C2" s="731" t="s">
        <v>725</v>
      </c>
      <c r="D2" s="731" t="s">
        <v>726</v>
      </c>
      <c r="E2" s="731" t="s">
        <v>727</v>
      </c>
      <c r="F2" s="731" t="s">
        <v>730</v>
      </c>
      <c r="G2" s="731" t="s">
        <v>731</v>
      </c>
      <c r="H2" s="731" t="s">
        <v>732</v>
      </c>
      <c r="I2" s="732" t="s">
        <v>133</v>
      </c>
      <c r="J2" s="732" t="s">
        <v>746</v>
      </c>
    </row>
    <row r="3" spans="1:11">
      <c r="A3" s="735">
        <v>2015</v>
      </c>
      <c r="B3" s="755">
        <v>0.52478471283182682</v>
      </c>
      <c r="C3" s="755"/>
      <c r="D3" s="755"/>
      <c r="E3" s="755"/>
      <c r="F3" s="755"/>
      <c r="G3" s="755"/>
      <c r="H3" s="755"/>
      <c r="I3" s="755">
        <v>0.52478471283182682</v>
      </c>
      <c r="J3" s="756">
        <v>0.52772978953944893</v>
      </c>
      <c r="K3" s="752"/>
    </row>
    <row r="4" spans="1:11">
      <c r="A4" s="735">
        <v>2016</v>
      </c>
      <c r="B4" s="755">
        <v>0.52445912619245183</v>
      </c>
      <c r="C4" s="755">
        <v>2.1540023852206769E-3</v>
      </c>
      <c r="D4" s="755">
        <v>1.5611383704337012E-3</v>
      </c>
      <c r="E4" s="755">
        <v>2.59546978716374E-3</v>
      </c>
      <c r="F4" s="755">
        <v>2.6140059914850911E-3</v>
      </c>
      <c r="G4" s="755">
        <v>1.5903481255763463E-3</v>
      </c>
      <c r="H4" s="755">
        <v>2.2169682750206032E-3</v>
      </c>
      <c r="I4" s="755">
        <v>0.53076973673526995</v>
      </c>
      <c r="J4" s="756">
        <v>0.52109313481437036</v>
      </c>
    </row>
    <row r="5" spans="1:11">
      <c r="A5" s="735">
        <v>2017</v>
      </c>
      <c r="B5" s="755">
        <v>0.50806850844180673</v>
      </c>
      <c r="C5" s="755">
        <v>5.1189874854788986E-3</v>
      </c>
      <c r="D5" s="755">
        <v>3.723122317577432E-3</v>
      </c>
      <c r="E5" s="755">
        <v>4.7381193291584633E-3</v>
      </c>
      <c r="F5" s="755">
        <v>7.7665583605084354E-3</v>
      </c>
      <c r="G5" s="755">
        <v>3.8425226392132528E-3</v>
      </c>
      <c r="H5" s="755">
        <v>5.3764156189863854E-3</v>
      </c>
      <c r="I5" s="755">
        <v>0.52164873757402153</v>
      </c>
      <c r="J5" s="756">
        <v>0.51312972888018338</v>
      </c>
    </row>
    <row r="6" spans="1:11">
      <c r="A6" s="735">
        <v>2018</v>
      </c>
      <c r="B6" s="755">
        <v>0.47234383725592743</v>
      </c>
      <c r="C6" s="755">
        <v>1.2190619905891265E-2</v>
      </c>
      <c r="D6" s="755">
        <v>8.9486921096640915E-3</v>
      </c>
      <c r="E6" s="755">
        <v>1.4605632284092118E-2</v>
      </c>
      <c r="F6" s="755">
        <v>1.5979304895796909E-2</v>
      </c>
      <c r="G6" s="755">
        <v>9.5689272516161772E-3</v>
      </c>
      <c r="H6" s="755">
        <v>1.3529257279302542E-2</v>
      </c>
      <c r="I6" s="755">
        <v>0.50808878155557491</v>
      </c>
      <c r="J6" s="756">
        <v>0.48940714460934953</v>
      </c>
    </row>
    <row r="7" spans="1:11">
      <c r="A7" s="753">
        <v>2019</v>
      </c>
      <c r="B7" s="757">
        <v>0.42534304348430774</v>
      </c>
      <c r="C7" s="757">
        <v>1.9987940349878219E-2</v>
      </c>
      <c r="D7" s="757">
        <v>1.4711962662955935E-2</v>
      </c>
      <c r="E7" s="757">
        <v>2.2649246863859884E-2</v>
      </c>
      <c r="F7" s="757">
        <v>2.7946336267837713E-2</v>
      </c>
      <c r="G7" s="757">
        <v>1.5946896530777188E-2</v>
      </c>
      <c r="H7" s="757">
        <v>2.2658137944870593E-2</v>
      </c>
      <c r="I7" s="757">
        <v>0.48269219336100178</v>
      </c>
      <c r="J7" s="757"/>
    </row>
    <row r="8" spans="1:11">
      <c r="J8" s="723" t="s">
        <v>5</v>
      </c>
    </row>
    <row r="10" spans="1:11">
      <c r="B10" s="744" t="s">
        <v>402</v>
      </c>
      <c r="C10" s="744"/>
      <c r="D10" s="744"/>
      <c r="E10" s="744"/>
      <c r="F10" s="744"/>
      <c r="G10" s="744"/>
      <c r="H10" s="744"/>
      <c r="I10" s="744"/>
      <c r="J10" s="744"/>
    </row>
  </sheetData>
  <pageMargins left="0.25" right="0.25" top="0.75" bottom="0.75" header="0.3" footer="0.3"/>
  <pageSetup scale="96" fitToHeight="0" orientation="portrait" horizontalDpi="4294967294" verticalDpi="0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2D274E04972CC6448E7CDAFF602B5EBC" ma:contentTypeVersion="5" ma:contentTypeDescription="Umožňuje vytvoriť nový dokument." ma:contentTypeScope="" ma:versionID="7d2cdb28433ba5f5f538f276ec6ca7c3">
  <xsd:schema xmlns:xsd="http://www.w3.org/2001/XMLSchema" xmlns:xs="http://www.w3.org/2001/XMLSchema" xmlns:p="http://schemas.microsoft.com/office/2006/metadata/properties" xmlns:ns2="ff691899-9eb7-4807-b4ff-7884f9194702" targetNamespace="http://schemas.microsoft.com/office/2006/metadata/properties" ma:root="true" ma:fieldsID="f01e62d8d40e666f3859f19e48abb742" ns2:_="">
    <xsd:import namespace="ff691899-9eb7-4807-b4ff-7884f9194702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ingHintHash" minOccurs="0"/>
                <xsd:element ref="ns2:SharedWithDetails" minOccurs="0"/>
                <xsd:element ref="ns2:LastSharedByUser" minOccurs="0"/>
                <xsd:element ref="ns2:LastSharedByTim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f691899-9eb7-4807-b4ff-7884f9194702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Zdieľa sa s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ingHintHash" ma:index="9" nillable="true" ma:displayName="Príkaz hash indikátora zdieľania" ma:internalName="SharingHintHash" ma:readOnly="true">
      <xsd:simpleType>
        <xsd:restriction base="dms:Text"/>
      </xsd:simpleType>
    </xsd:element>
    <xsd:element name="SharedWithDetails" ma:index="10" nillable="true" ma:displayName="Zdieľané s podrobnosťami" ma:description="" ma:internalName="SharedWithDetails" ma:readOnly="true">
      <xsd:simpleType>
        <xsd:restriction base="dms:Note">
          <xsd:maxLength value="255"/>
        </xsd:restriction>
      </xsd:simpleType>
    </xsd:element>
    <xsd:element name="LastSharedByUser" ma:index="11" nillable="true" ma:displayName="Naposledy zdieľal" ma:description="" ma:internalName="LastSharedByUser" ma:readOnly="true">
      <xsd:simpleType>
        <xsd:restriction base="dms:Note">
          <xsd:maxLength value="255"/>
        </xsd:restriction>
      </xsd:simpleType>
    </xsd:element>
    <xsd:element name="LastSharedByTime" ma:index="12" nillable="true" ma:displayName="Naposledy zdieľané" ma:description="" ma:internalName="LastSharedByTime" ma:readOnly="true">
      <xsd:simpleType>
        <xsd:restriction base="dms:DateTim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 obsahu"/>
        <xsd:element ref="dc:title" minOccurs="0" maxOccurs="1" ma:index="4" ma:displayName="Nadpis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49D4AE54-F183-43F3-99A8-63B0EA58FA9B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5A718A90-C58A-47E7-8BEE-CA5C2BFDC34E}">
  <ds:schemaRefs>
    <ds:schemaRef ds:uri="http://purl.org/dc/elements/1.1/"/>
    <ds:schemaRef ds:uri="http://schemas.openxmlformats.org/package/2006/metadata/core-properties"/>
    <ds:schemaRef ds:uri="http://schemas.microsoft.com/office/infopath/2007/PartnerControls"/>
    <ds:schemaRef ds:uri="ff691899-9eb7-4807-b4ff-7884f9194702"/>
    <ds:schemaRef ds:uri="http://purl.org/dc/terms/"/>
    <ds:schemaRef ds:uri="http://schemas.microsoft.com/office/2006/metadata/properties"/>
    <ds:schemaRef ds:uri="http://schemas.microsoft.com/office/2006/documentManagement/types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E4EE2ABD-54C1-45E3-AD2A-628E7B8220F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ff691899-9eb7-4807-b4ff-7884f919470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Hárky</vt:lpstr>
      </vt:variant>
      <vt:variant>
        <vt:i4>116</vt:i4>
      </vt:variant>
    </vt:vector>
  </HeadingPairs>
  <TitlesOfParts>
    <vt:vector size="116" baseType="lpstr">
      <vt:lpstr>obsah</vt:lpstr>
      <vt:lpstr>T01</vt:lpstr>
      <vt:lpstr>T02</vt:lpstr>
      <vt:lpstr>T03</vt:lpstr>
      <vt:lpstr>T04</vt:lpstr>
      <vt:lpstr>T05</vt:lpstr>
      <vt:lpstr>T06</vt:lpstr>
      <vt:lpstr>T07</vt:lpstr>
      <vt:lpstr>T08</vt:lpstr>
      <vt:lpstr>T09</vt:lpstr>
      <vt:lpstr>T10</vt:lpstr>
      <vt:lpstr>T11</vt:lpstr>
      <vt:lpstr>T12</vt:lpstr>
      <vt:lpstr>T13</vt:lpstr>
      <vt:lpstr>T14</vt:lpstr>
      <vt:lpstr>T15</vt:lpstr>
      <vt:lpstr>T16</vt:lpstr>
      <vt:lpstr>T17</vt:lpstr>
      <vt:lpstr>T18</vt:lpstr>
      <vt:lpstr>T19</vt:lpstr>
      <vt:lpstr>T20</vt:lpstr>
      <vt:lpstr>T21</vt:lpstr>
      <vt:lpstr>T22</vt:lpstr>
      <vt:lpstr>T23</vt:lpstr>
      <vt:lpstr>T24</vt:lpstr>
      <vt:lpstr>T25</vt:lpstr>
      <vt:lpstr>T26</vt:lpstr>
      <vt:lpstr>T27</vt:lpstr>
      <vt:lpstr>T28</vt:lpstr>
      <vt:lpstr>T29</vt:lpstr>
      <vt:lpstr>T30</vt:lpstr>
      <vt:lpstr>T31</vt:lpstr>
      <vt:lpstr>T32</vt:lpstr>
      <vt:lpstr>T33</vt:lpstr>
      <vt:lpstr>T34</vt:lpstr>
      <vt:lpstr>T35</vt:lpstr>
      <vt:lpstr>T36</vt:lpstr>
      <vt:lpstr>T37</vt:lpstr>
      <vt:lpstr>T38</vt:lpstr>
      <vt:lpstr>T39</vt:lpstr>
      <vt:lpstr>T40</vt:lpstr>
      <vt:lpstr>T41</vt:lpstr>
      <vt:lpstr>T42</vt:lpstr>
      <vt:lpstr>T43</vt:lpstr>
      <vt:lpstr>T44</vt:lpstr>
      <vt:lpstr>T45,T46</vt:lpstr>
      <vt:lpstr>T47</vt:lpstr>
      <vt:lpstr>T48, T49</vt:lpstr>
      <vt:lpstr>T48a, T49a</vt:lpstr>
      <vt:lpstr>G01</vt:lpstr>
      <vt:lpstr>G02</vt:lpstr>
      <vt:lpstr>G03</vt:lpstr>
      <vt:lpstr>G04</vt:lpstr>
      <vt:lpstr>G05</vt:lpstr>
      <vt:lpstr>G06</vt:lpstr>
      <vt:lpstr>G07</vt:lpstr>
      <vt:lpstr>G08</vt:lpstr>
      <vt:lpstr>G09</vt:lpstr>
      <vt:lpstr>G10,G11</vt:lpstr>
      <vt:lpstr>G12</vt:lpstr>
      <vt:lpstr>G13</vt:lpstr>
      <vt:lpstr>G14</vt:lpstr>
      <vt:lpstr>G15</vt:lpstr>
      <vt:lpstr>G16</vt:lpstr>
      <vt:lpstr>G17</vt:lpstr>
      <vt:lpstr>G18</vt:lpstr>
      <vt:lpstr>G19</vt:lpstr>
      <vt:lpstr>G20</vt:lpstr>
      <vt:lpstr>G21</vt:lpstr>
      <vt:lpstr>G22</vt:lpstr>
      <vt:lpstr>G23</vt:lpstr>
      <vt:lpstr>G24</vt:lpstr>
      <vt:lpstr>G25</vt:lpstr>
      <vt:lpstr>G26</vt:lpstr>
      <vt:lpstr>G27</vt:lpstr>
      <vt:lpstr>G28</vt:lpstr>
      <vt:lpstr>G29</vt:lpstr>
      <vt:lpstr>G30</vt:lpstr>
      <vt:lpstr>G31, G32</vt:lpstr>
      <vt:lpstr>G33</vt:lpstr>
      <vt:lpstr>G34</vt:lpstr>
      <vt:lpstr>G35</vt:lpstr>
      <vt:lpstr>G36, G37</vt:lpstr>
      <vt:lpstr>G38</vt:lpstr>
      <vt:lpstr>G39, G40</vt:lpstr>
      <vt:lpstr>G41</vt:lpstr>
      <vt:lpstr>G42</vt:lpstr>
      <vt:lpstr>G43, G44</vt:lpstr>
      <vt:lpstr>G45</vt:lpstr>
      <vt:lpstr>G46</vt:lpstr>
      <vt:lpstr>G47,G48</vt:lpstr>
      <vt:lpstr>G49,G50</vt:lpstr>
      <vt:lpstr>G51</vt:lpstr>
      <vt:lpstr>G52</vt:lpstr>
      <vt:lpstr>G53, G54, G55, G56, G57, G58</vt:lpstr>
      <vt:lpstr>G59</vt:lpstr>
      <vt:lpstr>G60</vt:lpstr>
      <vt:lpstr>G61</vt:lpstr>
      <vt:lpstr>G62</vt:lpstr>
      <vt:lpstr>G63</vt:lpstr>
      <vt:lpstr>G64</vt:lpstr>
      <vt:lpstr>G65, G66</vt:lpstr>
      <vt:lpstr>G67</vt:lpstr>
      <vt:lpstr>G68</vt:lpstr>
      <vt:lpstr>G69</vt:lpstr>
      <vt:lpstr>G70</vt:lpstr>
      <vt:lpstr>G71</vt:lpstr>
      <vt:lpstr>G72</vt:lpstr>
      <vt:lpstr>G73</vt:lpstr>
      <vt:lpstr>G74</vt:lpstr>
      <vt:lpstr>G75</vt:lpstr>
      <vt:lpstr>G76,G77</vt:lpstr>
      <vt:lpstr>G78,G79</vt:lpstr>
      <vt:lpstr>G80,G81</vt:lpstr>
      <vt:lpstr>G82</vt:lpstr>
      <vt:lpstr>NPC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PC-003MM</dc:creator>
  <cp:lastModifiedBy>bugyi</cp:lastModifiedBy>
  <cp:lastPrinted>2016-11-02T08:17:20Z</cp:lastPrinted>
  <dcterms:created xsi:type="dcterms:W3CDTF">2013-08-08T10:48:48Z</dcterms:created>
  <dcterms:modified xsi:type="dcterms:W3CDTF">2016-11-16T14:47:31Z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0x0101002D274E04972CC6448E7CDAFF602B5EBC</vt:lpwstr>
  </property>
</Properties>
</file>